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500" yWindow="45" windowWidth="10545" windowHeight="12060" tabRatio="604" activeTab="4"/>
  </bookViews>
  <sheets>
    <sheet name="Stm. of Activities" sheetId="5" r:id="rId1"/>
    <sheet name="Gen Rev" sheetId="1" r:id="rId2"/>
    <sheet name="Gen Exp" sheetId="2" r:id="rId3"/>
    <sheet name="Gov Rev" sheetId="4" r:id="rId4"/>
    <sheet name="Gov Exp" sheetId="3" r:id="rId5"/>
    <sheet name="Stm. of Net Assets" sheetId="6" r:id="rId6"/>
    <sheet name="Sheet1" sheetId="7" r:id="rId7"/>
  </sheets>
  <definedNames>
    <definedName name="_xlnm.Print_Area" localSheetId="2">'Gen Exp'!$B$1:$AH$295</definedName>
    <definedName name="_xlnm.Print_Area" localSheetId="1">'Gen Rev'!$B$1:$AH$297</definedName>
    <definedName name="_xlnm.Print_Area" localSheetId="4">'Gov Exp'!$B$1:$AH$295</definedName>
    <definedName name="_xlnm.Print_Area" localSheetId="3">'Gov Rev'!$B$1:$AH$297</definedName>
    <definedName name="_xlnm.Print_Area" localSheetId="6">Sheet1!$C$12:$F$20</definedName>
    <definedName name="_xlnm.Print_Area" localSheetId="0">'Stm. of Activities'!$A$1:$AI$205</definedName>
  </definedNames>
  <calcPr calcId="145621"/>
</workbook>
</file>

<file path=xl/calcChain.xml><?xml version="1.0" encoding="utf-8"?>
<calcChain xmlns="http://schemas.openxmlformats.org/spreadsheetml/2006/main">
  <c r="I82" i="6" l="1"/>
  <c r="M79" i="5"/>
  <c r="M80" i="5"/>
  <c r="V121" i="3"/>
  <c r="U29" i="6"/>
  <c r="Q31" i="5"/>
  <c r="P43" i="3"/>
  <c r="AG31" i="5"/>
  <c r="I29" i="6"/>
  <c r="Y29" i="6"/>
  <c r="H122" i="4"/>
  <c r="W166" i="6"/>
  <c r="U166" i="6"/>
  <c r="U192" i="6"/>
  <c r="Q189" i="5"/>
  <c r="G189" i="5"/>
  <c r="AG196" i="5"/>
  <c r="H280" i="2"/>
  <c r="T43" i="3" l="1"/>
  <c r="V43" i="3"/>
  <c r="U99" i="6" l="1"/>
  <c r="U95" i="5"/>
  <c r="T147" i="4"/>
  <c r="T147" i="1"/>
  <c r="H199" i="3"/>
  <c r="L204" i="4"/>
  <c r="H199" i="2"/>
  <c r="L200" i="1"/>
  <c r="AG169" i="5"/>
  <c r="F243" i="1"/>
  <c r="V243" i="1"/>
  <c r="F244" i="4"/>
  <c r="H244" i="4"/>
  <c r="V244" i="4"/>
  <c r="F242" i="2"/>
  <c r="H242" i="2"/>
  <c r="R242" i="2"/>
  <c r="T242" i="2"/>
  <c r="H242" i="3"/>
  <c r="O169" i="5"/>
  <c r="W169" i="5"/>
  <c r="V273" i="4"/>
  <c r="V272" i="1"/>
  <c r="AH129" i="1"/>
  <c r="W188" i="5"/>
  <c r="U204" i="6"/>
  <c r="U156" i="6"/>
  <c r="U121" i="6"/>
  <c r="Y121" i="6" s="1"/>
  <c r="AC131" i="6"/>
  <c r="AA131" i="6"/>
  <c r="Y131" i="6"/>
  <c r="K131" i="6"/>
  <c r="I131" i="6"/>
  <c r="AC140" i="5"/>
  <c r="M140" i="5"/>
  <c r="AC121" i="6"/>
  <c r="AA121" i="6"/>
  <c r="K121" i="6"/>
  <c r="I121" i="6"/>
  <c r="AC115" i="5"/>
  <c r="M115" i="5"/>
  <c r="AH172" i="3"/>
  <c r="AH173" i="4"/>
  <c r="AH172" i="2"/>
  <c r="AH173" i="1"/>
  <c r="AC169" i="5" l="1"/>
  <c r="AE140" i="5"/>
  <c r="AI140" i="5" s="1"/>
  <c r="AE115" i="5"/>
  <c r="AI115" i="5" s="1"/>
  <c r="I209" i="6"/>
  <c r="G202" i="5"/>
  <c r="AC207" i="6"/>
  <c r="AA207" i="6"/>
  <c r="Y207" i="6"/>
  <c r="K207" i="6"/>
  <c r="I207" i="6"/>
  <c r="Q201" i="5"/>
  <c r="AC201" i="5" s="1"/>
  <c r="G201" i="5"/>
  <c r="M201" i="5" s="1"/>
  <c r="I204" i="6"/>
  <c r="Q199" i="5"/>
  <c r="AC199" i="6"/>
  <c r="AA199" i="6"/>
  <c r="Y199" i="6"/>
  <c r="K199" i="6"/>
  <c r="I199" i="6"/>
  <c r="AC196" i="5"/>
  <c r="M196" i="5"/>
  <c r="U198" i="6"/>
  <c r="I198" i="6"/>
  <c r="AE196" i="5" l="1"/>
  <c r="AI196" i="5" s="1"/>
  <c r="AE201" i="5"/>
  <c r="AI201" i="5" s="1"/>
  <c r="U196" i="6"/>
  <c r="Y196" i="6" s="1"/>
  <c r="AC196" i="6"/>
  <c r="AA196" i="6"/>
  <c r="K196" i="6"/>
  <c r="I196" i="6"/>
  <c r="Q194" i="5"/>
  <c r="AC194" i="5" s="1"/>
  <c r="M194" i="5"/>
  <c r="U195" i="6"/>
  <c r="Y195" i="6" s="1"/>
  <c r="I195" i="6"/>
  <c r="W193" i="5"/>
  <c r="AC193" i="5" s="1"/>
  <c r="M193" i="5"/>
  <c r="U194" i="6"/>
  <c r="Y194" i="6" s="1"/>
  <c r="AC194" i="6"/>
  <c r="AA194" i="6"/>
  <c r="K194" i="6"/>
  <c r="I194" i="6"/>
  <c r="K195" i="6"/>
  <c r="AA195" i="6"/>
  <c r="AC195" i="6"/>
  <c r="G192" i="5"/>
  <c r="M192" i="5" s="1"/>
  <c r="Q192" i="5"/>
  <c r="AC192" i="5" s="1"/>
  <c r="AC193" i="6"/>
  <c r="AA193" i="6"/>
  <c r="Y193" i="6"/>
  <c r="K193" i="6"/>
  <c r="I193" i="6"/>
  <c r="AC191" i="5"/>
  <c r="M191" i="5"/>
  <c r="AC192" i="6"/>
  <c r="AA192" i="6"/>
  <c r="Y192" i="6"/>
  <c r="K192" i="6"/>
  <c r="I192" i="6"/>
  <c r="AC189" i="5"/>
  <c r="M189" i="5"/>
  <c r="AC191" i="6"/>
  <c r="AA191" i="6"/>
  <c r="Y191" i="6"/>
  <c r="K191" i="6"/>
  <c r="I191" i="6"/>
  <c r="AC188" i="5"/>
  <c r="M188" i="5"/>
  <c r="U190" i="6"/>
  <c r="I190" i="6"/>
  <c r="Q187" i="5"/>
  <c r="U189" i="6"/>
  <c r="I189" i="6"/>
  <c r="Q186" i="5"/>
  <c r="I188" i="6"/>
  <c r="AE189" i="5" l="1"/>
  <c r="AI189" i="5" s="1"/>
  <c r="AE194" i="5"/>
  <c r="AI194" i="5" s="1"/>
  <c r="AE193" i="5"/>
  <c r="AI193" i="5" s="1"/>
  <c r="AE192" i="5"/>
  <c r="AI192" i="5" s="1"/>
  <c r="AE191" i="5"/>
  <c r="AI191" i="5" s="1"/>
  <c r="AE188" i="5"/>
  <c r="AI188" i="5" s="1"/>
  <c r="U187" i="6"/>
  <c r="I187" i="6"/>
  <c r="G184" i="5"/>
  <c r="H267" i="3"/>
  <c r="H267" i="2"/>
  <c r="U186" i="6"/>
  <c r="I186" i="6"/>
  <c r="I184" i="6"/>
  <c r="U183" i="6"/>
  <c r="I183" i="6"/>
  <c r="Q180" i="5"/>
  <c r="G180" i="5"/>
  <c r="AC178" i="6"/>
  <c r="AA178" i="6"/>
  <c r="Y178" i="6"/>
  <c r="I178" i="6"/>
  <c r="Q177" i="5"/>
  <c r="AC177" i="5" s="1"/>
  <c r="M177" i="5"/>
  <c r="U177" i="6"/>
  <c r="G176" i="5"/>
  <c r="M176" i="5" s="1"/>
  <c r="AC177" i="6"/>
  <c r="AA177" i="6"/>
  <c r="Y177" i="6"/>
  <c r="I177" i="6"/>
  <c r="AC176" i="5"/>
  <c r="H253" i="3"/>
  <c r="U176" i="6"/>
  <c r="Y176" i="6" s="1"/>
  <c r="AC176" i="6"/>
  <c r="AA176" i="6"/>
  <c r="I176" i="6"/>
  <c r="AC175" i="5"/>
  <c r="M175" i="5"/>
  <c r="AH252" i="3"/>
  <c r="AH252" i="2"/>
  <c r="AH254" i="4"/>
  <c r="AH253" i="1"/>
  <c r="U172" i="6"/>
  <c r="Y172" i="6" s="1"/>
  <c r="AC172" i="6"/>
  <c r="AA172" i="6"/>
  <c r="I172" i="6"/>
  <c r="G174" i="5"/>
  <c r="M174" i="5" s="1"/>
  <c r="Q174" i="5"/>
  <c r="AC174" i="5" s="1"/>
  <c r="U173" i="5"/>
  <c r="AC173" i="5" s="1"/>
  <c r="T249" i="4"/>
  <c r="AC171" i="6"/>
  <c r="AA171" i="6"/>
  <c r="Y171" i="6"/>
  <c r="I171" i="6"/>
  <c r="M173" i="5"/>
  <c r="U170" i="6"/>
  <c r="Y170" i="6" s="1"/>
  <c r="AC170" i="6"/>
  <c r="AA170" i="6"/>
  <c r="I170" i="6"/>
  <c r="Q172" i="5"/>
  <c r="AC172" i="5" s="1"/>
  <c r="M172" i="5"/>
  <c r="AC167" i="6"/>
  <c r="AA167" i="6"/>
  <c r="Y167" i="6"/>
  <c r="I167" i="6"/>
  <c r="Q170" i="5"/>
  <c r="AC170" i="5" s="1"/>
  <c r="M170" i="5"/>
  <c r="AC166" i="6"/>
  <c r="AA166" i="6"/>
  <c r="Y166" i="6"/>
  <c r="I166" i="6"/>
  <c r="M169" i="5"/>
  <c r="U165" i="6"/>
  <c r="Y165" i="6" s="1"/>
  <c r="AC165" i="6"/>
  <c r="AA165" i="6"/>
  <c r="I165" i="6"/>
  <c r="Q168" i="5"/>
  <c r="AC157" i="6"/>
  <c r="AA157" i="6"/>
  <c r="Y157" i="6"/>
  <c r="I157" i="6"/>
  <c r="W163" i="5"/>
  <c r="Q163" i="5"/>
  <c r="M163" i="5"/>
  <c r="H236" i="3"/>
  <c r="H236" i="2"/>
  <c r="Y156" i="6"/>
  <c r="AC156" i="6"/>
  <c r="AA156" i="6"/>
  <c r="I156" i="6"/>
  <c r="Q162" i="5"/>
  <c r="AC162" i="5" s="1"/>
  <c r="M162" i="5"/>
  <c r="I154" i="6"/>
  <c r="W160" i="5"/>
  <c r="G160" i="5"/>
  <c r="AC153" i="6"/>
  <c r="AA153" i="6"/>
  <c r="Y153" i="6"/>
  <c r="K153" i="6"/>
  <c r="I153" i="6"/>
  <c r="W159" i="5"/>
  <c r="AC159" i="5"/>
  <c r="M159" i="5"/>
  <c r="H230" i="3"/>
  <c r="V232" i="4"/>
  <c r="H230" i="2"/>
  <c r="V231" i="1"/>
  <c r="U152" i="6"/>
  <c r="I152" i="6"/>
  <c r="U151" i="6"/>
  <c r="Y151" i="6" s="1"/>
  <c r="AC151" i="6"/>
  <c r="AA151" i="6"/>
  <c r="K151" i="6"/>
  <c r="I151" i="6"/>
  <c r="Q157" i="5"/>
  <c r="AC157" i="5" s="1"/>
  <c r="M157" i="5"/>
  <c r="U150" i="6"/>
  <c r="Y150" i="6" s="1"/>
  <c r="AC150" i="6"/>
  <c r="AA150" i="6"/>
  <c r="K150" i="6"/>
  <c r="I150" i="6"/>
  <c r="G156" i="5"/>
  <c r="M156" i="5" s="1"/>
  <c r="Q156" i="5"/>
  <c r="AC156" i="5" s="1"/>
  <c r="U147" i="6"/>
  <c r="I147" i="6"/>
  <c r="AC146" i="6"/>
  <c r="AA146" i="6"/>
  <c r="Y146" i="6"/>
  <c r="K146" i="6"/>
  <c r="I146" i="6"/>
  <c r="E154" i="5"/>
  <c r="M154" i="5" s="1"/>
  <c r="AC154" i="5"/>
  <c r="I145" i="6"/>
  <c r="AC153" i="5"/>
  <c r="M153" i="5"/>
  <c r="U141" i="6"/>
  <c r="I141" i="6"/>
  <c r="Q148" i="5"/>
  <c r="Y139" i="6"/>
  <c r="AC139" i="6"/>
  <c r="AA139" i="6"/>
  <c r="K139" i="6"/>
  <c r="I139" i="6"/>
  <c r="AC147" i="5"/>
  <c r="M147" i="5"/>
  <c r="H211" i="3"/>
  <c r="AC163" i="5" l="1"/>
  <c r="AE163" i="5" s="1"/>
  <c r="AI163" i="5" s="1"/>
  <c r="AE177" i="5"/>
  <c r="AI177" i="5" s="1"/>
  <c r="AE176" i="5"/>
  <c r="AI176" i="5" s="1"/>
  <c r="AE175" i="5"/>
  <c r="AI175" i="5" s="1"/>
  <c r="AE174" i="5"/>
  <c r="AI174" i="5" s="1"/>
  <c r="AE173" i="5"/>
  <c r="AI173" i="5" s="1"/>
  <c r="AE172" i="5"/>
  <c r="AI172" i="5" s="1"/>
  <c r="AE170" i="5"/>
  <c r="AI170" i="5" s="1"/>
  <c r="AE169" i="5"/>
  <c r="AI169" i="5" s="1"/>
  <c r="AE162" i="5"/>
  <c r="AI162" i="5" s="1"/>
  <c r="AE159" i="5"/>
  <c r="AI159" i="5" s="1"/>
  <c r="AE157" i="5"/>
  <c r="AI157" i="5" s="1"/>
  <c r="AE156" i="5"/>
  <c r="AI156" i="5" s="1"/>
  <c r="AE154" i="5"/>
  <c r="AI154" i="5" s="1"/>
  <c r="AE147" i="5"/>
  <c r="AI147" i="5" s="1"/>
  <c r="AE153" i="5"/>
  <c r="AI153" i="5" s="1"/>
  <c r="H211" i="2"/>
  <c r="AC138" i="6"/>
  <c r="AA138" i="6"/>
  <c r="Y138" i="6"/>
  <c r="K138" i="6"/>
  <c r="I138" i="6"/>
  <c r="AC146" i="5"/>
  <c r="M146" i="5"/>
  <c r="AC137" i="6"/>
  <c r="AA137" i="6"/>
  <c r="Y137" i="6"/>
  <c r="K137" i="6"/>
  <c r="I137" i="6"/>
  <c r="AC145" i="5"/>
  <c r="M145" i="5"/>
  <c r="U136" i="6"/>
  <c r="Y136" i="6" s="1"/>
  <c r="AC136" i="6"/>
  <c r="AA136" i="6"/>
  <c r="K136" i="6"/>
  <c r="I136" i="6"/>
  <c r="E144" i="5"/>
  <c r="M144" i="5" s="1"/>
  <c r="AC144" i="5"/>
  <c r="H207" i="3"/>
  <c r="AE146" i="5" l="1"/>
  <c r="AI146" i="5" s="1"/>
  <c r="AE145" i="5"/>
  <c r="AI145" i="5" s="1"/>
  <c r="AE144" i="5"/>
  <c r="AI144" i="5" s="1"/>
  <c r="U127" i="6"/>
  <c r="W136" i="5"/>
  <c r="Q136" i="5"/>
  <c r="AD201" i="4"/>
  <c r="AH201" i="4" s="1"/>
  <c r="U118" i="6"/>
  <c r="Q112" i="5"/>
  <c r="U116" i="6"/>
  <c r="Q111" i="5"/>
  <c r="U115" i="6"/>
  <c r="Q110" i="5"/>
  <c r="Q108" i="5"/>
  <c r="U108" i="6"/>
  <c r="E104" i="5"/>
  <c r="Q104" i="5"/>
  <c r="H156" i="3"/>
  <c r="AH156" i="3" s="1"/>
  <c r="U103" i="6"/>
  <c r="W99" i="5"/>
  <c r="R151" i="4"/>
  <c r="AC99" i="6"/>
  <c r="AA99" i="6"/>
  <c r="Y99" i="6"/>
  <c r="K99" i="6"/>
  <c r="I99" i="6"/>
  <c r="W94" i="5"/>
  <c r="G94" i="5"/>
  <c r="Q94" i="5"/>
  <c r="U93" i="6"/>
  <c r="U91" i="6"/>
  <c r="T133" i="3"/>
  <c r="H133" i="3"/>
  <c r="H133" i="2"/>
  <c r="U77" i="6"/>
  <c r="I77" i="6"/>
  <c r="W75" i="5"/>
  <c r="H112" i="3"/>
  <c r="AH112" i="3" s="1"/>
  <c r="V113" i="4"/>
  <c r="H112" i="2"/>
  <c r="V112" i="1"/>
  <c r="U75" i="6"/>
  <c r="I75" i="6"/>
  <c r="U65" i="6"/>
  <c r="Y65" i="6" s="1"/>
  <c r="AC65" i="6"/>
  <c r="AA65" i="6"/>
  <c r="K65" i="6"/>
  <c r="I65" i="6"/>
  <c r="I60" i="6"/>
  <c r="W60" i="5"/>
  <c r="AC56" i="6"/>
  <c r="AC57" i="6"/>
  <c r="AC58" i="6"/>
  <c r="AA56" i="6"/>
  <c r="AA57" i="6"/>
  <c r="AA58" i="6"/>
  <c r="E58" i="5"/>
  <c r="H86" i="3"/>
  <c r="AH86" i="3" s="1"/>
  <c r="H86" i="2"/>
  <c r="AH86" i="2" s="1"/>
  <c r="U54" i="6"/>
  <c r="I54" i="6"/>
  <c r="G54" i="5"/>
  <c r="W54" i="5"/>
  <c r="U53" i="6"/>
  <c r="I53" i="6"/>
  <c r="Q53" i="5"/>
  <c r="H77" i="3"/>
  <c r="AH77" i="3" s="1"/>
  <c r="H77" i="2"/>
  <c r="U52" i="6"/>
  <c r="I52" i="6"/>
  <c r="W52" i="5"/>
  <c r="V77" i="4"/>
  <c r="AH77" i="4" s="1"/>
  <c r="V76" i="1"/>
  <c r="G52" i="5"/>
  <c r="AC50" i="6"/>
  <c r="AA50" i="6"/>
  <c r="U50" i="6"/>
  <c r="Y50" i="6" s="1"/>
  <c r="I50" i="6"/>
  <c r="W50" i="5"/>
  <c r="Q50" i="5"/>
  <c r="M50" i="5"/>
  <c r="U47" i="6"/>
  <c r="Y47" i="6" s="1"/>
  <c r="I47" i="6"/>
  <c r="AG47" i="5"/>
  <c r="W47" i="5"/>
  <c r="G47" i="5"/>
  <c r="Q47" i="5"/>
  <c r="U45" i="6"/>
  <c r="I45" i="6"/>
  <c r="AH20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7" i="2"/>
  <c r="AH88" i="2"/>
  <c r="AH20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6" i="3"/>
  <c r="AH67" i="3"/>
  <c r="AH68" i="3"/>
  <c r="AH69" i="3"/>
  <c r="AH70" i="3"/>
  <c r="AH71" i="3"/>
  <c r="AH72" i="3"/>
  <c r="AH73" i="3"/>
  <c r="AH74" i="3"/>
  <c r="AH75" i="3"/>
  <c r="AH76" i="3"/>
  <c r="AH78" i="3"/>
  <c r="AH79" i="3"/>
  <c r="AH80" i="3"/>
  <c r="AH81" i="3"/>
  <c r="AH82" i="3"/>
  <c r="AH83" i="3"/>
  <c r="AH84" i="3"/>
  <c r="AH85" i="3"/>
  <c r="AH87" i="3"/>
  <c r="AH88" i="3"/>
  <c r="AH89" i="3"/>
  <c r="AH90" i="3"/>
  <c r="AH91" i="3"/>
  <c r="AH92" i="3"/>
  <c r="AH93" i="3"/>
  <c r="AH94" i="3"/>
  <c r="AH95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4" i="3"/>
  <c r="AH135" i="3"/>
  <c r="AH136" i="3"/>
  <c r="AH137" i="3"/>
  <c r="AH138" i="3"/>
  <c r="AH139" i="3"/>
  <c r="AH140" i="3"/>
  <c r="AH141" i="3"/>
  <c r="AH142" i="3"/>
  <c r="AH143" i="3"/>
  <c r="AH144" i="3"/>
  <c r="AH145" i="3"/>
  <c r="AH146" i="3"/>
  <c r="AH147" i="3"/>
  <c r="AH148" i="3"/>
  <c r="AH149" i="3"/>
  <c r="AH150" i="3"/>
  <c r="AH151" i="3"/>
  <c r="AH152" i="3"/>
  <c r="AH153" i="3"/>
  <c r="AH154" i="3"/>
  <c r="AH155" i="3"/>
  <c r="AH157" i="3"/>
  <c r="AH158" i="3"/>
  <c r="AH159" i="3"/>
  <c r="AH160" i="3"/>
  <c r="AH161" i="3"/>
  <c r="AH162" i="3"/>
  <c r="AH163" i="3"/>
  <c r="AH164" i="3"/>
  <c r="AH165" i="3"/>
  <c r="AH166" i="3"/>
  <c r="AH167" i="3"/>
  <c r="AH168" i="3"/>
  <c r="AH169" i="3"/>
  <c r="AH170" i="3"/>
  <c r="AH171" i="3"/>
  <c r="AH173" i="3"/>
  <c r="AH174" i="3"/>
  <c r="AH175" i="3"/>
  <c r="AH176" i="3"/>
  <c r="AH177" i="3"/>
  <c r="AH178" i="3"/>
  <c r="AH179" i="3"/>
  <c r="AH190" i="3"/>
  <c r="AH191" i="3"/>
  <c r="AH192" i="3"/>
  <c r="AH193" i="3"/>
  <c r="AH194" i="3"/>
  <c r="AH195" i="3"/>
  <c r="AH196" i="3"/>
  <c r="AH197" i="3"/>
  <c r="AH198" i="3"/>
  <c r="AH199" i="3"/>
  <c r="AH200" i="3"/>
  <c r="AH201" i="3"/>
  <c r="AH202" i="3"/>
  <c r="AH203" i="3"/>
  <c r="AH204" i="3"/>
  <c r="AH205" i="3"/>
  <c r="AH206" i="3"/>
  <c r="AH207" i="3"/>
  <c r="AH208" i="3"/>
  <c r="AH209" i="3"/>
  <c r="AH210" i="3"/>
  <c r="AH211" i="3"/>
  <c r="AH212" i="3"/>
  <c r="AH213" i="3"/>
  <c r="AH214" i="3"/>
  <c r="AH215" i="3"/>
  <c r="AH216" i="3"/>
  <c r="AH217" i="3"/>
  <c r="AH218" i="3"/>
  <c r="AH219" i="3"/>
  <c r="AH220" i="3"/>
  <c r="AH221" i="3"/>
  <c r="AH222" i="3"/>
  <c r="AH223" i="3"/>
  <c r="AH224" i="3"/>
  <c r="AH225" i="3"/>
  <c r="AH226" i="3"/>
  <c r="AH227" i="3"/>
  <c r="AH228" i="3"/>
  <c r="AH229" i="3"/>
  <c r="AH230" i="3"/>
  <c r="AH231" i="3"/>
  <c r="AH232" i="3"/>
  <c r="AH233" i="3"/>
  <c r="AH234" i="3"/>
  <c r="AH235" i="3"/>
  <c r="AH236" i="3"/>
  <c r="AH237" i="3"/>
  <c r="AH238" i="3"/>
  <c r="AH239" i="3"/>
  <c r="AH240" i="3"/>
  <c r="AH241" i="3"/>
  <c r="AH242" i="3"/>
  <c r="AH243" i="3"/>
  <c r="AH244" i="3"/>
  <c r="AH245" i="3"/>
  <c r="AH246" i="3"/>
  <c r="AH247" i="3"/>
  <c r="AH248" i="3"/>
  <c r="AH249" i="3"/>
  <c r="AH250" i="3"/>
  <c r="AH251" i="3"/>
  <c r="AH253" i="3"/>
  <c r="AH254" i="3"/>
  <c r="AH255" i="3"/>
  <c r="AH256" i="3"/>
  <c r="AH257" i="3"/>
  <c r="AH258" i="3"/>
  <c r="AH259" i="3"/>
  <c r="AH260" i="3"/>
  <c r="AH261" i="3"/>
  <c r="AH262" i="3"/>
  <c r="AH263" i="3"/>
  <c r="AH264" i="3"/>
  <c r="AH265" i="3"/>
  <c r="AH266" i="3"/>
  <c r="AH267" i="3"/>
  <c r="AH268" i="3"/>
  <c r="AH269" i="3"/>
  <c r="AH270" i="3"/>
  <c r="AH271" i="3"/>
  <c r="AH272" i="3"/>
  <c r="AH273" i="3"/>
  <c r="AH274" i="3"/>
  <c r="AH275" i="3"/>
  <c r="AH276" i="3"/>
  <c r="AH277" i="3"/>
  <c r="AH278" i="3"/>
  <c r="AH279" i="3"/>
  <c r="AH280" i="3"/>
  <c r="AH281" i="3"/>
  <c r="AH282" i="3"/>
  <c r="AH283" i="3"/>
  <c r="AH284" i="3"/>
  <c r="AH285" i="3"/>
  <c r="AH286" i="3"/>
  <c r="AH287" i="3"/>
  <c r="AH288" i="3"/>
  <c r="AH289" i="3"/>
  <c r="AH290" i="3"/>
  <c r="AH291" i="3"/>
  <c r="AH292" i="3"/>
  <c r="AH293" i="3"/>
  <c r="AH294" i="3"/>
  <c r="W45" i="5"/>
  <c r="U44" i="6"/>
  <c r="I44" i="6"/>
  <c r="G44" i="5"/>
  <c r="I43" i="6"/>
  <c r="U43" i="6"/>
  <c r="E43" i="5"/>
  <c r="H65" i="3"/>
  <c r="AH65" i="3" s="1"/>
  <c r="H65" i="2"/>
  <c r="AH65" i="2" s="1"/>
  <c r="W43" i="5"/>
  <c r="U41" i="6"/>
  <c r="Y41" i="6" s="1"/>
  <c r="I41" i="6"/>
  <c r="W42" i="5"/>
  <c r="AH21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40" i="4"/>
  <c r="AH41" i="4"/>
  <c r="AH42" i="4"/>
  <c r="AH43" i="4"/>
  <c r="AH44" i="4"/>
  <c r="AH45" i="4"/>
  <c r="AH46" i="4"/>
  <c r="AH47" i="4"/>
  <c r="AH48" i="4"/>
  <c r="AH50" i="4"/>
  <c r="AH51" i="4"/>
  <c r="AH52" i="4"/>
  <c r="AH53" i="4"/>
  <c r="AH54" i="4"/>
  <c r="AH55" i="4"/>
  <c r="AH56" i="4"/>
  <c r="AH57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9" i="4"/>
  <c r="AH170" i="4"/>
  <c r="AH171" i="4"/>
  <c r="AH172" i="4"/>
  <c r="AH174" i="4"/>
  <c r="AH175" i="4"/>
  <c r="AH176" i="4"/>
  <c r="AH177" i="4"/>
  <c r="AH178" i="4"/>
  <c r="AH179" i="4"/>
  <c r="AH180" i="4"/>
  <c r="AH181" i="4"/>
  <c r="AH182" i="4"/>
  <c r="AH202" i="4"/>
  <c r="AH203" i="4"/>
  <c r="AH183" i="4"/>
  <c r="AH184" i="4"/>
  <c r="AH185" i="4"/>
  <c r="AH186" i="4"/>
  <c r="AH204" i="4"/>
  <c r="AH205" i="4"/>
  <c r="AH206" i="4"/>
  <c r="AH207" i="4"/>
  <c r="AH208" i="4"/>
  <c r="AH187" i="4"/>
  <c r="AH188" i="4"/>
  <c r="AH189" i="4"/>
  <c r="AH209" i="4"/>
  <c r="AH210" i="4"/>
  <c r="AH211" i="4"/>
  <c r="AH212" i="4"/>
  <c r="AH213" i="4"/>
  <c r="AH214" i="4"/>
  <c r="AH215" i="4"/>
  <c r="AH216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AH244" i="4"/>
  <c r="AH245" i="4"/>
  <c r="AH246" i="4"/>
  <c r="AH247" i="4"/>
  <c r="AH248" i="4"/>
  <c r="AH249" i="4"/>
  <c r="AH250" i="4"/>
  <c r="AH251" i="4"/>
  <c r="AH252" i="4"/>
  <c r="AH253" i="4"/>
  <c r="AH255" i="4"/>
  <c r="AH256" i="4"/>
  <c r="AH257" i="4"/>
  <c r="AH258" i="4"/>
  <c r="AH259" i="4"/>
  <c r="AH260" i="4"/>
  <c r="AH261" i="4"/>
  <c r="AH262" i="4"/>
  <c r="AH263" i="4"/>
  <c r="AH264" i="4"/>
  <c r="AH265" i="4"/>
  <c r="AH266" i="4"/>
  <c r="AH267" i="4"/>
  <c r="AH268" i="4"/>
  <c r="AH269" i="4"/>
  <c r="AH270" i="4"/>
  <c r="AH271" i="4"/>
  <c r="AH272" i="4"/>
  <c r="AH273" i="4"/>
  <c r="AH274" i="4"/>
  <c r="AH275" i="4"/>
  <c r="AH276" i="4"/>
  <c r="AH277" i="4"/>
  <c r="AH278" i="4"/>
  <c r="AH279" i="4"/>
  <c r="AH280" i="4"/>
  <c r="AH281" i="4"/>
  <c r="AH282" i="4"/>
  <c r="AH283" i="4"/>
  <c r="AH284" i="4"/>
  <c r="AH285" i="4"/>
  <c r="AH286" i="4"/>
  <c r="AH287" i="4"/>
  <c r="AH288" i="4"/>
  <c r="AH289" i="4"/>
  <c r="AH290" i="4"/>
  <c r="AH291" i="4"/>
  <c r="AH292" i="4"/>
  <c r="AH293" i="4"/>
  <c r="AH294" i="4"/>
  <c r="AH295" i="4"/>
  <c r="AH296" i="4"/>
  <c r="U132" i="6"/>
  <c r="Y132" i="6" s="1"/>
  <c r="AC132" i="6"/>
  <c r="AA132" i="6"/>
  <c r="K132" i="6"/>
  <c r="I132" i="6"/>
  <c r="AC141" i="5"/>
  <c r="G141" i="5"/>
  <c r="M141" i="5" s="1"/>
  <c r="I130" i="6"/>
  <c r="U130" i="6"/>
  <c r="G138" i="5"/>
  <c r="AC50" i="5" l="1"/>
  <c r="AE50" i="5" s="1"/>
  <c r="AI50" i="5" s="1"/>
  <c r="AH133" i="3"/>
  <c r="AE141" i="5"/>
  <c r="AI141" i="5" s="1"/>
  <c r="U129" i="6"/>
  <c r="I129" i="6"/>
  <c r="Q137" i="5"/>
  <c r="AC127" i="6"/>
  <c r="AA127" i="6"/>
  <c r="Y127" i="6"/>
  <c r="K127" i="6"/>
  <c r="I127" i="6"/>
  <c r="AC136" i="5"/>
  <c r="M136" i="5"/>
  <c r="AC126" i="6"/>
  <c r="AA126" i="6"/>
  <c r="Y126" i="6"/>
  <c r="K126" i="6"/>
  <c r="I126" i="6"/>
  <c r="AC119" i="5"/>
  <c r="M119" i="5"/>
  <c r="I125" i="6"/>
  <c r="AC118" i="5"/>
  <c r="M118" i="5"/>
  <c r="U119" i="6"/>
  <c r="Y119" i="6" s="1"/>
  <c r="AC119" i="6"/>
  <c r="AA119" i="6"/>
  <c r="K119" i="6"/>
  <c r="I119" i="6"/>
  <c r="Q113" i="5"/>
  <c r="AC118" i="6"/>
  <c r="AA118" i="6"/>
  <c r="Y118" i="6"/>
  <c r="K118" i="6"/>
  <c r="I118" i="6"/>
  <c r="H168" i="4"/>
  <c r="AH168" i="4" s="1"/>
  <c r="H168" i="1"/>
  <c r="AC116" i="6"/>
  <c r="AA116" i="6"/>
  <c r="Y116" i="6"/>
  <c r="K116" i="6"/>
  <c r="I116" i="6"/>
  <c r="AC111" i="5"/>
  <c r="M111" i="5"/>
  <c r="AC115" i="6"/>
  <c r="AA115" i="6"/>
  <c r="Y115" i="6"/>
  <c r="K115" i="6"/>
  <c r="I115" i="6"/>
  <c r="AC113" i="6"/>
  <c r="AA113" i="6"/>
  <c r="Y113" i="6"/>
  <c r="K113" i="6"/>
  <c r="I113" i="6"/>
  <c r="AC108" i="5"/>
  <c r="M108" i="5"/>
  <c r="AC108" i="6"/>
  <c r="AA108" i="6"/>
  <c r="Y108" i="6"/>
  <c r="K108" i="6"/>
  <c r="I108" i="6"/>
  <c r="AC104" i="5"/>
  <c r="M104" i="5"/>
  <c r="AC105" i="5"/>
  <c r="AC107" i="6"/>
  <c r="AA107" i="6"/>
  <c r="Y107" i="6"/>
  <c r="K107" i="6"/>
  <c r="I107" i="6"/>
  <c r="G103" i="5"/>
  <c r="M103" i="5" s="1"/>
  <c r="Q103" i="5"/>
  <c r="AC103" i="5" s="1"/>
  <c r="AC106" i="6"/>
  <c r="AA106" i="6"/>
  <c r="Y106" i="6"/>
  <c r="K106" i="6"/>
  <c r="I106" i="6"/>
  <c r="Q102" i="5"/>
  <c r="AC102" i="5" s="1"/>
  <c r="M102" i="5"/>
  <c r="U104" i="6"/>
  <c r="Y104" i="6" s="1"/>
  <c r="AC104" i="6"/>
  <c r="AA104" i="6"/>
  <c r="K104" i="6"/>
  <c r="I104" i="6"/>
  <c r="G100" i="5"/>
  <c r="Q100" i="5"/>
  <c r="AC103" i="6"/>
  <c r="AA103" i="6"/>
  <c r="Y103" i="6"/>
  <c r="K103" i="6"/>
  <c r="I103" i="6"/>
  <c r="U102" i="6"/>
  <c r="Y102" i="6" s="1"/>
  <c r="AC102" i="6"/>
  <c r="AA102" i="6"/>
  <c r="K102" i="6"/>
  <c r="I102" i="6"/>
  <c r="Q98" i="5"/>
  <c r="G98" i="5"/>
  <c r="U101" i="6"/>
  <c r="Y101" i="6" s="1"/>
  <c r="AC101" i="6"/>
  <c r="AA101" i="6"/>
  <c r="K101" i="6"/>
  <c r="I101" i="6"/>
  <c r="AC97" i="5"/>
  <c r="M97" i="5"/>
  <c r="U100" i="6"/>
  <c r="Y100" i="6" s="1"/>
  <c r="AC100" i="6"/>
  <c r="AA100" i="6"/>
  <c r="K100" i="6"/>
  <c r="I100" i="6"/>
  <c r="Q96" i="5"/>
  <c r="AC96" i="5" s="1"/>
  <c r="M96" i="5"/>
  <c r="AC95" i="5"/>
  <c r="M95" i="5"/>
  <c r="AH146" i="2"/>
  <c r="AH147" i="1"/>
  <c r="AC94" i="5"/>
  <c r="M94" i="5"/>
  <c r="AC98" i="6"/>
  <c r="AA98" i="6"/>
  <c r="Y98" i="6"/>
  <c r="K98" i="6"/>
  <c r="I98" i="6"/>
  <c r="U97" i="6"/>
  <c r="Y97" i="6" s="1"/>
  <c r="AC97" i="6"/>
  <c r="AA97" i="6"/>
  <c r="K97" i="6"/>
  <c r="I97" i="6"/>
  <c r="G93" i="5"/>
  <c r="M93" i="5" s="1"/>
  <c r="Q93" i="5"/>
  <c r="AC93" i="5" s="1"/>
  <c r="AC93" i="6"/>
  <c r="AA93" i="6"/>
  <c r="Y93" i="6"/>
  <c r="K93" i="6"/>
  <c r="I93" i="6"/>
  <c r="AC92" i="6"/>
  <c r="AA92" i="6"/>
  <c r="Y92" i="6"/>
  <c r="K92" i="6"/>
  <c r="I92" i="6"/>
  <c r="AC91" i="6"/>
  <c r="AA91" i="6"/>
  <c r="Y91" i="6"/>
  <c r="K91" i="6"/>
  <c r="I91" i="6"/>
  <c r="AC88" i="5"/>
  <c r="M88" i="5"/>
  <c r="AC88" i="6"/>
  <c r="AA88" i="6"/>
  <c r="Y88" i="6"/>
  <c r="K88" i="6"/>
  <c r="I88" i="6"/>
  <c r="AC86" i="5"/>
  <c r="M86" i="5"/>
  <c r="U86" i="6"/>
  <c r="Y86" i="6" s="1"/>
  <c r="AC86" i="6"/>
  <c r="AA86" i="6"/>
  <c r="K86" i="6"/>
  <c r="I86" i="6"/>
  <c r="G83" i="5"/>
  <c r="M83" i="5" s="1"/>
  <c r="Q83" i="5"/>
  <c r="AC83" i="5" s="1"/>
  <c r="AC84" i="5"/>
  <c r="AC83" i="6"/>
  <c r="AA83" i="6"/>
  <c r="Y83" i="6"/>
  <c r="K83" i="6"/>
  <c r="I83" i="6"/>
  <c r="AC81" i="5"/>
  <c r="M81" i="5"/>
  <c r="U80" i="6"/>
  <c r="Y80" i="6" s="1"/>
  <c r="AC80" i="6"/>
  <c r="AA80" i="6"/>
  <c r="K80" i="6"/>
  <c r="I80" i="6"/>
  <c r="AC78" i="5"/>
  <c r="M78" i="5"/>
  <c r="AC79" i="6"/>
  <c r="AA79" i="6"/>
  <c r="Y79" i="6"/>
  <c r="K79" i="6"/>
  <c r="I79" i="6"/>
  <c r="AC77" i="5"/>
  <c r="M77" i="5"/>
  <c r="I78" i="6"/>
  <c r="AC78" i="6"/>
  <c r="AA78" i="6"/>
  <c r="Y78" i="6"/>
  <c r="K78" i="6"/>
  <c r="AC76" i="5"/>
  <c r="M76" i="5"/>
  <c r="I76" i="6"/>
  <c r="AC76" i="6"/>
  <c r="AA76" i="6"/>
  <c r="Y76" i="6"/>
  <c r="K76" i="6"/>
  <c r="G74" i="5"/>
  <c r="Q74" i="5"/>
  <c r="AC74" i="5" s="1"/>
  <c r="M73" i="5"/>
  <c r="E74" i="5"/>
  <c r="M70" i="5"/>
  <c r="M71" i="5"/>
  <c r="M72" i="5"/>
  <c r="Q72" i="5"/>
  <c r="AE103" i="5" l="1"/>
  <c r="AI103" i="5" s="1"/>
  <c r="AE88" i="5"/>
  <c r="AI88" i="5" s="1"/>
  <c r="AE136" i="5"/>
  <c r="AI136" i="5" s="1"/>
  <c r="AE119" i="5"/>
  <c r="AI119" i="5" s="1"/>
  <c r="AE111" i="5"/>
  <c r="AI111" i="5" s="1"/>
  <c r="AE108" i="5"/>
  <c r="AI108" i="5" s="1"/>
  <c r="AE94" i="5"/>
  <c r="AI94" i="5" s="1"/>
  <c r="AE118" i="5"/>
  <c r="AI118" i="5" s="1"/>
  <c r="AE104" i="5"/>
  <c r="AI104" i="5" s="1"/>
  <c r="AE102" i="5"/>
  <c r="AI102" i="5" s="1"/>
  <c r="AE97" i="5"/>
  <c r="AI97" i="5" s="1"/>
  <c r="AE96" i="5"/>
  <c r="AI96" i="5" s="1"/>
  <c r="AE95" i="5"/>
  <c r="AI95" i="5" s="1"/>
  <c r="AE93" i="5"/>
  <c r="AI93" i="5" s="1"/>
  <c r="AE86" i="5"/>
  <c r="AI86" i="5" s="1"/>
  <c r="AE83" i="5"/>
  <c r="AI83" i="5" s="1"/>
  <c r="M74" i="5"/>
  <c r="AE74" i="5" s="1"/>
  <c r="AI74" i="5" s="1"/>
  <c r="AE81" i="5"/>
  <c r="AI81" i="5" s="1"/>
  <c r="AE76" i="5"/>
  <c r="AI76" i="5" s="1"/>
  <c r="AE78" i="5"/>
  <c r="AI78" i="5" s="1"/>
  <c r="AE77" i="5"/>
  <c r="AI77" i="5" s="1"/>
  <c r="AC72" i="6"/>
  <c r="AA72" i="6"/>
  <c r="Y72" i="6"/>
  <c r="K72" i="6"/>
  <c r="I72" i="6"/>
  <c r="Q69" i="5"/>
  <c r="AC69" i="5" s="1"/>
  <c r="M69" i="5"/>
  <c r="AC71" i="6"/>
  <c r="AA71" i="6"/>
  <c r="Y71" i="6"/>
  <c r="K71" i="6"/>
  <c r="I71" i="6"/>
  <c r="G68" i="5"/>
  <c r="M68" i="5" s="1"/>
  <c r="AC68" i="5"/>
  <c r="AC68" i="6"/>
  <c r="AA68" i="6"/>
  <c r="Y68" i="6"/>
  <c r="K68" i="6"/>
  <c r="I68" i="6"/>
  <c r="Q66" i="5"/>
  <c r="AC66" i="5" s="1"/>
  <c r="M66" i="5"/>
  <c r="E64" i="5"/>
  <c r="M64" i="5" s="1"/>
  <c r="AC64" i="5"/>
  <c r="H96" i="3"/>
  <c r="AH96" i="3" s="1"/>
  <c r="U64" i="6"/>
  <c r="Y64" i="6" s="1"/>
  <c r="AC64" i="6"/>
  <c r="AA64" i="6"/>
  <c r="K64" i="6"/>
  <c r="I64" i="6"/>
  <c r="Q63" i="5"/>
  <c r="AC63" i="5" s="1"/>
  <c r="M63" i="5"/>
  <c r="U63" i="6"/>
  <c r="Y63" i="6" s="1"/>
  <c r="I63" i="6"/>
  <c r="AC63" i="6"/>
  <c r="AA63" i="6"/>
  <c r="K63" i="6"/>
  <c r="AC62" i="5"/>
  <c r="M62" i="5"/>
  <c r="I61" i="6"/>
  <c r="Q60" i="5"/>
  <c r="Y58" i="6"/>
  <c r="I58" i="6"/>
  <c r="AC58" i="5"/>
  <c r="M58" i="5"/>
  <c r="Y57" i="6"/>
  <c r="I57" i="6"/>
  <c r="AC57" i="5"/>
  <c r="M57" i="5"/>
  <c r="Y56" i="6"/>
  <c r="I56" i="6"/>
  <c r="AC56" i="5"/>
  <c r="M56" i="5"/>
  <c r="AC55" i="6"/>
  <c r="AA55" i="6"/>
  <c r="U55" i="6"/>
  <c r="Y55" i="6" s="1"/>
  <c r="I55" i="6"/>
  <c r="G55" i="5"/>
  <c r="Q55" i="5"/>
  <c r="AC44" i="6"/>
  <c r="AC45" i="6"/>
  <c r="AC47" i="6"/>
  <c r="AC48" i="6"/>
  <c r="AC49" i="6"/>
  <c r="AA44" i="6"/>
  <c r="AA45" i="6"/>
  <c r="AA47" i="6"/>
  <c r="AA48" i="6"/>
  <c r="AA49" i="6"/>
  <c r="Y49" i="6"/>
  <c r="I49" i="6"/>
  <c r="AC49" i="5"/>
  <c r="G49" i="5"/>
  <c r="M49" i="5" s="1"/>
  <c r="M48" i="5"/>
  <c r="G45" i="5"/>
  <c r="Q43" i="5"/>
  <c r="AC41" i="5"/>
  <c r="AC42" i="5"/>
  <c r="G42" i="5"/>
  <c r="M42" i="5" s="1"/>
  <c r="M38" i="5"/>
  <c r="M39" i="5"/>
  <c r="M40" i="5"/>
  <c r="M41" i="5"/>
  <c r="AC38" i="6"/>
  <c r="AC39" i="6"/>
  <c r="AA38" i="6"/>
  <c r="AA39" i="6"/>
  <c r="Y39" i="6"/>
  <c r="I39" i="6"/>
  <c r="AC39" i="5"/>
  <c r="U37" i="6"/>
  <c r="I37" i="6"/>
  <c r="Q37" i="5"/>
  <c r="H58" i="4"/>
  <c r="AH58" i="4" s="1"/>
  <c r="H57" i="1"/>
  <c r="Y36" i="6"/>
  <c r="I36" i="6"/>
  <c r="Q36" i="5"/>
  <c r="AC36" i="5" s="1"/>
  <c r="M36" i="5"/>
  <c r="AE58" i="5" l="1"/>
  <c r="AI58" i="5" s="1"/>
  <c r="AE69" i="5"/>
  <c r="AI69" i="5" s="1"/>
  <c r="AE68" i="5"/>
  <c r="AI68" i="5" s="1"/>
  <c r="AE66" i="5"/>
  <c r="AI66" i="5" s="1"/>
  <c r="AE64" i="5"/>
  <c r="AI64" i="5" s="1"/>
  <c r="AE63" i="5"/>
  <c r="AI63" i="5" s="1"/>
  <c r="AE62" i="5"/>
  <c r="AI62" i="5" s="1"/>
  <c r="AE56" i="5"/>
  <c r="AI56" i="5" s="1"/>
  <c r="AE42" i="5"/>
  <c r="AI42" i="5" s="1"/>
  <c r="AE49" i="5"/>
  <c r="AI49" i="5" s="1"/>
  <c r="AE57" i="5"/>
  <c r="AI57" i="5" s="1"/>
  <c r="AE39" i="5"/>
  <c r="AI39" i="5" s="1"/>
  <c r="AE41" i="5"/>
  <c r="AI41" i="5" s="1"/>
  <c r="AE36" i="5"/>
  <c r="AI36" i="5" s="1"/>
  <c r="AC35" i="6"/>
  <c r="AA35" i="6"/>
  <c r="U35" i="6"/>
  <c r="Y35" i="6" s="1"/>
  <c r="I35" i="6"/>
  <c r="AC35" i="5"/>
  <c r="M35" i="5"/>
  <c r="AC34" i="6"/>
  <c r="AA34" i="6"/>
  <c r="Y34" i="6"/>
  <c r="I34" i="6"/>
  <c r="AC34" i="5"/>
  <c r="M34" i="5"/>
  <c r="AC13" i="6"/>
  <c r="AC14" i="6"/>
  <c r="AC15" i="6"/>
  <c r="AC16" i="6"/>
  <c r="AC17" i="6"/>
  <c r="AC12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7" i="6"/>
  <c r="AC40" i="6"/>
  <c r="AC42" i="6"/>
  <c r="AC43" i="6"/>
  <c r="AC51" i="6"/>
  <c r="AC52" i="6"/>
  <c r="AC53" i="6"/>
  <c r="AC54" i="6"/>
  <c r="AC60" i="6"/>
  <c r="AC61" i="6"/>
  <c r="AC62" i="6"/>
  <c r="AC67" i="6"/>
  <c r="AC69" i="6"/>
  <c r="AC74" i="6"/>
  <c r="AC75" i="6"/>
  <c r="AC77" i="6"/>
  <c r="AC81" i="6"/>
  <c r="AC82" i="6"/>
  <c r="AC84" i="6"/>
  <c r="AC87" i="6"/>
  <c r="AC89" i="6"/>
  <c r="AC90" i="6"/>
  <c r="AC94" i="6"/>
  <c r="AC95" i="6"/>
  <c r="AC110" i="6"/>
  <c r="AC112" i="6"/>
  <c r="AC114" i="6"/>
  <c r="AC117" i="6"/>
  <c r="AC46" i="6"/>
  <c r="AC122" i="6"/>
  <c r="AC124" i="6"/>
  <c r="AC128" i="6"/>
  <c r="AC133" i="6"/>
  <c r="AC140" i="6"/>
  <c r="AC142" i="6"/>
  <c r="AC144" i="6"/>
  <c r="AC148" i="6"/>
  <c r="AC155" i="6"/>
  <c r="AC158" i="6"/>
  <c r="AC160" i="6"/>
  <c r="AC162" i="6"/>
  <c r="AC163" i="6"/>
  <c r="AC168" i="6"/>
  <c r="AC173" i="6"/>
  <c r="AC175" i="6"/>
  <c r="AC59" i="6"/>
  <c r="AC179" i="6"/>
  <c r="AC181" i="6"/>
  <c r="AC185" i="6"/>
  <c r="AC66" i="6"/>
  <c r="AC70" i="6"/>
  <c r="AC197" i="6"/>
  <c r="AC200" i="6"/>
  <c r="AC202" i="6"/>
  <c r="AC73" i="6"/>
  <c r="AC205" i="6"/>
  <c r="AC208" i="6"/>
  <c r="AC210" i="6"/>
  <c r="AC85" i="6"/>
  <c r="AC96" i="6"/>
  <c r="AC105" i="6"/>
  <c r="AC109" i="6"/>
  <c r="AC111" i="6"/>
  <c r="AC120" i="6"/>
  <c r="AC123" i="6"/>
  <c r="AC125" i="6"/>
  <c r="AC129" i="6"/>
  <c r="AC130" i="6"/>
  <c r="AC134" i="6"/>
  <c r="AC135" i="6"/>
  <c r="AC141" i="6"/>
  <c r="AC143" i="6"/>
  <c r="AC145" i="6"/>
  <c r="AC147" i="6"/>
  <c r="AC149" i="6"/>
  <c r="AC152" i="6"/>
  <c r="AC154" i="6"/>
  <c r="AC159" i="6"/>
  <c r="AC161" i="6"/>
  <c r="AC164" i="6"/>
  <c r="AC169" i="6"/>
  <c r="AC174" i="6"/>
  <c r="AC180" i="6"/>
  <c r="AC182" i="6"/>
  <c r="AC183" i="6"/>
  <c r="AC184" i="6"/>
  <c r="AC186" i="6"/>
  <c r="AC187" i="6"/>
  <c r="AC188" i="6"/>
  <c r="AC189" i="6"/>
  <c r="AC190" i="6"/>
  <c r="AC198" i="6"/>
  <c r="AC201" i="6"/>
  <c r="AC203" i="6"/>
  <c r="AC204" i="6"/>
  <c r="AC206" i="6"/>
  <c r="AC209" i="6"/>
  <c r="AA13" i="6"/>
  <c r="AA14" i="6"/>
  <c r="AA15" i="6"/>
  <c r="AA16" i="6"/>
  <c r="AA17" i="6"/>
  <c r="AA12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7" i="6"/>
  <c r="AA40" i="6"/>
  <c r="AA42" i="6"/>
  <c r="AA43" i="6"/>
  <c r="AA51" i="6"/>
  <c r="AA52" i="6"/>
  <c r="AA53" i="6"/>
  <c r="AA54" i="6"/>
  <c r="AA60" i="6"/>
  <c r="AA61" i="6"/>
  <c r="AA62" i="6"/>
  <c r="AA67" i="6"/>
  <c r="AA69" i="6"/>
  <c r="AA74" i="6"/>
  <c r="AA75" i="6"/>
  <c r="AA77" i="6"/>
  <c r="AA81" i="6"/>
  <c r="AA82" i="6"/>
  <c r="AA84" i="6"/>
  <c r="AA87" i="6"/>
  <c r="AA89" i="6"/>
  <c r="AA90" i="6"/>
  <c r="AA94" i="6"/>
  <c r="AA95" i="6"/>
  <c r="AA110" i="6"/>
  <c r="AA112" i="6"/>
  <c r="AA114" i="6"/>
  <c r="AA117" i="6"/>
  <c r="AA46" i="6"/>
  <c r="AA122" i="6"/>
  <c r="AA124" i="6"/>
  <c r="AA128" i="6"/>
  <c r="AA133" i="6"/>
  <c r="AA140" i="6"/>
  <c r="AA142" i="6"/>
  <c r="AA144" i="6"/>
  <c r="AA148" i="6"/>
  <c r="AA155" i="6"/>
  <c r="AA158" i="6"/>
  <c r="AA160" i="6"/>
  <c r="AA162" i="6"/>
  <c r="AA163" i="6"/>
  <c r="AA168" i="6"/>
  <c r="AA173" i="6"/>
  <c r="AA175" i="6"/>
  <c r="AA59" i="6"/>
  <c r="AA179" i="6"/>
  <c r="AA181" i="6"/>
  <c r="AA185" i="6"/>
  <c r="AA66" i="6"/>
  <c r="AA70" i="6"/>
  <c r="AA197" i="6"/>
  <c r="AA200" i="6"/>
  <c r="AA202" i="6"/>
  <c r="AA73" i="6"/>
  <c r="AA205" i="6"/>
  <c r="AA208" i="6"/>
  <c r="AA210" i="6"/>
  <c r="AA85" i="6"/>
  <c r="AA96" i="6"/>
  <c r="AA105" i="6"/>
  <c r="AA109" i="6"/>
  <c r="AA111" i="6"/>
  <c r="AA120" i="6"/>
  <c r="AA123" i="6"/>
  <c r="AA125" i="6"/>
  <c r="AA129" i="6"/>
  <c r="AA130" i="6"/>
  <c r="AA134" i="6"/>
  <c r="AA135" i="6"/>
  <c r="AA141" i="6"/>
  <c r="AA143" i="6"/>
  <c r="AA145" i="6"/>
  <c r="AA147" i="6"/>
  <c r="AA149" i="6"/>
  <c r="AA152" i="6"/>
  <c r="AA154" i="6"/>
  <c r="AA159" i="6"/>
  <c r="AA161" i="6"/>
  <c r="AA164" i="6"/>
  <c r="AA169" i="6"/>
  <c r="AA174" i="6"/>
  <c r="AA180" i="6"/>
  <c r="AA182" i="6"/>
  <c r="AA183" i="6"/>
  <c r="AA184" i="6"/>
  <c r="AA186" i="6"/>
  <c r="AA187" i="6"/>
  <c r="AA188" i="6"/>
  <c r="AA189" i="6"/>
  <c r="AA190" i="6"/>
  <c r="AA198" i="6"/>
  <c r="AA201" i="6"/>
  <c r="AA203" i="6"/>
  <c r="AA204" i="6"/>
  <c r="AA206" i="6"/>
  <c r="AA209" i="6"/>
  <c r="Y33" i="6"/>
  <c r="Y37" i="6"/>
  <c r="Y38" i="6"/>
  <c r="Y40" i="6"/>
  <c r="Y42" i="6"/>
  <c r="Y43" i="6"/>
  <c r="Y44" i="6"/>
  <c r="Y45" i="6"/>
  <c r="Y48" i="6"/>
  <c r="Y51" i="6"/>
  <c r="Y52" i="6"/>
  <c r="Y53" i="6"/>
  <c r="Y54" i="6"/>
  <c r="Y60" i="6"/>
  <c r="Y61" i="6"/>
  <c r="Y62" i="6"/>
  <c r="Y67" i="6"/>
  <c r="Y69" i="6"/>
  <c r="Y74" i="6"/>
  <c r="Y75" i="6"/>
  <c r="Y77" i="6"/>
  <c r="Y81" i="6"/>
  <c r="Y82" i="6"/>
  <c r="Y84" i="6"/>
  <c r="Y87" i="6"/>
  <c r="Y89" i="6"/>
  <c r="Y90" i="6"/>
  <c r="Y94" i="6"/>
  <c r="Y95" i="6"/>
  <c r="Y110" i="6"/>
  <c r="Y112" i="6"/>
  <c r="Y114" i="6"/>
  <c r="Y117" i="6"/>
  <c r="Y46" i="6"/>
  <c r="Y122" i="6"/>
  <c r="Y124" i="6"/>
  <c r="Y128" i="6"/>
  <c r="Y133" i="6"/>
  <c r="Y140" i="6"/>
  <c r="Y142" i="6"/>
  <c r="Y144" i="6"/>
  <c r="Y148" i="6"/>
  <c r="Y155" i="6"/>
  <c r="Y158" i="6"/>
  <c r="Y160" i="6"/>
  <c r="Y162" i="6"/>
  <c r="Y163" i="6"/>
  <c r="Y168" i="6"/>
  <c r="Y173" i="6"/>
  <c r="Y175" i="6"/>
  <c r="Y59" i="6"/>
  <c r="Y179" i="6"/>
  <c r="Y181" i="6"/>
  <c r="Y185" i="6"/>
  <c r="Y66" i="6"/>
  <c r="Y70" i="6"/>
  <c r="Y197" i="6"/>
  <c r="Y200" i="6"/>
  <c r="Y202" i="6"/>
  <c r="Y73" i="6"/>
  <c r="Y205" i="6"/>
  <c r="Y208" i="6"/>
  <c r="Y210" i="6"/>
  <c r="Y85" i="6"/>
  <c r="Y96" i="6"/>
  <c r="Y105" i="6"/>
  <c r="Y109" i="6"/>
  <c r="Y111" i="6"/>
  <c r="Y120" i="6"/>
  <c r="Y123" i="6"/>
  <c r="Y125" i="6"/>
  <c r="Y129" i="6"/>
  <c r="Y130" i="6"/>
  <c r="Y134" i="6"/>
  <c r="Y135" i="6"/>
  <c r="Y141" i="6"/>
  <c r="Y143" i="6"/>
  <c r="Y145" i="6"/>
  <c r="Y147" i="6"/>
  <c r="Y149" i="6"/>
  <c r="Y152" i="6"/>
  <c r="Y154" i="6"/>
  <c r="Y159" i="6"/>
  <c r="Y161" i="6"/>
  <c r="Y164" i="6"/>
  <c r="Y169" i="6"/>
  <c r="Y174" i="6"/>
  <c r="Y180" i="6"/>
  <c r="Y182" i="6"/>
  <c r="Y183" i="6"/>
  <c r="Y184" i="6"/>
  <c r="Y186" i="6"/>
  <c r="Y187" i="6"/>
  <c r="Y188" i="6"/>
  <c r="Y189" i="6"/>
  <c r="Y190" i="6"/>
  <c r="Y198" i="6"/>
  <c r="Y201" i="6"/>
  <c r="Y203" i="6"/>
  <c r="Y204" i="6"/>
  <c r="Y206" i="6"/>
  <c r="Y209" i="6"/>
  <c r="Y32" i="6"/>
  <c r="I32" i="6"/>
  <c r="G33" i="5"/>
  <c r="T49" i="4"/>
  <c r="Y31" i="6"/>
  <c r="I31" i="6"/>
  <c r="AC31" i="5"/>
  <c r="AC32" i="5"/>
  <c r="I32" i="5"/>
  <c r="M32" i="5" s="1"/>
  <c r="R49" i="4"/>
  <c r="U28" i="6"/>
  <c r="Y28" i="6" s="1"/>
  <c r="I28" i="6"/>
  <c r="AC30" i="5"/>
  <c r="M30" i="5"/>
  <c r="Y27" i="6"/>
  <c r="I27" i="6"/>
  <c r="AC29" i="5"/>
  <c r="M29" i="5"/>
  <c r="Y26" i="6"/>
  <c r="I26" i="6"/>
  <c r="Q28" i="5"/>
  <c r="Y25" i="6"/>
  <c r="I25" i="6"/>
  <c r="U23" i="6"/>
  <c r="Y23" i="6" s="1"/>
  <c r="V39" i="4"/>
  <c r="AH39" i="4" s="1"/>
  <c r="V38" i="1"/>
  <c r="W27" i="5"/>
  <c r="AC27" i="5" s="1"/>
  <c r="M27" i="5"/>
  <c r="I23" i="6"/>
  <c r="Y21" i="6"/>
  <c r="I21" i="6"/>
  <c r="Q23" i="5"/>
  <c r="U12" i="6"/>
  <c r="Y12" i="6" s="1"/>
  <c r="I12" i="6"/>
  <c r="U16" i="5"/>
  <c r="Q16" i="5"/>
  <c r="G16" i="5"/>
  <c r="AE35" i="5" l="1"/>
  <c r="AI35" i="5" s="1"/>
  <c r="AH49" i="4"/>
  <c r="AE34" i="5"/>
  <c r="AI34" i="5" s="1"/>
  <c r="AC16" i="5"/>
  <c r="AE29" i="5"/>
  <c r="AI29" i="5" s="1"/>
  <c r="AE30" i="5"/>
  <c r="AI30" i="5" s="1"/>
  <c r="AE32" i="5"/>
  <c r="AI32" i="5" s="1"/>
  <c r="AE27" i="5"/>
  <c r="AI27" i="5" s="1"/>
  <c r="O19" i="5"/>
  <c r="AC19" i="5" s="1"/>
  <c r="U18" i="6"/>
  <c r="Y18" i="6" s="1"/>
  <c r="I18" i="6"/>
  <c r="AH8" i="2" l="1"/>
  <c r="AH19" i="3" l="1"/>
  <c r="AH20" i="4" l="1"/>
  <c r="AH294" i="2"/>
  <c r="AH285" i="2"/>
  <c r="AH244" i="2"/>
  <c r="AH224" i="2"/>
  <c r="AH223" i="2"/>
  <c r="AH215" i="2"/>
  <c r="AH212" i="2"/>
  <c r="AH209" i="2"/>
  <c r="AH175" i="2"/>
  <c r="AH168" i="2"/>
  <c r="AH134" i="2"/>
  <c r="AH130" i="2"/>
  <c r="AH125" i="2"/>
  <c r="AH113" i="2"/>
  <c r="AH108" i="2"/>
  <c r="AH93" i="2"/>
  <c r="AH292" i="2" l="1"/>
  <c r="AH291" i="2"/>
  <c r="AH289" i="2"/>
  <c r="AH287" i="2"/>
  <c r="AH284" i="2"/>
  <c r="AH282" i="2"/>
  <c r="AH281" i="2"/>
  <c r="AH280" i="2"/>
  <c r="AH278" i="2"/>
  <c r="AH273" i="2"/>
  <c r="AH265" i="2"/>
  <c r="AH261" i="2"/>
  <c r="AH260" i="2"/>
  <c r="AH258" i="2"/>
  <c r="AH255" i="2"/>
  <c r="AH256" i="2"/>
  <c r="AH250" i="2"/>
  <c r="AH249" i="2"/>
  <c r="AH245" i="2"/>
  <c r="AH240" i="2"/>
  <c r="AH239" i="2"/>
  <c r="AH238" i="2"/>
  <c r="AH237" i="2"/>
  <c r="AH234" i="2"/>
  <c r="AH233" i="2"/>
  <c r="AH232" i="2"/>
  <c r="AH225" i="2"/>
  <c r="AH221" i="2"/>
  <c r="AH219" i="2"/>
  <c r="AH218" i="2"/>
  <c r="AH217" i="2"/>
  <c r="AH216" i="2"/>
  <c r="AH214" i="2"/>
  <c r="AH205" i="2"/>
  <c r="AH204" i="2"/>
  <c r="AH202" i="2"/>
  <c r="AH201" i="2"/>
  <c r="AH200" i="2"/>
  <c r="AH198" i="2"/>
  <c r="AH195" i="2"/>
  <c r="AH180" i="2"/>
  <c r="AH181" i="2"/>
  <c r="AH177" i="2"/>
  <c r="AH176" i="2"/>
  <c r="AH174" i="2"/>
  <c r="AH173" i="2"/>
  <c r="AH170" i="2"/>
  <c r="AH166" i="2"/>
  <c r="AH164" i="2"/>
  <c r="AH162" i="2"/>
  <c r="AH160" i="2"/>
  <c r="AH159" i="2"/>
  <c r="AH158" i="2"/>
  <c r="AH157" i="2"/>
  <c r="AH155" i="2"/>
  <c r="AH152" i="2"/>
  <c r="AH143" i="2"/>
  <c r="AH142" i="2"/>
  <c r="AH141" i="2"/>
  <c r="AH140" i="2"/>
  <c r="AH137" i="2"/>
  <c r="AH136" i="2"/>
  <c r="AH135" i="2"/>
  <c r="AH132" i="2"/>
  <c r="AH131" i="2"/>
  <c r="AH128" i="2"/>
  <c r="AH127" i="2"/>
  <c r="AH124" i="2"/>
  <c r="AH123" i="2"/>
  <c r="AH121" i="2"/>
  <c r="AH120" i="2"/>
  <c r="AH118" i="2"/>
  <c r="AH115" i="2"/>
  <c r="AH109" i="2"/>
  <c r="AH107" i="2"/>
  <c r="AH106" i="2"/>
  <c r="AH105" i="2"/>
  <c r="AH102" i="2"/>
  <c r="AH101" i="2"/>
  <c r="AH99" i="2"/>
  <c r="AH97" i="2"/>
  <c r="AH98" i="2"/>
  <c r="AH89" i="2"/>
  <c r="AH19" i="2"/>
  <c r="AH295" i="1"/>
  <c r="AH286" i="1"/>
  <c r="AH245" i="1"/>
  <c r="AH225" i="1"/>
  <c r="AH224" i="1"/>
  <c r="AH216" i="1"/>
  <c r="AH213" i="1"/>
  <c r="AH210" i="1"/>
  <c r="AH176" i="1"/>
  <c r="AH169" i="1"/>
  <c r="AH135" i="1"/>
  <c r="AH131" i="1"/>
  <c r="AH125" i="1"/>
  <c r="AH113" i="1"/>
  <c r="AH108" i="1"/>
  <c r="AH93" i="1"/>
  <c r="AH87" i="1"/>
  <c r="AH41" i="1"/>
  <c r="AH27" i="1"/>
  <c r="AH25" i="1"/>
  <c r="AH20" i="1"/>
  <c r="AH293" i="1"/>
  <c r="AH292" i="1"/>
  <c r="AH290" i="1"/>
  <c r="AH288" i="1"/>
  <c r="AH285" i="1"/>
  <c r="AH283" i="1"/>
  <c r="AH282" i="1"/>
  <c r="AH281" i="1"/>
  <c r="AH279" i="1"/>
  <c r="AH274" i="1"/>
  <c r="AH266" i="1"/>
  <c r="AH262" i="1"/>
  <c r="AH261" i="1"/>
  <c r="AH259" i="1"/>
  <c r="AH256" i="1"/>
  <c r="AH257" i="1"/>
  <c r="AH251" i="1"/>
  <c r="AH250" i="1"/>
  <c r="AH246" i="1"/>
  <c r="AH241" i="1"/>
  <c r="AH240" i="1"/>
  <c r="AH239" i="1"/>
  <c r="AH238" i="1"/>
  <c r="AH235" i="1"/>
  <c r="AH234" i="1"/>
  <c r="AH233" i="1"/>
  <c r="AH226" i="1"/>
  <c r="AH222" i="1"/>
  <c r="AH220" i="1"/>
  <c r="AH219" i="1"/>
  <c r="AH218" i="1"/>
  <c r="AH217" i="1"/>
  <c r="AH215" i="1"/>
  <c r="AH206" i="1"/>
  <c r="AH205" i="1"/>
  <c r="AH203" i="1"/>
  <c r="AH202" i="1"/>
  <c r="AH201" i="1"/>
  <c r="AH199" i="1"/>
  <c r="AH196" i="1"/>
  <c r="AH192" i="1"/>
  <c r="AH193" i="1"/>
  <c r="AH178" i="1"/>
  <c r="AH177" i="1"/>
  <c r="AH175" i="1"/>
  <c r="AH174" i="1"/>
  <c r="AH171" i="1"/>
  <c r="AH167" i="1"/>
  <c r="AH165" i="1"/>
  <c r="AH163" i="1"/>
  <c r="AH161" i="1"/>
  <c r="AH160" i="1"/>
  <c r="AH159" i="1"/>
  <c r="AH158" i="1"/>
  <c r="AH156" i="1"/>
  <c r="AH153" i="1"/>
  <c r="AH144" i="1"/>
  <c r="AH143" i="1"/>
  <c r="AH142" i="1"/>
  <c r="AH141" i="1"/>
  <c r="AH138" i="1"/>
  <c r="AH137" i="1"/>
  <c r="AH136" i="1"/>
  <c r="AH133" i="1"/>
  <c r="AH132" i="1"/>
  <c r="AH128" i="1"/>
  <c r="AH127" i="1"/>
  <c r="AH124" i="1"/>
  <c r="AH123" i="1"/>
  <c r="AH121" i="1"/>
  <c r="AH120" i="1"/>
  <c r="AH118" i="1"/>
  <c r="AH115" i="1"/>
  <c r="AH109" i="1"/>
  <c r="AH107" i="1"/>
  <c r="AH106" i="1"/>
  <c r="AH105" i="1"/>
  <c r="AH102" i="1"/>
  <c r="AH101" i="1"/>
  <c r="AH99" i="1"/>
  <c r="AH97" i="1"/>
  <c r="AH89" i="1"/>
  <c r="AH88" i="1"/>
  <c r="AH85" i="1"/>
  <c r="AH82" i="1"/>
  <c r="AH81" i="1"/>
  <c r="AH75" i="1"/>
  <c r="AH72" i="1"/>
  <c r="AH70" i="1"/>
  <c r="AH69" i="1"/>
  <c r="AH68" i="1"/>
  <c r="AH64" i="1"/>
  <c r="AH61" i="1"/>
  <c r="AH60" i="1"/>
  <c r="AH58" i="1"/>
  <c r="AH55" i="1"/>
  <c r="AH54" i="1"/>
  <c r="AH53" i="1"/>
  <c r="AH50" i="1"/>
  <c r="AH47" i="1"/>
  <c r="AH46" i="1"/>
  <c r="AH45" i="1"/>
  <c r="AH44" i="1"/>
  <c r="AH37" i="1"/>
  <c r="AH35" i="1"/>
  <c r="AH33" i="1"/>
  <c r="AH32" i="1"/>
  <c r="AH31" i="1"/>
  <c r="AH29" i="1"/>
  <c r="AH28" i="1"/>
  <c r="AH24" i="1"/>
  <c r="AH23" i="1"/>
  <c r="AH19" i="1"/>
  <c r="AC149" i="5" l="1"/>
  <c r="AC82" i="5"/>
  <c r="AC116" i="5"/>
  <c r="AC203" i="5"/>
  <c r="AC121" i="5"/>
  <c r="AC72" i="5"/>
  <c r="AE72" i="5" s="1"/>
  <c r="AI72" i="5" s="1"/>
  <c r="AC198" i="5"/>
  <c r="AC155" i="5"/>
  <c r="AC120" i="5"/>
  <c r="AC75" i="5"/>
  <c r="AC14" i="5"/>
  <c r="W142" i="5"/>
  <c r="AC142" i="5" s="1"/>
  <c r="AC179" i="5" l="1"/>
  <c r="AC178" i="5"/>
  <c r="AC167" i="5"/>
  <c r="AC166" i="5"/>
  <c r="AC165" i="5"/>
  <c r="AC152" i="5"/>
  <c r="AC151" i="5"/>
  <c r="AC150" i="5"/>
  <c r="AC109" i="5"/>
  <c r="AC107" i="5"/>
  <c r="AC101" i="5"/>
  <c r="AC87" i="5"/>
  <c r="AC85" i="5"/>
  <c r="AC80" i="5"/>
  <c r="AE80" i="5" s="1"/>
  <c r="AI80" i="5" s="1"/>
  <c r="AC79" i="5"/>
  <c r="AE79" i="5" s="1"/>
  <c r="AI79" i="5" s="1"/>
  <c r="AC70" i="5"/>
  <c r="AE70" i="5" s="1"/>
  <c r="AI70" i="5" s="1"/>
  <c r="AC67" i="5"/>
  <c r="AC65" i="5"/>
  <c r="AC48" i="5"/>
  <c r="AE48" i="5" s="1"/>
  <c r="AI48" i="5" s="1"/>
  <c r="AC46" i="5"/>
  <c r="AC40" i="5"/>
  <c r="AE40" i="5" s="1"/>
  <c r="AI40" i="5" s="1"/>
  <c r="AC38" i="5"/>
  <c r="AE38" i="5" s="1"/>
  <c r="AI38" i="5" s="1"/>
  <c r="AC26" i="5"/>
  <c r="AC24" i="5"/>
  <c r="AC22" i="5"/>
  <c r="AC21" i="5"/>
  <c r="AC20" i="5"/>
  <c r="AC17" i="5"/>
  <c r="K77" i="6" l="1"/>
  <c r="K61" i="6"/>
  <c r="K60" i="6"/>
  <c r="AC54" i="5"/>
  <c r="K54" i="6"/>
  <c r="AC53" i="5"/>
  <c r="M53" i="5"/>
  <c r="K53" i="6"/>
  <c r="AC52" i="5"/>
  <c r="AC45" i="5"/>
  <c r="AC43" i="5"/>
  <c r="K43" i="6"/>
  <c r="AC37" i="5"/>
  <c r="K29" i="6"/>
  <c r="K18" i="6"/>
  <c r="AC138" i="5"/>
  <c r="W114" i="5"/>
  <c r="AC114" i="5" s="1"/>
  <c r="M112" i="5"/>
  <c r="AH151" i="1"/>
  <c r="AH150" i="2"/>
  <c r="AC99" i="5"/>
  <c r="AC90" i="5"/>
  <c r="K85" i="6"/>
  <c r="E85" i="6"/>
  <c r="K152" i="6"/>
  <c r="AC158" i="5"/>
  <c r="M158" i="5"/>
  <c r="AC160" i="5"/>
  <c r="AC18" i="5"/>
  <c r="AC23" i="5"/>
  <c r="AC25" i="5"/>
  <c r="AC28" i="5"/>
  <c r="AC33" i="5"/>
  <c r="AC44" i="5"/>
  <c r="AC47" i="5"/>
  <c r="AC51" i="5"/>
  <c r="AC55" i="5"/>
  <c r="AC59" i="5"/>
  <c r="AC71" i="5"/>
  <c r="AE71" i="5" s="1"/>
  <c r="AI71" i="5" s="1"/>
  <c r="AC73" i="5"/>
  <c r="AC89" i="5"/>
  <c r="AC91" i="5"/>
  <c r="AC92" i="5"/>
  <c r="AC98" i="5"/>
  <c r="AC100" i="5"/>
  <c r="AC106" i="5"/>
  <c r="AC110" i="5"/>
  <c r="AC113" i="5"/>
  <c r="AC117" i="5"/>
  <c r="AC137" i="5"/>
  <c r="AC139" i="5"/>
  <c r="AC161" i="5"/>
  <c r="AC164" i="5"/>
  <c r="AC168" i="5"/>
  <c r="AC171" i="5"/>
  <c r="K198" i="6"/>
  <c r="M180" i="5"/>
  <c r="M181" i="5"/>
  <c r="M182" i="5"/>
  <c r="M183" i="5"/>
  <c r="M184" i="5"/>
  <c r="M185" i="5"/>
  <c r="M186" i="5"/>
  <c r="M187" i="5"/>
  <c r="M190" i="5"/>
  <c r="M195" i="5"/>
  <c r="M197" i="5"/>
  <c r="M199" i="5"/>
  <c r="M200" i="5"/>
  <c r="M202" i="5"/>
  <c r="M155" i="5"/>
  <c r="M160" i="5"/>
  <c r="M161" i="5"/>
  <c r="M164" i="5"/>
  <c r="M168" i="5"/>
  <c r="M171" i="5"/>
  <c r="M16" i="5"/>
  <c r="AE16" i="5" s="1"/>
  <c r="M18" i="5"/>
  <c r="M19" i="5"/>
  <c r="M23" i="5"/>
  <c r="M25" i="5"/>
  <c r="M28" i="5"/>
  <c r="M31" i="5"/>
  <c r="AE31" i="5" s="1"/>
  <c r="AI31" i="5" s="1"/>
  <c r="M33" i="5"/>
  <c r="M37" i="5"/>
  <c r="M43" i="5"/>
  <c r="M44" i="5"/>
  <c r="M45" i="5"/>
  <c r="M47" i="5"/>
  <c r="M51" i="5"/>
  <c r="M52" i="5"/>
  <c r="M54" i="5"/>
  <c r="M55" i="5"/>
  <c r="M59" i="5"/>
  <c r="M60" i="5"/>
  <c r="M61" i="5"/>
  <c r="M75" i="5"/>
  <c r="M89" i="5"/>
  <c r="M90" i="5"/>
  <c r="M91" i="5"/>
  <c r="M92" i="5"/>
  <c r="M98" i="5"/>
  <c r="M99" i="5"/>
  <c r="M100" i="5"/>
  <c r="M106" i="5"/>
  <c r="M110" i="5"/>
  <c r="M113" i="5"/>
  <c r="M114" i="5"/>
  <c r="M117" i="5"/>
  <c r="M137" i="5"/>
  <c r="M138" i="5"/>
  <c r="M139" i="5"/>
  <c r="M143" i="5"/>
  <c r="M148" i="5"/>
  <c r="AC112" i="5" l="1"/>
  <c r="AE112" i="5" s="1"/>
  <c r="AI112" i="5" s="1"/>
  <c r="AI16" i="5"/>
  <c r="AC60" i="5"/>
  <c r="AE60" i="5" s="1"/>
  <c r="AI60" i="5" s="1"/>
  <c r="AC61" i="5"/>
  <c r="AE61" i="5" s="1"/>
  <c r="AI61" i="5" s="1"/>
  <c r="AE53" i="5"/>
  <c r="AI53" i="5" s="1"/>
  <c r="AE158" i="5"/>
  <c r="AI158" i="5" s="1"/>
  <c r="AE168" i="5"/>
  <c r="AI168" i="5" s="1"/>
  <c r="AE117" i="5"/>
  <c r="AI117" i="5" s="1"/>
  <c r="AE98" i="5"/>
  <c r="AI98" i="5" s="1"/>
  <c r="AE73" i="5"/>
  <c r="AI73" i="5" s="1"/>
  <c r="AE55" i="5"/>
  <c r="AI55" i="5" s="1"/>
  <c r="AE25" i="5"/>
  <c r="AI25" i="5" s="1"/>
  <c r="AE171" i="5"/>
  <c r="AI171" i="5" s="1"/>
  <c r="AE139" i="5"/>
  <c r="AI139" i="5" s="1"/>
  <c r="AE137" i="5"/>
  <c r="AI137" i="5" s="1"/>
  <c r="AE113" i="5"/>
  <c r="AI113" i="5" s="1"/>
  <c r="AE106" i="5"/>
  <c r="AI106" i="5" s="1"/>
  <c r="AE59" i="5"/>
  <c r="AI59" i="5" s="1"/>
  <c r="AE51" i="5"/>
  <c r="AI51" i="5" s="1"/>
  <c r="AE47" i="5"/>
  <c r="AI47" i="5" s="1"/>
  <c r="AE75" i="5"/>
  <c r="AI75" i="5" s="1"/>
  <c r="AE54" i="5"/>
  <c r="AI54" i="5" s="1"/>
  <c r="AE52" i="5"/>
  <c r="AI52" i="5" s="1"/>
  <c r="AE45" i="5"/>
  <c r="AI45" i="5" s="1"/>
  <c r="AE44" i="5"/>
  <c r="AI44" i="5" s="1"/>
  <c r="AE43" i="5"/>
  <c r="AI43" i="5" s="1"/>
  <c r="AE37" i="5"/>
  <c r="AI37" i="5" s="1"/>
  <c r="AE33" i="5"/>
  <c r="AI33" i="5" s="1"/>
  <c r="AE28" i="5"/>
  <c r="AI28" i="5" s="1"/>
  <c r="AE23" i="5"/>
  <c r="AI23" i="5" s="1"/>
  <c r="AE18" i="5"/>
  <c r="AI18" i="5" s="1"/>
  <c r="AE19" i="5"/>
  <c r="AI19" i="5" s="1"/>
  <c r="AE138" i="5"/>
  <c r="AI138" i="5" s="1"/>
  <c r="AE114" i="5"/>
  <c r="AI114" i="5" s="1"/>
  <c r="AE110" i="5"/>
  <c r="AI110" i="5" s="1"/>
  <c r="AE100" i="5"/>
  <c r="AI100" i="5" s="1"/>
  <c r="AE99" i="5"/>
  <c r="AI99" i="5" s="1"/>
  <c r="AE92" i="5"/>
  <c r="AI92" i="5" s="1"/>
  <c r="AE90" i="5"/>
  <c r="AI90" i="5" s="1"/>
  <c r="AE91" i="5"/>
  <c r="AI91" i="5" s="1"/>
  <c r="AE89" i="5"/>
  <c r="AI89" i="5" s="1"/>
  <c r="AE161" i="5"/>
  <c r="AI161" i="5" s="1"/>
  <c r="AE164" i="5"/>
  <c r="AI164" i="5" s="1"/>
  <c r="AE155" i="5"/>
  <c r="AI155" i="5" s="1"/>
  <c r="AE160" i="5"/>
  <c r="AI160" i="5" s="1"/>
  <c r="AH94" i="1" l="1"/>
  <c r="AH94" i="2"/>
  <c r="AA211" i="6"/>
  <c r="AC211" i="6"/>
  <c r="AA212" i="6"/>
  <c r="AC212" i="6"/>
  <c r="AA213" i="6"/>
  <c r="AC213" i="6"/>
  <c r="AH242" i="2"/>
  <c r="AH243" i="2"/>
  <c r="AH246" i="2"/>
  <c r="AH247" i="2"/>
  <c r="AH248" i="2"/>
  <c r="AH251" i="2"/>
  <c r="AH253" i="2"/>
  <c r="AH254" i="2"/>
  <c r="AH257" i="2"/>
  <c r="AH259" i="2"/>
  <c r="AH262" i="2"/>
  <c r="AH263" i="2"/>
  <c r="AH264" i="2"/>
  <c r="AH266" i="2"/>
  <c r="AH267" i="2"/>
  <c r="AH268" i="2"/>
  <c r="AH269" i="2"/>
  <c r="AH270" i="2"/>
  <c r="AH271" i="2"/>
  <c r="AH272" i="2"/>
  <c r="AH274" i="2"/>
  <c r="AH275" i="2"/>
  <c r="AH276" i="2"/>
  <c r="AH277" i="2"/>
  <c r="AH279" i="2"/>
  <c r="AH283" i="2"/>
  <c r="AH286" i="2"/>
  <c r="AH288" i="2"/>
  <c r="AH290" i="2"/>
  <c r="AH293" i="2"/>
  <c r="AH163" i="2"/>
  <c r="AH165" i="2"/>
  <c r="AH167" i="2"/>
  <c r="AH169" i="2"/>
  <c r="AH171" i="2"/>
  <c r="AH178" i="2"/>
  <c r="AH179" i="2"/>
  <c r="AH192" i="2"/>
  <c r="AH193" i="2"/>
  <c r="AH194" i="2"/>
  <c r="AH196" i="2"/>
  <c r="AH197" i="2"/>
  <c r="AH199" i="2"/>
  <c r="AH203" i="2"/>
  <c r="AH206" i="2"/>
  <c r="AH207" i="2"/>
  <c r="AH208" i="2"/>
  <c r="AH210" i="2"/>
  <c r="AH211" i="2"/>
  <c r="AH213" i="2"/>
  <c r="AH220" i="2"/>
  <c r="AH222" i="2"/>
  <c r="AH226" i="2"/>
  <c r="AH227" i="2"/>
  <c r="AH228" i="2"/>
  <c r="AH229" i="2"/>
  <c r="AH230" i="2"/>
  <c r="AH231" i="2"/>
  <c r="AH235" i="2"/>
  <c r="AH236" i="2"/>
  <c r="AH242" i="1"/>
  <c r="AH243" i="1"/>
  <c r="AH244" i="1"/>
  <c r="AH247" i="1"/>
  <c r="AH248" i="1"/>
  <c r="AH249" i="1"/>
  <c r="AH252" i="1"/>
  <c r="AH254" i="1"/>
  <c r="AH255" i="1"/>
  <c r="AH258" i="1"/>
  <c r="AH260" i="1"/>
  <c r="AH263" i="1"/>
  <c r="AH264" i="1"/>
  <c r="AH265" i="1"/>
  <c r="AH267" i="1"/>
  <c r="AH268" i="1"/>
  <c r="AH269" i="1"/>
  <c r="AH270" i="1"/>
  <c r="AH271" i="1"/>
  <c r="AH272" i="1"/>
  <c r="AH273" i="1"/>
  <c r="AH275" i="1"/>
  <c r="AH276" i="1"/>
  <c r="AH277" i="1"/>
  <c r="AH278" i="1"/>
  <c r="AH280" i="1"/>
  <c r="AH284" i="1"/>
  <c r="AH287" i="1"/>
  <c r="AH289" i="1"/>
  <c r="AH291" i="1"/>
  <c r="AH294" i="1"/>
  <c r="AH162" i="1"/>
  <c r="AH164" i="1"/>
  <c r="AH166" i="1"/>
  <c r="AH168" i="1"/>
  <c r="AH170" i="1"/>
  <c r="AH172" i="1"/>
  <c r="AH179" i="1"/>
  <c r="AH180" i="1"/>
  <c r="AH191" i="1"/>
  <c r="AH194" i="1"/>
  <c r="AH195" i="1"/>
  <c r="AH197" i="1"/>
  <c r="AH198" i="1"/>
  <c r="AH200" i="1"/>
  <c r="AH204" i="1"/>
  <c r="AH207" i="1"/>
  <c r="AH208" i="1"/>
  <c r="AH209" i="1"/>
  <c r="AH211" i="1"/>
  <c r="AH212" i="1"/>
  <c r="AH214" i="1"/>
  <c r="AH221" i="1"/>
  <c r="AH223" i="1"/>
  <c r="AH227" i="1"/>
  <c r="AH228" i="1"/>
  <c r="AH229" i="1"/>
  <c r="AH230" i="1"/>
  <c r="AH231" i="1"/>
  <c r="AH232" i="1"/>
  <c r="AH236" i="1"/>
  <c r="AH237" i="1"/>
  <c r="AH90" i="1"/>
  <c r="AH91" i="1"/>
  <c r="AH92" i="1"/>
  <c r="AH95" i="1"/>
  <c r="AH96" i="1"/>
  <c r="AH98" i="1"/>
  <c r="AH100" i="1"/>
  <c r="AH103" i="1"/>
  <c r="AH104" i="1"/>
  <c r="AH110" i="1"/>
  <c r="AH111" i="1"/>
  <c r="AH112" i="1"/>
  <c r="AH114" i="1"/>
  <c r="AH116" i="1"/>
  <c r="AH117" i="1"/>
  <c r="AH119" i="1"/>
  <c r="AH122" i="1"/>
  <c r="AH126" i="1"/>
  <c r="AH130" i="1"/>
  <c r="AH134" i="1"/>
  <c r="AH139" i="1"/>
  <c r="AH140" i="1"/>
  <c r="AH145" i="1"/>
  <c r="AH146" i="1"/>
  <c r="AH148" i="1"/>
  <c r="AH149" i="1"/>
  <c r="AH150" i="1"/>
  <c r="AH152" i="1"/>
  <c r="AH154" i="1"/>
  <c r="AH155" i="1"/>
  <c r="AH157" i="1"/>
  <c r="AH22" i="1"/>
  <c r="AH26" i="1"/>
  <c r="AH30" i="1"/>
  <c r="AH34" i="1"/>
  <c r="AH36" i="1"/>
  <c r="AH38" i="1"/>
  <c r="AH39" i="1"/>
  <c r="AH40" i="1"/>
  <c r="AH42" i="1"/>
  <c r="AH43" i="1"/>
  <c r="AH48" i="1"/>
  <c r="AH49" i="1"/>
  <c r="AH51" i="1"/>
  <c r="AH52" i="1"/>
  <c r="AH56" i="1"/>
  <c r="AH57" i="1"/>
  <c r="AH59" i="1"/>
  <c r="AH62" i="1"/>
  <c r="AH63" i="1"/>
  <c r="AH65" i="1"/>
  <c r="AH66" i="1"/>
  <c r="AH67" i="1"/>
  <c r="AH71" i="1"/>
  <c r="AH73" i="1"/>
  <c r="AH74" i="1"/>
  <c r="AH76" i="1"/>
  <c r="AH77" i="1"/>
  <c r="AH78" i="1"/>
  <c r="AH79" i="1"/>
  <c r="AH80" i="1"/>
  <c r="AH83" i="1"/>
  <c r="AH84" i="1"/>
  <c r="AH86" i="1"/>
  <c r="AH90" i="2" l="1"/>
  <c r="M13" i="5" l="1"/>
  <c r="M207" i="5"/>
  <c r="AC197" i="5"/>
  <c r="AE197" i="5" s="1"/>
  <c r="AI197" i="5" s="1"/>
  <c r="AH8" i="3"/>
  <c r="AH9" i="4"/>
  <c r="AH8" i="1"/>
  <c r="AC182" i="5"/>
  <c r="AE182" i="5" s="1"/>
  <c r="AI182" i="5" s="1"/>
  <c r="AH144" i="2"/>
  <c r="AH95" i="2"/>
  <c r="AH110" i="2"/>
  <c r="AH151" i="2"/>
  <c r="AC148" i="5" l="1"/>
  <c r="AE148" i="5" s="1"/>
  <c r="AI148" i="5" s="1"/>
  <c r="AC13" i="5"/>
  <c r="AE13" i="5" s="1"/>
  <c r="AI13" i="5" s="1"/>
  <c r="AC202" i="5"/>
  <c r="AE202" i="5" s="1"/>
  <c r="AI202" i="5" s="1"/>
  <c r="AC200" i="5"/>
  <c r="AE200" i="5" s="1"/>
  <c r="AI200" i="5" s="1"/>
  <c r="AC199" i="5"/>
  <c r="AE199" i="5" s="1"/>
  <c r="AI199" i="5" s="1"/>
  <c r="AC190" i="5"/>
  <c r="AE190" i="5" s="1"/>
  <c r="AI190" i="5" s="1"/>
  <c r="AC187" i="5"/>
  <c r="AE187" i="5" s="1"/>
  <c r="AI187" i="5" s="1"/>
  <c r="AC186" i="5"/>
  <c r="AE186" i="5" s="1"/>
  <c r="AI186" i="5" s="1"/>
  <c r="AC185" i="5"/>
  <c r="AE185" i="5" s="1"/>
  <c r="AI185" i="5" s="1"/>
  <c r="AC183" i="5"/>
  <c r="AE183" i="5" s="1"/>
  <c r="AI183" i="5" s="1"/>
  <c r="AC181" i="5"/>
  <c r="AE181" i="5" s="1"/>
  <c r="AI181" i="5" s="1"/>
  <c r="AC180" i="5"/>
  <c r="AE180" i="5" s="1"/>
  <c r="AI180" i="5" s="1"/>
  <c r="AC207" i="5"/>
  <c r="AC143" i="5"/>
  <c r="AE143" i="5" s="1"/>
  <c r="AI143" i="5" s="1"/>
  <c r="AC12" i="5"/>
  <c r="AE12" i="5" s="1"/>
  <c r="AI12" i="5" s="1"/>
  <c r="AC184" i="5"/>
  <c r="AE184" i="5" s="1"/>
  <c r="AI184" i="5" s="1"/>
  <c r="AC11" i="6"/>
  <c r="AA11" i="6"/>
  <c r="E211" i="6"/>
  <c r="E206" i="6"/>
  <c r="E203" i="6"/>
  <c r="E201" i="6"/>
  <c r="E182" i="6"/>
  <c r="E180" i="6"/>
  <c r="E174" i="6"/>
  <c r="E169" i="6"/>
  <c r="E164" i="6"/>
  <c r="E161" i="6"/>
  <c r="E159" i="6"/>
  <c r="E149" i="6"/>
  <c r="E143" i="6"/>
  <c r="E135" i="6"/>
  <c r="E134" i="6"/>
  <c r="E123" i="6"/>
  <c r="E120" i="6"/>
  <c r="E111" i="6"/>
  <c r="E109" i="6"/>
  <c r="E105" i="6"/>
  <c r="E96" i="6"/>
  <c r="E210" i="6"/>
  <c r="E208" i="6"/>
  <c r="E205" i="6"/>
  <c r="E73" i="6"/>
  <c r="E202" i="6"/>
  <c r="E200" i="6"/>
  <c r="E197" i="6"/>
  <c r="E70" i="6"/>
  <c r="E66" i="6"/>
  <c r="E185" i="6"/>
  <c r="E181" i="6"/>
  <c r="E179" i="6"/>
  <c r="E59" i="6"/>
  <c r="E175" i="6"/>
  <c r="E173" i="6"/>
  <c r="E168" i="6"/>
  <c r="E163" i="6"/>
  <c r="E162" i="6"/>
  <c r="E160" i="6"/>
  <c r="E158" i="6"/>
  <c r="E155" i="6"/>
  <c r="E148" i="6"/>
  <c r="E144" i="6"/>
  <c r="E142" i="6"/>
  <c r="E140" i="6"/>
  <c r="E133" i="6"/>
  <c r="E128" i="6"/>
  <c r="E124" i="6"/>
  <c r="E122" i="6"/>
  <c r="E46" i="6"/>
  <c r="E117" i="6"/>
  <c r="E114" i="6"/>
  <c r="E112" i="6"/>
  <c r="E110" i="6"/>
  <c r="E95" i="6"/>
  <c r="E94" i="6"/>
  <c r="E90" i="6"/>
  <c r="E89" i="6"/>
  <c r="E87" i="6"/>
  <c r="E84" i="6"/>
  <c r="E81" i="6"/>
  <c r="E74" i="6"/>
  <c r="E69" i="6"/>
  <c r="E67" i="6"/>
  <c r="E62" i="6"/>
  <c r="E51" i="6"/>
  <c r="E48" i="6"/>
  <c r="E33" i="6"/>
  <c r="E30" i="6"/>
  <c r="E24" i="6"/>
  <c r="E22" i="6"/>
  <c r="E20" i="6"/>
  <c r="E19" i="6"/>
  <c r="E17" i="6"/>
  <c r="E16" i="6"/>
  <c r="E15" i="6"/>
  <c r="E14" i="6"/>
  <c r="E13" i="6"/>
  <c r="AA639" i="6"/>
  <c r="U639" i="6"/>
  <c r="K639" i="6"/>
  <c r="AA638" i="6"/>
  <c r="U638" i="6"/>
  <c r="K638" i="6"/>
  <c r="AA637" i="6"/>
  <c r="U637" i="6"/>
  <c r="K637" i="6"/>
  <c r="AA636" i="6"/>
  <c r="U636" i="6"/>
  <c r="K636" i="6"/>
  <c r="AA635" i="6"/>
  <c r="U635" i="6"/>
  <c r="K635" i="6"/>
  <c r="AA634" i="6"/>
  <c r="U634" i="6"/>
  <c r="K634" i="6"/>
  <c r="AA633" i="6"/>
  <c r="U633" i="6"/>
  <c r="K633" i="6"/>
  <c r="AA632" i="6"/>
  <c r="U632" i="6"/>
  <c r="K632" i="6"/>
  <c r="AA631" i="6"/>
  <c r="U631" i="6"/>
  <c r="K631" i="6"/>
  <c r="AA630" i="6"/>
  <c r="U630" i="6"/>
  <c r="K630" i="6"/>
  <c r="AA629" i="6"/>
  <c r="U629" i="6"/>
  <c r="K629" i="6"/>
  <c r="AA628" i="6"/>
  <c r="U628" i="6"/>
  <c r="K628" i="6"/>
  <c r="AA627" i="6"/>
  <c r="U627" i="6"/>
  <c r="K627" i="6"/>
  <c r="AA626" i="6"/>
  <c r="U626" i="6"/>
  <c r="K626" i="6"/>
  <c r="AA625" i="6"/>
  <c r="U625" i="6"/>
  <c r="K625" i="6"/>
  <c r="AA624" i="6"/>
  <c r="U624" i="6"/>
  <c r="K624" i="6"/>
  <c r="AA623" i="6"/>
  <c r="U623" i="6"/>
  <c r="K623" i="6"/>
  <c r="AA622" i="6"/>
  <c r="U622" i="6"/>
  <c r="K622" i="6"/>
  <c r="AA621" i="6"/>
  <c r="U621" i="6"/>
  <c r="K621" i="6"/>
  <c r="AA620" i="6"/>
  <c r="U620" i="6"/>
  <c r="K620" i="6"/>
  <c r="AA619" i="6"/>
  <c r="U619" i="6"/>
  <c r="K619" i="6"/>
  <c r="AA618" i="6"/>
  <c r="U618" i="6"/>
  <c r="K618" i="6"/>
  <c r="AA617" i="6"/>
  <c r="U617" i="6"/>
  <c r="K617" i="6"/>
  <c r="AA616" i="6"/>
  <c r="U616" i="6"/>
  <c r="K616" i="6"/>
  <c r="AA615" i="6"/>
  <c r="U615" i="6"/>
  <c r="K615" i="6"/>
  <c r="AA614" i="6"/>
  <c r="U614" i="6"/>
  <c r="K614" i="6"/>
  <c r="AA613" i="6"/>
  <c r="U613" i="6"/>
  <c r="K613" i="6"/>
  <c r="AA612" i="6"/>
  <c r="U612" i="6"/>
  <c r="K612" i="6"/>
  <c r="AA611" i="6"/>
  <c r="U611" i="6"/>
  <c r="K611" i="6"/>
  <c r="AA610" i="6"/>
  <c r="U610" i="6"/>
  <c r="K610" i="6"/>
  <c r="AA609" i="6"/>
  <c r="U609" i="6"/>
  <c r="K609" i="6"/>
  <c r="AA606" i="6"/>
  <c r="U606" i="6"/>
  <c r="K606" i="6"/>
  <c r="AA605" i="6"/>
  <c r="U605" i="6"/>
  <c r="K605" i="6"/>
  <c r="AA604" i="6"/>
  <c r="U604" i="6"/>
  <c r="K604" i="6"/>
  <c r="AA603" i="6"/>
  <c r="U603" i="6"/>
  <c r="K603" i="6"/>
  <c r="AA602" i="6"/>
  <c r="U602" i="6"/>
  <c r="K602" i="6"/>
  <c r="AA601" i="6"/>
  <c r="U601" i="6"/>
  <c r="K601" i="6"/>
  <c r="AA600" i="6"/>
  <c r="U600" i="6"/>
  <c r="K600" i="6"/>
  <c r="AA599" i="6"/>
  <c r="U599" i="6"/>
  <c r="K599" i="6"/>
  <c r="AA598" i="6"/>
  <c r="U598" i="6"/>
  <c r="K598" i="6"/>
  <c r="AA597" i="6"/>
  <c r="U597" i="6"/>
  <c r="K597" i="6"/>
  <c r="AA596" i="6"/>
  <c r="U596" i="6"/>
  <c r="K596" i="6"/>
  <c r="AA595" i="6"/>
  <c r="U595" i="6"/>
  <c r="K595" i="6"/>
  <c r="AA594" i="6"/>
  <c r="U594" i="6"/>
  <c r="K594" i="6"/>
  <c r="AA593" i="6"/>
  <c r="U593" i="6"/>
  <c r="K593" i="6"/>
  <c r="AA592" i="6"/>
  <c r="K592" i="6"/>
  <c r="AA591" i="6"/>
  <c r="U591" i="6"/>
  <c r="K591" i="6"/>
  <c r="AA590" i="6"/>
  <c r="U590" i="6"/>
  <c r="K590" i="6"/>
  <c r="AA589" i="6"/>
  <c r="U589" i="6"/>
  <c r="K589" i="6"/>
  <c r="AA588" i="6"/>
  <c r="U588" i="6"/>
  <c r="K588" i="6"/>
  <c r="AA587" i="6"/>
  <c r="U587" i="6"/>
  <c r="K587" i="6"/>
  <c r="AA586" i="6"/>
  <c r="U586" i="6"/>
  <c r="K586" i="6"/>
  <c r="AA585" i="6"/>
  <c r="U585" i="6"/>
  <c r="K585" i="6"/>
  <c r="AA584" i="6"/>
  <c r="U584" i="6"/>
  <c r="K584" i="6"/>
  <c r="AA583" i="6"/>
  <c r="U583" i="6"/>
  <c r="K583" i="6"/>
  <c r="AA582" i="6"/>
  <c r="U582" i="6"/>
  <c r="K582" i="6"/>
  <c r="AA581" i="6"/>
  <c r="U581" i="6"/>
  <c r="K581" i="6"/>
  <c r="AA580" i="6"/>
  <c r="U580" i="6"/>
  <c r="K580" i="6"/>
  <c r="AA579" i="6"/>
  <c r="U579" i="6"/>
  <c r="K579" i="6"/>
  <c r="AA578" i="6"/>
  <c r="U578" i="6"/>
  <c r="K578" i="6"/>
  <c r="AA577" i="6"/>
  <c r="U577" i="6"/>
  <c r="K577" i="6"/>
  <c r="AA576" i="6"/>
  <c r="U576" i="6"/>
  <c r="K576" i="6"/>
  <c r="AA575" i="6"/>
  <c r="U575" i="6"/>
  <c r="K575" i="6"/>
  <c r="AA574" i="6"/>
  <c r="U574" i="6"/>
  <c r="K574" i="6"/>
  <c r="AA573" i="6"/>
  <c r="U573" i="6"/>
  <c r="K573" i="6"/>
  <c r="AA572" i="6"/>
  <c r="U572" i="6"/>
  <c r="K572" i="6"/>
  <c r="AA571" i="6"/>
  <c r="U571" i="6"/>
  <c r="K571" i="6"/>
  <c r="AA570" i="6"/>
  <c r="U570" i="6"/>
  <c r="K570" i="6"/>
  <c r="AA569" i="6"/>
  <c r="U569" i="6"/>
  <c r="K569" i="6"/>
  <c r="AA568" i="6"/>
  <c r="U568" i="6"/>
  <c r="K568" i="6"/>
  <c r="AA567" i="6"/>
  <c r="U567" i="6"/>
  <c r="K567" i="6"/>
  <c r="AA566" i="6"/>
  <c r="U566" i="6"/>
  <c r="K566" i="6"/>
  <c r="AA565" i="6"/>
  <c r="U565" i="6"/>
  <c r="K565" i="6"/>
  <c r="AA564" i="6"/>
  <c r="U564" i="6"/>
  <c r="K564" i="6"/>
  <c r="AA563" i="6"/>
  <c r="U563" i="6"/>
  <c r="K563" i="6"/>
  <c r="AA562" i="6"/>
  <c r="U562" i="6"/>
  <c r="K562" i="6"/>
  <c r="AA561" i="6"/>
  <c r="U561" i="6"/>
  <c r="K561" i="6"/>
  <c r="AA560" i="6"/>
  <c r="U560" i="6"/>
  <c r="K560" i="6"/>
  <c r="AA559" i="6"/>
  <c r="U559" i="6"/>
  <c r="K559" i="6"/>
  <c r="AA558" i="6"/>
  <c r="U558" i="6"/>
  <c r="K558" i="6"/>
  <c r="AA557" i="6"/>
  <c r="U557" i="6"/>
  <c r="K557" i="6"/>
  <c r="AA556" i="6"/>
  <c r="U556" i="6"/>
  <c r="K556" i="6"/>
  <c r="AA555" i="6"/>
  <c r="U555" i="6"/>
  <c r="K555" i="6"/>
  <c r="AA554" i="6"/>
  <c r="U554" i="6"/>
  <c r="K554" i="6"/>
  <c r="AA553" i="6"/>
  <c r="U553" i="6"/>
  <c r="K553" i="6"/>
  <c r="AA552" i="6"/>
  <c r="U552" i="6"/>
  <c r="K552" i="6"/>
  <c r="U551" i="6"/>
  <c r="K551" i="6"/>
  <c r="AA551" i="6"/>
  <c r="AA550" i="6"/>
  <c r="U550" i="6"/>
  <c r="K550" i="6"/>
  <c r="AA549" i="6"/>
  <c r="U549" i="6"/>
  <c r="K549" i="6"/>
  <c r="AA548" i="6"/>
  <c r="U548" i="6"/>
  <c r="K548" i="6"/>
  <c r="AA547" i="6"/>
  <c r="U547" i="6"/>
  <c r="K547" i="6"/>
  <c r="AA546" i="6"/>
  <c r="U546" i="6"/>
  <c r="K546" i="6"/>
  <c r="AA545" i="6"/>
  <c r="U545" i="6"/>
  <c r="K545" i="6"/>
  <c r="AA544" i="6"/>
  <c r="U544" i="6"/>
  <c r="K544" i="6"/>
  <c r="AA543" i="6"/>
  <c r="U543" i="6"/>
  <c r="K543" i="6"/>
  <c r="AA542" i="6"/>
  <c r="U542" i="6"/>
  <c r="K542" i="6"/>
  <c r="AA541" i="6"/>
  <c r="U541" i="6"/>
  <c r="K541" i="6"/>
  <c r="AA540" i="6"/>
  <c r="U540" i="6"/>
  <c r="K540" i="6"/>
  <c r="AA539" i="6"/>
  <c r="U539" i="6"/>
  <c r="K539" i="6"/>
  <c r="AA538" i="6"/>
  <c r="U538" i="6"/>
  <c r="K538" i="6"/>
  <c r="AA537" i="6"/>
  <c r="U537" i="6"/>
  <c r="K537" i="6"/>
  <c r="AA536" i="6"/>
  <c r="U536" i="6"/>
  <c r="K536" i="6"/>
  <c r="AA535" i="6"/>
  <c r="U535" i="6"/>
  <c r="K535" i="6"/>
  <c r="AA534" i="6"/>
  <c r="U534" i="6"/>
  <c r="K534" i="6"/>
  <c r="AA531" i="6"/>
  <c r="U531" i="6"/>
  <c r="K531" i="6"/>
  <c r="AA530" i="6"/>
  <c r="U530" i="6"/>
  <c r="K530" i="6"/>
  <c r="AA529" i="6"/>
  <c r="U529" i="6"/>
  <c r="K529" i="6"/>
  <c r="AA528" i="6"/>
  <c r="U528" i="6"/>
  <c r="K528" i="6"/>
  <c r="AA527" i="6"/>
  <c r="U527" i="6"/>
  <c r="K527" i="6"/>
  <c r="AA526" i="6"/>
  <c r="U526" i="6"/>
  <c r="K526" i="6"/>
  <c r="AA525" i="6"/>
  <c r="U525" i="6"/>
  <c r="K525" i="6"/>
  <c r="AA524" i="6"/>
  <c r="U524" i="6"/>
  <c r="K524" i="6"/>
  <c r="AA523" i="6"/>
  <c r="U523" i="6"/>
  <c r="K523" i="6"/>
  <c r="AA522" i="6"/>
  <c r="U522" i="6"/>
  <c r="K522" i="6"/>
  <c r="AA521" i="6"/>
  <c r="U521" i="6"/>
  <c r="K521" i="6"/>
  <c r="AA520" i="6"/>
  <c r="U520" i="6"/>
  <c r="K520" i="6"/>
  <c r="AA519" i="6"/>
  <c r="U519" i="6"/>
  <c r="K519" i="6"/>
  <c r="AA518" i="6"/>
  <c r="K518" i="6"/>
  <c r="AA517" i="6"/>
  <c r="U517" i="6"/>
  <c r="K517" i="6"/>
  <c r="AA516" i="6"/>
  <c r="U516" i="6"/>
  <c r="K516" i="6"/>
  <c r="AA515" i="6"/>
  <c r="U515" i="6"/>
  <c r="K515" i="6"/>
  <c r="AA514" i="6"/>
  <c r="U514" i="6"/>
  <c r="K514" i="6"/>
  <c r="AA513" i="6"/>
  <c r="U513" i="6"/>
  <c r="K513" i="6"/>
  <c r="AA512" i="6"/>
  <c r="U512" i="6"/>
  <c r="K512" i="6"/>
  <c r="AA511" i="6"/>
  <c r="U511" i="6"/>
  <c r="K511" i="6"/>
  <c r="AA510" i="6"/>
  <c r="U510" i="6"/>
  <c r="K510" i="6"/>
  <c r="AA509" i="6"/>
  <c r="U509" i="6"/>
  <c r="K509" i="6"/>
  <c r="AA508" i="6"/>
  <c r="U508" i="6"/>
  <c r="K508" i="6"/>
  <c r="AA507" i="6"/>
  <c r="U507" i="6"/>
  <c r="K507" i="6"/>
  <c r="AA506" i="6"/>
  <c r="U506" i="6"/>
  <c r="K506" i="6"/>
  <c r="AA505" i="6"/>
  <c r="U505" i="6"/>
  <c r="K505" i="6"/>
  <c r="AA504" i="6"/>
  <c r="U504" i="6"/>
  <c r="K504" i="6"/>
  <c r="AA503" i="6"/>
  <c r="U503" i="6"/>
  <c r="K503" i="6"/>
  <c r="AA502" i="6"/>
  <c r="U502" i="6"/>
  <c r="K502" i="6"/>
  <c r="AA501" i="6"/>
  <c r="U501" i="6"/>
  <c r="K501" i="6"/>
  <c r="AA500" i="6"/>
  <c r="U500" i="6"/>
  <c r="K500" i="6"/>
  <c r="AA499" i="6"/>
  <c r="U499" i="6"/>
  <c r="K499" i="6"/>
  <c r="AA498" i="6"/>
  <c r="U498" i="6"/>
  <c r="K498" i="6"/>
  <c r="AA497" i="6"/>
  <c r="U497" i="6"/>
  <c r="K497" i="6"/>
  <c r="AA496" i="6"/>
  <c r="U496" i="6"/>
  <c r="K496" i="6"/>
  <c r="AA495" i="6"/>
  <c r="U495" i="6"/>
  <c r="K495" i="6"/>
  <c r="AA494" i="6"/>
  <c r="U494" i="6"/>
  <c r="K494" i="6"/>
  <c r="AA493" i="6"/>
  <c r="U493" i="6"/>
  <c r="K493" i="6"/>
  <c r="U492" i="6"/>
  <c r="K492" i="6"/>
  <c r="AA492" i="6"/>
  <c r="AA491" i="6"/>
  <c r="U491" i="6"/>
  <c r="K491" i="6"/>
  <c r="AA490" i="6"/>
  <c r="U490" i="6"/>
  <c r="K490" i="6"/>
  <c r="AA489" i="6"/>
  <c r="U489" i="6"/>
  <c r="K489" i="6"/>
  <c r="AA488" i="6"/>
  <c r="U488" i="6"/>
  <c r="K488" i="6"/>
  <c r="AA487" i="6"/>
  <c r="U487" i="6"/>
  <c r="K487" i="6"/>
  <c r="AA486" i="6"/>
  <c r="U486" i="6"/>
  <c r="K486" i="6"/>
  <c r="AA485" i="6"/>
  <c r="U485" i="6"/>
  <c r="K485" i="6"/>
  <c r="AA484" i="6"/>
  <c r="U484" i="6"/>
  <c r="K484" i="6"/>
  <c r="AA483" i="6"/>
  <c r="U483" i="6"/>
  <c r="K483" i="6"/>
  <c r="AA482" i="6"/>
  <c r="U482" i="6"/>
  <c r="K482" i="6"/>
  <c r="AA481" i="6"/>
  <c r="U481" i="6"/>
  <c r="K481" i="6"/>
  <c r="AA480" i="6"/>
  <c r="U480" i="6"/>
  <c r="K480" i="6"/>
  <c r="AA479" i="6"/>
  <c r="U479" i="6"/>
  <c r="K479" i="6"/>
  <c r="AA478" i="6"/>
  <c r="U478" i="6"/>
  <c r="K478" i="6"/>
  <c r="AA477" i="6"/>
  <c r="U477" i="6"/>
  <c r="K477" i="6"/>
  <c r="AA476" i="6"/>
  <c r="U476" i="6"/>
  <c r="K476" i="6"/>
  <c r="AA475" i="6"/>
  <c r="U475" i="6"/>
  <c r="K475" i="6"/>
  <c r="AA474" i="6"/>
  <c r="U474" i="6"/>
  <c r="K474" i="6"/>
  <c r="AA473" i="6"/>
  <c r="U473" i="6"/>
  <c r="K473" i="6"/>
  <c r="U472" i="6"/>
  <c r="K472" i="6"/>
  <c r="AA472" i="6"/>
  <c r="AA471" i="6"/>
  <c r="U471" i="6"/>
  <c r="K471" i="6"/>
  <c r="AA470" i="6"/>
  <c r="U470" i="6"/>
  <c r="K470" i="6"/>
  <c r="AA469" i="6"/>
  <c r="U469" i="6"/>
  <c r="K469" i="6"/>
  <c r="AA468" i="6"/>
  <c r="U468" i="6"/>
  <c r="K468" i="6"/>
  <c r="AA467" i="6"/>
  <c r="U467" i="6"/>
  <c r="K467" i="6"/>
  <c r="AA464" i="6"/>
  <c r="U464" i="6"/>
  <c r="K464" i="6"/>
  <c r="AA463" i="6"/>
  <c r="U463" i="6"/>
  <c r="K463" i="6"/>
  <c r="U462" i="6"/>
  <c r="K462" i="6"/>
  <c r="AA462" i="6"/>
  <c r="AA461" i="6"/>
  <c r="U461" i="6"/>
  <c r="K461" i="6"/>
  <c r="AA460" i="6"/>
  <c r="U460" i="6"/>
  <c r="K460" i="6"/>
  <c r="AA459" i="6"/>
  <c r="U459" i="6"/>
  <c r="K459" i="6"/>
  <c r="AA458" i="6"/>
  <c r="U458" i="6"/>
  <c r="K458" i="6"/>
  <c r="AA457" i="6"/>
  <c r="U457" i="6"/>
  <c r="K457" i="6"/>
  <c r="AA456" i="6"/>
  <c r="U456" i="6"/>
  <c r="K456" i="6"/>
  <c r="AA455" i="6"/>
  <c r="U455" i="6"/>
  <c r="K455" i="6"/>
  <c r="AA454" i="6"/>
  <c r="U454" i="6"/>
  <c r="K454" i="6"/>
  <c r="AA453" i="6"/>
  <c r="U453" i="6"/>
  <c r="K453" i="6"/>
  <c r="AA452" i="6"/>
  <c r="U452" i="6"/>
  <c r="K452" i="6"/>
  <c r="AA451" i="6"/>
  <c r="U451" i="6"/>
  <c r="K451" i="6"/>
  <c r="AA450" i="6"/>
  <c r="U450" i="6"/>
  <c r="K450" i="6"/>
  <c r="AA449" i="6"/>
  <c r="U449" i="6"/>
  <c r="K449" i="6"/>
  <c r="AA448" i="6"/>
  <c r="U448" i="6"/>
  <c r="K448" i="6"/>
  <c r="AA447" i="6"/>
  <c r="U447" i="6"/>
  <c r="K447" i="6"/>
  <c r="AA446" i="6"/>
  <c r="U446" i="6"/>
  <c r="K446" i="6"/>
  <c r="AA445" i="6"/>
  <c r="U445" i="6"/>
  <c r="K445" i="6"/>
  <c r="AA444" i="6"/>
  <c r="U444" i="6"/>
  <c r="K444" i="6"/>
  <c r="AA443" i="6"/>
  <c r="U443" i="6"/>
  <c r="K443" i="6"/>
  <c r="AA442" i="6"/>
  <c r="U442" i="6"/>
  <c r="K442" i="6"/>
  <c r="U441" i="6"/>
  <c r="K441" i="6"/>
  <c r="AA441" i="6"/>
  <c r="AA440" i="6"/>
  <c r="U440" i="6"/>
  <c r="K440" i="6"/>
  <c r="AA439" i="6"/>
  <c r="U439" i="6"/>
  <c r="K439" i="6"/>
  <c r="AA438" i="6"/>
  <c r="U438" i="6"/>
  <c r="K438" i="6"/>
  <c r="AA437" i="6"/>
  <c r="U437" i="6"/>
  <c r="K437" i="6"/>
  <c r="AA436" i="6"/>
  <c r="U436" i="6"/>
  <c r="K436" i="6"/>
  <c r="AA435" i="6"/>
  <c r="U435" i="6"/>
  <c r="K435" i="6"/>
  <c r="AA434" i="6"/>
  <c r="U434" i="6"/>
  <c r="K434" i="6"/>
  <c r="AA433" i="6"/>
  <c r="U433" i="6"/>
  <c r="K433" i="6"/>
  <c r="AA432" i="6"/>
  <c r="U432" i="6"/>
  <c r="K432" i="6"/>
  <c r="AA431" i="6"/>
  <c r="U431" i="6"/>
  <c r="K431" i="6"/>
  <c r="AA430" i="6"/>
  <c r="U430" i="6"/>
  <c r="K430" i="6"/>
  <c r="AA429" i="6"/>
  <c r="U429" i="6"/>
  <c r="K429" i="6"/>
  <c r="AA428" i="6"/>
  <c r="U428" i="6"/>
  <c r="K428" i="6"/>
  <c r="AA427" i="6"/>
  <c r="U427" i="6"/>
  <c r="K427" i="6"/>
  <c r="AA426" i="6"/>
  <c r="U426" i="6"/>
  <c r="K426" i="6"/>
  <c r="AA425" i="6"/>
  <c r="U425" i="6"/>
  <c r="K425" i="6"/>
  <c r="AA424" i="6"/>
  <c r="U424" i="6"/>
  <c r="K424" i="6"/>
  <c r="AA423" i="6"/>
  <c r="U423" i="6"/>
  <c r="K423" i="6"/>
  <c r="AA422" i="6"/>
  <c r="U422" i="6"/>
  <c r="K422" i="6"/>
  <c r="AA421" i="6"/>
  <c r="U421" i="6"/>
  <c r="K421" i="6"/>
  <c r="AA420" i="6"/>
  <c r="U420" i="6"/>
  <c r="K420" i="6"/>
  <c r="AA419" i="6"/>
  <c r="U419" i="6"/>
  <c r="K419" i="6"/>
  <c r="AA418" i="6"/>
  <c r="U418" i="6"/>
  <c r="K418" i="6"/>
  <c r="AA417" i="6"/>
  <c r="U417" i="6"/>
  <c r="K417" i="6"/>
  <c r="AA416" i="6"/>
  <c r="U416" i="6"/>
  <c r="K416" i="6"/>
  <c r="AA415" i="6"/>
  <c r="U415" i="6"/>
  <c r="K415" i="6"/>
  <c r="AA414" i="6"/>
  <c r="U414" i="6"/>
  <c r="K414" i="6"/>
  <c r="AA413" i="6"/>
  <c r="U413" i="6"/>
  <c r="K413" i="6"/>
  <c r="AA412" i="6"/>
  <c r="U412" i="6"/>
  <c r="K412" i="6"/>
  <c r="AA411" i="6"/>
  <c r="U411" i="6"/>
  <c r="K411" i="6"/>
  <c r="AA410" i="6"/>
  <c r="U410" i="6"/>
  <c r="K410" i="6"/>
  <c r="AA409" i="6"/>
  <c r="U409" i="6"/>
  <c r="K409" i="6"/>
  <c r="AA408" i="6"/>
  <c r="U408" i="6"/>
  <c r="K408" i="6"/>
  <c r="AA407" i="6"/>
  <c r="U407" i="6"/>
  <c r="K407" i="6"/>
  <c r="AA406" i="6"/>
  <c r="U406" i="6"/>
  <c r="K406" i="6"/>
  <c r="AA405" i="6"/>
  <c r="U405" i="6"/>
  <c r="K405" i="6"/>
  <c r="AA404" i="6"/>
  <c r="U404" i="6"/>
  <c r="K404" i="6"/>
  <c r="AA403" i="6"/>
  <c r="U403" i="6"/>
  <c r="K403" i="6"/>
  <c r="AA402" i="6"/>
  <c r="U402" i="6"/>
  <c r="K402" i="6"/>
  <c r="AA401" i="6"/>
  <c r="U401" i="6"/>
  <c r="K401" i="6"/>
  <c r="AA400" i="6"/>
  <c r="U400" i="6"/>
  <c r="K400" i="6"/>
  <c r="AA399" i="6"/>
  <c r="U399" i="6"/>
  <c r="K399" i="6"/>
  <c r="AA398" i="6"/>
  <c r="U398" i="6"/>
  <c r="K398" i="6"/>
  <c r="AA397" i="6"/>
  <c r="U397" i="6"/>
  <c r="K397" i="6"/>
  <c r="AA396" i="6"/>
  <c r="U396" i="6"/>
  <c r="K396" i="6"/>
  <c r="AA395" i="6"/>
  <c r="U395" i="6"/>
  <c r="K395" i="6"/>
  <c r="AA394" i="6"/>
  <c r="U394" i="6"/>
  <c r="K394" i="6"/>
  <c r="AA393" i="6"/>
  <c r="U393" i="6"/>
  <c r="K393" i="6"/>
  <c r="AA392" i="6"/>
  <c r="U392" i="6"/>
  <c r="K392" i="6"/>
  <c r="AA389" i="6"/>
  <c r="U389" i="6"/>
  <c r="K389" i="6"/>
  <c r="AA388" i="6"/>
  <c r="U388" i="6"/>
  <c r="K388" i="6"/>
  <c r="AA387" i="6"/>
  <c r="U387" i="6"/>
  <c r="K387" i="6"/>
  <c r="AA386" i="6"/>
  <c r="U386" i="6"/>
  <c r="K386" i="6"/>
  <c r="AA385" i="6"/>
  <c r="U385" i="6"/>
  <c r="K385" i="6"/>
  <c r="AA384" i="6"/>
  <c r="U384" i="6"/>
  <c r="K384" i="6"/>
  <c r="AA383" i="6"/>
  <c r="U383" i="6"/>
  <c r="K383" i="6"/>
  <c r="AA382" i="6"/>
  <c r="U382" i="6"/>
  <c r="K382" i="6"/>
  <c r="AA381" i="6"/>
  <c r="U381" i="6"/>
  <c r="K381" i="6"/>
  <c r="AA380" i="6"/>
  <c r="U380" i="6"/>
  <c r="K380" i="6"/>
  <c r="AA379" i="6"/>
  <c r="U379" i="6"/>
  <c r="K379" i="6"/>
  <c r="AA378" i="6"/>
  <c r="U378" i="6"/>
  <c r="K378" i="6"/>
  <c r="AA377" i="6"/>
  <c r="U377" i="6"/>
  <c r="K377" i="6"/>
  <c r="AA376" i="6"/>
  <c r="U376" i="6"/>
  <c r="K376" i="6"/>
  <c r="AA375" i="6"/>
  <c r="U375" i="6"/>
  <c r="K375" i="6"/>
  <c r="AA374" i="6"/>
  <c r="U374" i="6"/>
  <c r="K374" i="6"/>
  <c r="AA373" i="6"/>
  <c r="U373" i="6"/>
  <c r="K373" i="6"/>
  <c r="AA372" i="6"/>
  <c r="U372" i="6"/>
  <c r="K372" i="6"/>
  <c r="AA371" i="6"/>
  <c r="U371" i="6"/>
  <c r="K371" i="6"/>
  <c r="AA370" i="6"/>
  <c r="U370" i="6"/>
  <c r="K370" i="6"/>
  <c r="AA369" i="6"/>
  <c r="U369" i="6"/>
  <c r="K369" i="6"/>
  <c r="AA368" i="6"/>
  <c r="U368" i="6"/>
  <c r="K368" i="6"/>
  <c r="AA367" i="6"/>
  <c r="U367" i="6"/>
  <c r="K367" i="6"/>
  <c r="AA366" i="6"/>
  <c r="U366" i="6"/>
  <c r="K366" i="6"/>
  <c r="AA365" i="6"/>
  <c r="U365" i="6"/>
  <c r="K365" i="6"/>
  <c r="AA364" i="6"/>
  <c r="U364" i="6"/>
  <c r="K364" i="6"/>
  <c r="AA363" i="6"/>
  <c r="U363" i="6"/>
  <c r="K363" i="6"/>
  <c r="AA362" i="6"/>
  <c r="U362" i="6"/>
  <c r="K362" i="6"/>
  <c r="AA361" i="6"/>
  <c r="U361" i="6"/>
  <c r="K361" i="6"/>
  <c r="AA360" i="6"/>
  <c r="U360" i="6"/>
  <c r="K360" i="6"/>
  <c r="AA359" i="6"/>
  <c r="U359" i="6"/>
  <c r="K359" i="6"/>
  <c r="AA358" i="6"/>
  <c r="U358" i="6"/>
  <c r="K358" i="6"/>
  <c r="AA357" i="6"/>
  <c r="U357" i="6"/>
  <c r="K357" i="6"/>
  <c r="AA356" i="6"/>
  <c r="U356" i="6"/>
  <c r="K356" i="6"/>
  <c r="AA355" i="6"/>
  <c r="U355" i="6"/>
  <c r="K355" i="6"/>
  <c r="AA354" i="6"/>
  <c r="U354" i="6"/>
  <c r="K354" i="6"/>
  <c r="AA353" i="6"/>
  <c r="U353" i="6"/>
  <c r="K353" i="6"/>
  <c r="AA352" i="6"/>
  <c r="U352" i="6"/>
  <c r="K352" i="6"/>
  <c r="AA351" i="6"/>
  <c r="U351" i="6"/>
  <c r="K351" i="6"/>
  <c r="AA350" i="6"/>
  <c r="U350" i="6"/>
  <c r="K350" i="6"/>
  <c r="AA349" i="6"/>
  <c r="U349" i="6"/>
  <c r="K349" i="6"/>
  <c r="AA348" i="6"/>
  <c r="U348" i="6"/>
  <c r="K348" i="6"/>
  <c r="AA347" i="6"/>
  <c r="U347" i="6"/>
  <c r="K347" i="6"/>
  <c r="AA346" i="6"/>
  <c r="U346" i="6"/>
  <c r="K346" i="6"/>
  <c r="AA345" i="6"/>
  <c r="U345" i="6"/>
  <c r="K345" i="6"/>
  <c r="AA344" i="6"/>
  <c r="U344" i="6"/>
  <c r="K344" i="6"/>
  <c r="AA343" i="6"/>
  <c r="U343" i="6"/>
  <c r="K343" i="6"/>
  <c r="AA342" i="6"/>
  <c r="U342" i="6"/>
  <c r="K342" i="6"/>
  <c r="AA341" i="6"/>
  <c r="U341" i="6"/>
  <c r="K341" i="6"/>
  <c r="AA340" i="6"/>
  <c r="U340" i="6"/>
  <c r="K340" i="6"/>
  <c r="AA339" i="6"/>
  <c r="U339" i="6"/>
  <c r="K339" i="6"/>
  <c r="AA338" i="6"/>
  <c r="U338" i="6"/>
  <c r="K338" i="6"/>
  <c r="AA337" i="6"/>
  <c r="U337" i="6"/>
  <c r="K337" i="6"/>
  <c r="AA336" i="6"/>
  <c r="U336" i="6"/>
  <c r="K336" i="6"/>
  <c r="AA335" i="6"/>
  <c r="U335" i="6"/>
  <c r="K335" i="6"/>
  <c r="AA334" i="6"/>
  <c r="U334" i="6"/>
  <c r="K334" i="6"/>
  <c r="AA333" i="6"/>
  <c r="U333" i="6"/>
  <c r="K333" i="6"/>
  <c r="AA332" i="6"/>
  <c r="U332" i="6"/>
  <c r="K332" i="6"/>
  <c r="AA331" i="6"/>
  <c r="U331" i="6"/>
  <c r="K331" i="6"/>
  <c r="AA330" i="6"/>
  <c r="U330" i="6"/>
  <c r="K330" i="6"/>
  <c r="AA329" i="6"/>
  <c r="U329" i="6"/>
  <c r="K329" i="6"/>
  <c r="AA328" i="6"/>
  <c r="U328" i="6"/>
  <c r="K328" i="6"/>
  <c r="AA327" i="6"/>
  <c r="U327" i="6"/>
  <c r="K327" i="6"/>
  <c r="AA326" i="6"/>
  <c r="U326" i="6"/>
  <c r="K326" i="6"/>
  <c r="AA325" i="6"/>
  <c r="U325" i="6"/>
  <c r="K325" i="6"/>
  <c r="AA324" i="6"/>
  <c r="K324" i="6"/>
  <c r="AA321" i="6"/>
  <c r="U321" i="6"/>
  <c r="K321" i="6"/>
  <c r="AA320" i="6"/>
  <c r="U320" i="6"/>
  <c r="K320" i="6"/>
  <c r="AA319" i="6"/>
  <c r="U319" i="6"/>
  <c r="K319" i="6"/>
  <c r="AA318" i="6"/>
  <c r="U318" i="6"/>
  <c r="K318" i="6"/>
  <c r="AA317" i="6"/>
  <c r="U317" i="6"/>
  <c r="K317" i="6"/>
  <c r="AA316" i="6"/>
  <c r="U316" i="6"/>
  <c r="K316" i="6"/>
  <c r="AA315" i="6"/>
  <c r="U315" i="6"/>
  <c r="K315" i="6"/>
  <c r="AA314" i="6"/>
  <c r="U314" i="6"/>
  <c r="K314" i="6"/>
  <c r="AA313" i="6"/>
  <c r="U313" i="6"/>
  <c r="K313" i="6"/>
  <c r="U312" i="6"/>
  <c r="AA311" i="6"/>
  <c r="U311" i="6"/>
  <c r="K311" i="6"/>
  <c r="AA310" i="6"/>
  <c r="U310" i="6"/>
  <c r="AA309" i="6"/>
  <c r="U309" i="6"/>
  <c r="K309" i="6"/>
  <c r="AA308" i="6"/>
  <c r="U308" i="6"/>
  <c r="K308" i="6"/>
  <c r="AA307" i="6"/>
  <c r="U307" i="6"/>
  <c r="K307" i="6"/>
  <c r="AA306" i="6"/>
  <c r="U306" i="6"/>
  <c r="K306" i="6"/>
  <c r="AA305" i="6"/>
  <c r="U305" i="6"/>
  <c r="K305" i="6"/>
  <c r="AA304" i="6"/>
  <c r="U304" i="6"/>
  <c r="K304" i="6"/>
  <c r="AA303" i="6"/>
  <c r="U303" i="6"/>
  <c r="K303" i="6"/>
  <c r="AA302" i="6"/>
  <c r="U302" i="6"/>
  <c r="K302" i="6"/>
  <c r="AA301" i="6"/>
  <c r="U301" i="6"/>
  <c r="K301" i="6"/>
  <c r="AA300" i="6"/>
  <c r="U300" i="6"/>
  <c r="K300" i="6"/>
  <c r="AA299" i="6"/>
  <c r="U299" i="6"/>
  <c r="K299" i="6"/>
  <c r="AA298" i="6"/>
  <c r="U298" i="6"/>
  <c r="K298" i="6"/>
  <c r="AA297" i="6"/>
  <c r="U297" i="6"/>
  <c r="K297" i="6"/>
  <c r="U296" i="6"/>
  <c r="K296" i="6"/>
  <c r="AA295" i="6"/>
  <c r="U295" i="6"/>
  <c r="K295" i="6"/>
  <c r="AA294" i="6"/>
  <c r="U294" i="6"/>
  <c r="K294" i="6"/>
  <c r="AA293" i="6"/>
  <c r="U293" i="6"/>
  <c r="K293" i="6"/>
  <c r="AA292" i="6"/>
  <c r="U292" i="6"/>
  <c r="K292" i="6"/>
  <c r="AA291" i="6"/>
  <c r="U291" i="6"/>
  <c r="K291" i="6"/>
  <c r="AA290" i="6"/>
  <c r="U290" i="6"/>
  <c r="K290" i="6"/>
  <c r="AA289" i="6"/>
  <c r="U289" i="6"/>
  <c r="K289" i="6"/>
  <c r="AA288" i="6"/>
  <c r="U288" i="6"/>
  <c r="K288" i="6"/>
  <c r="AA287" i="6"/>
  <c r="U287" i="6"/>
  <c r="K287" i="6"/>
  <c r="AA286" i="6"/>
  <c r="U286" i="6"/>
  <c r="K286" i="6"/>
  <c r="AA285" i="6"/>
  <c r="U285" i="6"/>
  <c r="K285" i="6"/>
  <c r="AA284" i="6"/>
  <c r="U284" i="6"/>
  <c r="K284" i="6"/>
  <c r="AA283" i="6"/>
  <c r="U283" i="6"/>
  <c r="K283" i="6"/>
  <c r="AA282" i="6"/>
  <c r="U282" i="6"/>
  <c r="K282" i="6"/>
  <c r="AA281" i="6"/>
  <c r="U281" i="6"/>
  <c r="K281" i="6"/>
  <c r="AA280" i="6"/>
  <c r="U280" i="6"/>
  <c r="K280" i="6"/>
  <c r="AA279" i="6"/>
  <c r="U279" i="6"/>
  <c r="K279" i="6"/>
  <c r="AA278" i="6"/>
  <c r="U278" i="6"/>
  <c r="K278" i="6"/>
  <c r="AA277" i="6"/>
  <c r="U277" i="6"/>
  <c r="K277" i="6"/>
  <c r="AA276" i="6"/>
  <c r="U276" i="6"/>
  <c r="K276" i="6"/>
  <c r="AA275" i="6"/>
  <c r="U275" i="6"/>
  <c r="K275" i="6"/>
  <c r="AA274" i="6"/>
  <c r="U274" i="6"/>
  <c r="K274" i="6"/>
  <c r="AA273" i="6"/>
  <c r="U273" i="6"/>
  <c r="K273" i="6"/>
  <c r="AA272" i="6"/>
  <c r="U272" i="6"/>
  <c r="K272" i="6"/>
  <c r="AA271" i="6"/>
  <c r="U271" i="6"/>
  <c r="K271" i="6"/>
  <c r="AA270" i="6"/>
  <c r="U270" i="6"/>
  <c r="K270" i="6"/>
  <c r="AA269" i="6"/>
  <c r="U269" i="6"/>
  <c r="K269" i="6"/>
  <c r="AA268" i="6"/>
  <c r="U268" i="6"/>
  <c r="K268" i="6"/>
  <c r="AA267" i="6"/>
  <c r="U267" i="6"/>
  <c r="K267" i="6"/>
  <c r="AA266" i="6"/>
  <c r="U266" i="6"/>
  <c r="K266" i="6"/>
  <c r="AA265" i="6"/>
  <c r="U265" i="6"/>
  <c r="K265" i="6"/>
  <c r="AA264" i="6"/>
  <c r="U264" i="6"/>
  <c r="K264" i="6"/>
  <c r="AA263" i="6"/>
  <c r="U263" i="6"/>
  <c r="K263" i="6"/>
  <c r="AA262" i="6"/>
  <c r="U262" i="6"/>
  <c r="K262" i="6"/>
  <c r="AA261" i="6"/>
  <c r="U261" i="6"/>
  <c r="K261" i="6"/>
  <c r="AA260" i="6"/>
  <c r="U260" i="6"/>
  <c r="K260" i="6"/>
  <c r="AA259" i="6"/>
  <c r="U259" i="6"/>
  <c r="K259" i="6"/>
  <c r="AA258" i="6"/>
  <c r="U258" i="6"/>
  <c r="K258" i="6"/>
  <c r="AA257" i="6"/>
  <c r="U257" i="6"/>
  <c r="K257" i="6"/>
  <c r="AA256" i="6"/>
  <c r="U256" i="6"/>
  <c r="K256" i="6"/>
  <c r="AA255" i="6"/>
  <c r="U255" i="6"/>
  <c r="K255" i="6"/>
  <c r="AA254" i="6"/>
  <c r="U254" i="6"/>
  <c r="K254" i="6"/>
  <c r="AA251" i="6"/>
  <c r="U251" i="6"/>
  <c r="K251" i="6"/>
  <c r="AA250" i="6"/>
  <c r="U250" i="6"/>
  <c r="K250" i="6"/>
  <c r="AA249" i="6"/>
  <c r="U249" i="6"/>
  <c r="K249" i="6"/>
  <c r="AA248" i="6"/>
  <c r="U248" i="6"/>
  <c r="K248" i="6"/>
  <c r="AA247" i="6"/>
  <c r="U247" i="6"/>
  <c r="K247" i="6"/>
  <c r="AA246" i="6"/>
  <c r="U246" i="6"/>
  <c r="K246" i="6"/>
  <c r="AA245" i="6"/>
  <c r="U245" i="6"/>
  <c r="K245" i="6"/>
  <c r="AA244" i="6"/>
  <c r="U244" i="6"/>
  <c r="K244" i="6"/>
  <c r="AA243" i="6"/>
  <c r="U243" i="6"/>
  <c r="K243" i="6"/>
  <c r="AA242" i="6"/>
  <c r="U242" i="6"/>
  <c r="K242" i="6"/>
  <c r="AA241" i="6"/>
  <c r="U241" i="6"/>
  <c r="K241" i="6"/>
  <c r="AA240" i="6"/>
  <c r="U240" i="6"/>
  <c r="K240" i="6"/>
  <c r="AA239" i="6"/>
  <c r="U239" i="6"/>
  <c r="K239" i="6"/>
  <c r="AA238" i="6"/>
  <c r="U238" i="6"/>
  <c r="K238" i="6"/>
  <c r="AA237" i="6"/>
  <c r="U237" i="6"/>
  <c r="K237" i="6"/>
  <c r="AA236" i="6"/>
  <c r="U236" i="6"/>
  <c r="K236" i="6"/>
  <c r="AA235" i="6"/>
  <c r="U235" i="6"/>
  <c r="K235" i="6"/>
  <c r="AA234" i="6"/>
  <c r="U234" i="6"/>
  <c r="K234" i="6"/>
  <c r="AA233" i="6"/>
  <c r="U233" i="6"/>
  <c r="K233" i="6"/>
  <c r="AA232" i="6"/>
  <c r="U232" i="6"/>
  <c r="K232" i="6"/>
  <c r="AA231" i="6"/>
  <c r="U231" i="6"/>
  <c r="K231" i="6"/>
  <c r="AA230" i="6"/>
  <c r="U230" i="6"/>
  <c r="K230" i="6"/>
  <c r="AA229" i="6"/>
  <c r="U229" i="6"/>
  <c r="K229" i="6"/>
  <c r="AA228" i="6"/>
  <c r="U228" i="6"/>
  <c r="K228" i="6"/>
  <c r="AA227" i="6"/>
  <c r="U227" i="6"/>
  <c r="K227" i="6"/>
  <c r="AA226" i="6"/>
  <c r="U226" i="6"/>
  <c r="K226" i="6"/>
  <c r="AA225" i="6"/>
  <c r="U225" i="6"/>
  <c r="K225" i="6"/>
  <c r="AA224" i="6"/>
  <c r="U224" i="6"/>
  <c r="K224" i="6"/>
  <c r="AA223" i="6"/>
  <c r="U223" i="6"/>
  <c r="K223" i="6"/>
  <c r="AA222" i="6"/>
  <c r="U222" i="6"/>
  <c r="K222" i="6"/>
  <c r="AA221" i="6"/>
  <c r="U221" i="6"/>
  <c r="K221" i="6"/>
  <c r="AA220" i="6"/>
  <c r="U220" i="6"/>
  <c r="K220" i="6"/>
  <c r="AA219" i="6"/>
  <c r="U219" i="6"/>
  <c r="K219" i="6"/>
  <c r="AA218" i="6"/>
  <c r="U218" i="6"/>
  <c r="K218" i="6"/>
  <c r="AA217" i="6"/>
  <c r="U217" i="6"/>
  <c r="K217" i="6"/>
  <c r="AA216" i="6"/>
  <c r="U216" i="6"/>
  <c r="K216" i="6"/>
  <c r="AA215" i="6"/>
  <c r="U215" i="6"/>
  <c r="K215" i="6"/>
  <c r="AA214" i="6"/>
  <c r="U214" i="6"/>
  <c r="K214" i="6"/>
  <c r="U213" i="6"/>
  <c r="K213" i="6"/>
  <c r="U212" i="6"/>
  <c r="K212" i="6"/>
  <c r="U211" i="6"/>
  <c r="K211" i="6"/>
  <c r="K206" i="6"/>
  <c r="K204" i="6"/>
  <c r="K203" i="6"/>
  <c r="K201" i="6"/>
  <c r="K190" i="6"/>
  <c r="K189" i="6"/>
  <c r="K188" i="6"/>
  <c r="K186" i="6"/>
  <c r="K184" i="6"/>
  <c r="K183" i="6"/>
  <c r="K182" i="6"/>
  <c r="K180" i="6"/>
  <c r="K174" i="6"/>
  <c r="K169" i="6"/>
  <c r="K164" i="6"/>
  <c r="K161" i="6"/>
  <c r="K159" i="6"/>
  <c r="K149" i="6"/>
  <c r="K147" i="6"/>
  <c r="K145" i="6"/>
  <c r="K134" i="6"/>
  <c r="K130" i="6"/>
  <c r="K129" i="6"/>
  <c r="K125" i="6"/>
  <c r="K123" i="6"/>
  <c r="K120" i="6"/>
  <c r="K111" i="6"/>
  <c r="K109" i="6"/>
  <c r="K105" i="6"/>
  <c r="K96" i="6"/>
  <c r="K210" i="6"/>
  <c r="K208" i="6"/>
  <c r="K205" i="6"/>
  <c r="K73" i="6"/>
  <c r="K202" i="6"/>
  <c r="K200" i="6"/>
  <c r="K197" i="6"/>
  <c r="K70" i="6"/>
  <c r="K66" i="6"/>
  <c r="K185" i="6"/>
  <c r="K181" i="6"/>
  <c r="K179" i="6"/>
  <c r="K59" i="6"/>
  <c r="K175" i="6"/>
  <c r="K173" i="6"/>
  <c r="K168" i="6"/>
  <c r="K163" i="6"/>
  <c r="K162" i="6"/>
  <c r="K160" i="6"/>
  <c r="K158" i="6"/>
  <c r="K155" i="6"/>
  <c r="K148" i="6"/>
  <c r="K144" i="6"/>
  <c r="K128" i="6"/>
  <c r="K124" i="6"/>
  <c r="K122" i="6"/>
  <c r="K46" i="6"/>
  <c r="K117" i="6"/>
  <c r="K114" i="6"/>
  <c r="K112" i="6"/>
  <c r="K110" i="6"/>
  <c r="K95" i="6"/>
  <c r="K94" i="6"/>
  <c r="K90" i="6"/>
  <c r="K89" i="6"/>
  <c r="K87" i="6"/>
  <c r="K84" i="6"/>
  <c r="K82" i="6"/>
  <c r="K81" i="6"/>
  <c r="K75" i="6"/>
  <c r="K74" i="6"/>
  <c r="K69" i="6"/>
  <c r="K67" i="6"/>
  <c r="K62" i="6"/>
  <c r="K37" i="6"/>
  <c r="K32" i="6"/>
  <c r="K26" i="6"/>
  <c r="K51" i="6"/>
  <c r="K48" i="6"/>
  <c r="K21" i="6"/>
  <c r="K42" i="6"/>
  <c r="K40" i="6"/>
  <c r="K38" i="6"/>
  <c r="K33" i="6"/>
  <c r="K30" i="6"/>
  <c r="U24" i="6"/>
  <c r="K24" i="6"/>
  <c r="U22" i="6"/>
  <c r="K22" i="6"/>
  <c r="U20" i="6"/>
  <c r="K20" i="6"/>
  <c r="U19" i="6"/>
  <c r="K19" i="6"/>
  <c r="K12" i="6"/>
  <c r="U17" i="6"/>
  <c r="K17" i="6"/>
  <c r="U16" i="6"/>
  <c r="K16" i="6"/>
  <c r="U15" i="6"/>
  <c r="K15" i="6"/>
  <c r="U14" i="6"/>
  <c r="K14" i="6"/>
  <c r="U13" i="6"/>
  <c r="K13" i="6"/>
  <c r="U11" i="6"/>
  <c r="K11" i="6"/>
  <c r="AC254" i="6" l="1"/>
  <c r="AC258" i="6"/>
  <c r="AC195" i="5"/>
  <c r="AE195" i="5" s="1"/>
  <c r="AI195" i="5" s="1"/>
  <c r="AE207" i="5"/>
  <c r="AI207" i="5" s="1"/>
  <c r="AC443" i="6"/>
  <c r="AC471" i="6"/>
  <c r="AC477" i="6"/>
  <c r="AC507" i="6"/>
  <c r="AC509" i="6"/>
  <c r="AC522" i="6"/>
  <c r="AC524" i="6"/>
  <c r="AC582" i="6"/>
  <c r="AC257" i="6"/>
  <c r="AC442" i="6"/>
  <c r="AC444" i="6"/>
  <c r="AC476" i="6"/>
  <c r="AC478" i="6"/>
  <c r="AC508" i="6"/>
  <c r="AC519" i="6"/>
  <c r="AC523" i="6"/>
  <c r="AC569" i="6"/>
  <c r="AC594" i="6"/>
  <c r="AC222" i="6"/>
  <c r="AC228" i="6"/>
  <c r="AC238" i="6"/>
  <c r="AC240" i="6"/>
  <c r="AC242" i="6"/>
  <c r="AC244" i="6"/>
  <c r="AC246" i="6"/>
  <c r="AC273" i="6"/>
  <c r="AC275" i="6"/>
  <c r="AC277" i="6"/>
  <c r="AC279" i="6"/>
  <c r="AC302" i="6"/>
  <c r="AC424" i="6"/>
  <c r="AC426" i="6"/>
  <c r="AC432" i="6"/>
  <c r="AC434" i="6"/>
  <c r="AC461" i="6"/>
  <c r="AC489" i="6"/>
  <c r="AC495" i="6"/>
  <c r="AC535" i="6"/>
  <c r="AC537" i="6"/>
  <c r="AC539" i="6"/>
  <c r="AC541" i="6"/>
  <c r="AC543" i="6"/>
  <c r="AC553" i="6"/>
  <c r="AC559" i="6"/>
  <c r="AC561" i="6"/>
  <c r="AC605" i="6"/>
  <c r="AC623" i="6"/>
  <c r="AC613" i="6"/>
  <c r="AC617" i="6"/>
  <c r="AC619" i="6"/>
  <c r="AC638" i="6"/>
  <c r="AC301" i="6"/>
  <c r="AC303" i="6"/>
  <c r="AC316" i="6"/>
  <c r="AC318" i="6"/>
  <c r="AC367" i="6"/>
  <c r="AC413" i="6"/>
  <c r="AC415" i="6"/>
  <c r="AC425" i="6"/>
  <c r="AC552" i="6"/>
  <c r="AC637" i="6"/>
  <c r="AC639" i="6"/>
  <c r="AC239" i="6"/>
  <c r="AC241" i="6"/>
  <c r="AC243" i="6"/>
  <c r="AC245" i="6"/>
  <c r="AC272" i="6"/>
  <c r="AC274" i="6"/>
  <c r="AC276" i="6"/>
  <c r="AC278" i="6"/>
  <c r="AC280" i="6"/>
  <c r="AC317" i="6"/>
  <c r="AC330" i="6"/>
  <c r="AC404" i="6"/>
  <c r="AC414" i="6"/>
  <c r="AC416" i="6"/>
  <c r="AC433" i="6"/>
  <c r="AC460" i="6"/>
  <c r="AC488" i="6"/>
  <c r="AC490" i="6"/>
  <c r="AC534" i="6"/>
  <c r="AC536" i="6"/>
  <c r="AC538" i="6"/>
  <c r="AC540" i="6"/>
  <c r="AC542" i="6"/>
  <c r="AC544" i="6"/>
  <c r="AC560" i="6"/>
  <c r="AC604" i="6"/>
  <c r="AC606" i="6"/>
  <c r="AC631" i="6"/>
  <c r="AC268" i="6"/>
  <c r="AC307" i="6"/>
  <c r="AC314" i="6"/>
  <c r="AC462" i="6"/>
  <c r="AC486" i="6"/>
  <c r="AC498" i="6"/>
  <c r="AC530" i="6"/>
  <c r="AC557" i="6"/>
  <c r="AC571" i="6"/>
  <c r="AC586" i="6"/>
  <c r="AC590" i="6"/>
  <c r="AC292" i="6"/>
  <c r="AC325" i="6"/>
  <c r="AC332" i="6"/>
  <c r="AC334" i="6"/>
  <c r="AC354" i="6"/>
  <c r="AC356" i="6"/>
  <c r="AC358" i="6"/>
  <c r="AC379" i="6"/>
  <c r="AC381" i="6"/>
  <c r="AC383" i="6"/>
  <c r="AC420" i="6"/>
  <c r="AC440" i="6"/>
  <c r="AC597" i="6"/>
  <c r="AC626" i="6"/>
  <c r="AC635" i="6"/>
  <c r="AC326" i="6"/>
  <c r="AC333" i="6"/>
  <c r="AC339" i="6"/>
  <c r="AC355" i="6"/>
  <c r="AC357" i="6"/>
  <c r="AC365" i="6"/>
  <c r="AC380" i="6"/>
  <c r="AC382" i="6"/>
  <c r="AC400" i="6"/>
  <c r="AC430" i="6"/>
  <c r="AC458" i="6"/>
  <c r="AC497" i="6"/>
  <c r="AC499" i="6"/>
  <c r="AC548" i="6"/>
  <c r="AC567" i="6"/>
  <c r="AC572" i="6"/>
  <c r="AC589" i="6"/>
  <c r="AC596" i="6"/>
  <c r="AC602" i="6"/>
  <c r="AC618" i="6"/>
  <c r="AC625" i="6"/>
  <c r="AC627" i="6"/>
  <c r="AC250" i="6"/>
  <c r="AC311" i="6"/>
  <c r="AC217" i="6"/>
  <c r="AC218" i="6"/>
  <c r="AC219" i="6"/>
  <c r="AC220" i="6"/>
  <c r="AC221" i="6"/>
  <c r="AC248" i="6"/>
  <c r="AC249" i="6"/>
  <c r="AC264" i="6"/>
  <c r="AC267" i="6"/>
  <c r="AC286" i="6"/>
  <c r="AC287" i="6"/>
  <c r="AC288" i="6"/>
  <c r="AC289" i="6"/>
  <c r="AC290" i="6"/>
  <c r="AC291" i="6"/>
  <c r="AC305" i="6"/>
  <c r="AC306" i="6"/>
  <c r="AC313" i="6"/>
  <c r="AC328" i="6"/>
  <c r="AC329" i="6"/>
  <c r="AC337" i="6"/>
  <c r="AC338" i="6"/>
  <c r="AC363" i="6"/>
  <c r="AC364" i="6"/>
  <c r="AC398" i="6"/>
  <c r="AC399" i="6"/>
  <c r="AC418" i="6"/>
  <c r="AC419" i="6"/>
  <c r="AC428" i="6"/>
  <c r="AC429" i="6"/>
  <c r="AC436" i="6"/>
  <c r="AC439" i="6"/>
  <c r="AC452" i="6"/>
  <c r="AC455" i="6"/>
  <c r="AC456" i="6"/>
  <c r="AC457" i="6"/>
  <c r="AC469" i="6"/>
  <c r="AC470" i="6"/>
  <c r="AC480" i="6"/>
  <c r="AC485" i="6"/>
  <c r="AC493" i="6"/>
  <c r="AC494" i="6"/>
  <c r="AC503" i="6"/>
  <c r="AC504" i="6"/>
  <c r="AC505" i="6"/>
  <c r="AC516" i="6"/>
  <c r="AC517" i="6"/>
  <c r="U518" i="6"/>
  <c r="AC518" i="6" s="1"/>
  <c r="AC528" i="6"/>
  <c r="AC529" i="6"/>
  <c r="AC546" i="6"/>
  <c r="AC547" i="6"/>
  <c r="AC555" i="6"/>
  <c r="AC556" i="6"/>
  <c r="AC565" i="6"/>
  <c r="AC566" i="6"/>
  <c r="AC580" i="6"/>
  <c r="AC581" i="6"/>
  <c r="AC592" i="6"/>
  <c r="AC593" i="6"/>
  <c r="AC620" i="6"/>
  <c r="AC621" i="6"/>
  <c r="AC622" i="6"/>
  <c r="AC632" i="6"/>
  <c r="AC633" i="6"/>
  <c r="AC634" i="6"/>
  <c r="AC598" i="6"/>
  <c r="AC599" i="6"/>
  <c r="AC600" i="6"/>
  <c r="AC601" i="6"/>
  <c r="AC610" i="6"/>
  <c r="AC612" i="6"/>
  <c r="AC214" i="6"/>
  <c r="AC215" i="6"/>
  <c r="AC216" i="6"/>
  <c r="AC227" i="6"/>
  <c r="AC247" i="6"/>
  <c r="AC251" i="6"/>
  <c r="AC261" i="6"/>
  <c r="AC262" i="6"/>
  <c r="AC263" i="6"/>
  <c r="AC271" i="6"/>
  <c r="AC281" i="6"/>
  <c r="AC282" i="6"/>
  <c r="AC283" i="6"/>
  <c r="AC284" i="6"/>
  <c r="AC285" i="6"/>
  <c r="AC297" i="6"/>
  <c r="AC298" i="6"/>
  <c r="AC299" i="6"/>
  <c r="AC300" i="6"/>
  <c r="AC304" i="6"/>
  <c r="AC315" i="6"/>
  <c r="AC321" i="6"/>
  <c r="AC324" i="6"/>
  <c r="AC327" i="6"/>
  <c r="AC331" i="6"/>
  <c r="AC335" i="6"/>
  <c r="AC336" i="6"/>
  <c r="AC342" i="6"/>
  <c r="AC343" i="6"/>
  <c r="AC344" i="6"/>
  <c r="AC345" i="6"/>
  <c r="AC346" i="6"/>
  <c r="AC347" i="6"/>
  <c r="AC348" i="6"/>
  <c r="AC349" i="6"/>
  <c r="AC350" i="6"/>
  <c r="AC351" i="6"/>
  <c r="AC352" i="6"/>
  <c r="AC353" i="6"/>
  <c r="AC359" i="6"/>
  <c r="AC360" i="6"/>
  <c r="AC361" i="6"/>
  <c r="AC362" i="6"/>
  <c r="AC366" i="6"/>
  <c r="AC384" i="6"/>
  <c r="AC385" i="6"/>
  <c r="AC386" i="6"/>
  <c r="AC387" i="6"/>
  <c r="AC388" i="6"/>
  <c r="AC389" i="6"/>
  <c r="AC392" i="6"/>
  <c r="AC393" i="6"/>
  <c r="AC394" i="6"/>
  <c r="AC395" i="6"/>
  <c r="AC396" i="6"/>
  <c r="AC397" i="6"/>
  <c r="AC403" i="6"/>
  <c r="AC417" i="6"/>
  <c r="AC423" i="6"/>
  <c r="AC427" i="6"/>
  <c r="AC431" i="6"/>
  <c r="AC435" i="6"/>
  <c r="AC441" i="6"/>
  <c r="AC446" i="6"/>
  <c r="AC447" i="6"/>
  <c r="AC448" i="6"/>
  <c r="AC449" i="6"/>
  <c r="AC450" i="6"/>
  <c r="AC451" i="6"/>
  <c r="AC459" i="6"/>
  <c r="AC464" i="6"/>
  <c r="AC467" i="6"/>
  <c r="AC468" i="6"/>
  <c r="AC472" i="6"/>
  <c r="AC473" i="6"/>
  <c r="AC474" i="6"/>
  <c r="AC475" i="6"/>
  <c r="AC479" i="6"/>
  <c r="AC487" i="6"/>
  <c r="AC491" i="6"/>
  <c r="AC492" i="6"/>
  <c r="AC496" i="6"/>
  <c r="AC502" i="6"/>
  <c r="AC506" i="6"/>
  <c r="AC513" i="6"/>
  <c r="AC514" i="6"/>
  <c r="AC515" i="6"/>
  <c r="AC521" i="6"/>
  <c r="AC527" i="6"/>
  <c r="AC531" i="6"/>
  <c r="AC545" i="6"/>
  <c r="AC549" i="6"/>
  <c r="AC550" i="6"/>
  <c r="AC551" i="6"/>
  <c r="AC554" i="6"/>
  <c r="AC558" i="6"/>
  <c r="AC562" i="6"/>
  <c r="AC563" i="6"/>
  <c r="AC564" i="6"/>
  <c r="AC568" i="6"/>
  <c r="AC573" i="6"/>
  <c r="AC574" i="6"/>
  <c r="AC575" i="6"/>
  <c r="AC576" i="6"/>
  <c r="AC577" i="6"/>
  <c r="AC578" i="6"/>
  <c r="AC579" i="6"/>
  <c r="AC583" i="6"/>
  <c r="AC584" i="6"/>
  <c r="AC585" i="6"/>
  <c r="AC591" i="6"/>
  <c r="AC595" i="6"/>
  <c r="AC603" i="6"/>
  <c r="AC609" i="6"/>
  <c r="AC616" i="6"/>
  <c r="AC624" i="6"/>
  <c r="AC628" i="6"/>
  <c r="AC629" i="6"/>
  <c r="AC630" i="6"/>
  <c r="AC636" i="6"/>
  <c r="AC223" i="6"/>
  <c r="AC224" i="6"/>
  <c r="AC225" i="6"/>
  <c r="AC226" i="6"/>
  <c r="AC229" i="6"/>
  <c r="AC230" i="6"/>
  <c r="AC231" i="6"/>
  <c r="AC232" i="6"/>
  <c r="AC233" i="6"/>
  <c r="AC234" i="6"/>
  <c r="AC236" i="6"/>
  <c r="AC237" i="6"/>
  <c r="AC255" i="6"/>
  <c r="AC256" i="6"/>
  <c r="AC259" i="6"/>
  <c r="AC260" i="6"/>
  <c r="AC265" i="6"/>
  <c r="AC266" i="6"/>
  <c r="AC269" i="6"/>
  <c r="AC270" i="6"/>
  <c r="AC293" i="6"/>
  <c r="AC294" i="6"/>
  <c r="AC295" i="6"/>
  <c r="AC296" i="6"/>
  <c r="AC308" i="6"/>
  <c r="AC309" i="6"/>
  <c r="AC310" i="6"/>
  <c r="AC319" i="6"/>
  <c r="AC320" i="6"/>
  <c r="AC340" i="6"/>
  <c r="AC341" i="6"/>
  <c r="AC368" i="6"/>
  <c r="AC369" i="6"/>
  <c r="AC370" i="6"/>
  <c r="AC371" i="6"/>
  <c r="AC372" i="6"/>
  <c r="AC373" i="6"/>
  <c r="AC374" i="6"/>
  <c r="AC375" i="6"/>
  <c r="AC376" i="6"/>
  <c r="AC377" i="6"/>
  <c r="AC378" i="6"/>
  <c r="AC401" i="6"/>
  <c r="AC402" i="6"/>
  <c r="AC405" i="6"/>
  <c r="AC406" i="6"/>
  <c r="AC407" i="6"/>
  <c r="AC408" i="6"/>
  <c r="AC409" i="6"/>
  <c r="AC410" i="6"/>
  <c r="AC411" i="6"/>
  <c r="AC412" i="6"/>
  <c r="AC421" i="6"/>
  <c r="AC422" i="6"/>
  <c r="AC437" i="6"/>
  <c r="AC438" i="6"/>
  <c r="AC445" i="6"/>
  <c r="AC453" i="6"/>
  <c r="AC454" i="6"/>
  <c r="AC463" i="6"/>
  <c r="AC481" i="6"/>
  <c r="AC482" i="6"/>
  <c r="AC483" i="6"/>
  <c r="AC484" i="6"/>
  <c r="AC500" i="6"/>
  <c r="AC501" i="6"/>
  <c r="AC510" i="6"/>
  <c r="AC511" i="6"/>
  <c r="AC512" i="6"/>
  <c r="AC520" i="6"/>
  <c r="AC525" i="6"/>
  <c r="AC526" i="6"/>
  <c r="AC570" i="6"/>
  <c r="AC587" i="6"/>
  <c r="AC588" i="6"/>
  <c r="AC611" i="6"/>
  <c r="AC614" i="6"/>
  <c r="AC615" i="6"/>
  <c r="AC235" i="6"/>
  <c r="AA296" i="6"/>
  <c r="K312" i="6"/>
  <c r="AH17" i="2"/>
  <c r="AH10" i="1"/>
  <c r="AH12" i="1"/>
  <c r="AH14" i="1"/>
  <c r="AH15" i="1"/>
  <c r="AH11" i="1"/>
  <c r="AH13" i="1"/>
  <c r="AH18" i="1"/>
  <c r="AH17" i="1"/>
  <c r="AH9" i="1"/>
  <c r="AH16" i="2"/>
  <c r="AH16" i="1"/>
  <c r="AH16" i="3"/>
  <c r="AH12" i="3"/>
  <c r="AH138" i="2"/>
  <c r="AH112" i="2"/>
  <c r="AQ103" i="2"/>
  <c r="AH10" i="4"/>
  <c r="AH9" i="3"/>
  <c r="AH9" i="2"/>
  <c r="AH18" i="3"/>
  <c r="AH19" i="4"/>
  <c r="AH18" i="2"/>
  <c r="AH161" i="2"/>
  <c r="AH156" i="2"/>
  <c r="AH154" i="2"/>
  <c r="AH153" i="2"/>
  <c r="AH149" i="2"/>
  <c r="AH148" i="2"/>
  <c r="AH147" i="2"/>
  <c r="AH145" i="2"/>
  <c r="AH139" i="2"/>
  <c r="AH129" i="2"/>
  <c r="AH126" i="2"/>
  <c r="AH122" i="2"/>
  <c r="AH119" i="2"/>
  <c r="AH117" i="2"/>
  <c r="AH116" i="2"/>
  <c r="AH17" i="3"/>
  <c r="AH18" i="4"/>
  <c r="AH114" i="2"/>
  <c r="AH111" i="2"/>
  <c r="AH104" i="2"/>
  <c r="AH103" i="2"/>
  <c r="AH100" i="2"/>
  <c r="AH96" i="2"/>
  <c r="AH92" i="2"/>
  <c r="AH91" i="2"/>
  <c r="AH10" i="3"/>
  <c r="AH14" i="3"/>
  <c r="AH15" i="3"/>
  <c r="AH11" i="3"/>
  <c r="AH13" i="3"/>
  <c r="AH11" i="4"/>
  <c r="AH15" i="4"/>
  <c r="AH17" i="4"/>
  <c r="AH16" i="4"/>
  <c r="AH12" i="4"/>
  <c r="AH14" i="4"/>
  <c r="AH13" i="4"/>
  <c r="AH10" i="2"/>
  <c r="AH14" i="2"/>
  <c r="AH241" i="2"/>
  <c r="AH15" i="2"/>
  <c r="AH11" i="2"/>
  <c r="AH13" i="2"/>
  <c r="AH12" i="2"/>
  <c r="AH133" i="2"/>
  <c r="AA312" i="6" l="1"/>
  <c r="AC312" i="6"/>
  <c r="E11" i="6"/>
  <c r="U30" i="6"/>
  <c r="E42" i="6"/>
  <c r="E38" i="6"/>
  <c r="E40" i="6"/>
</calcChain>
</file>

<file path=xl/sharedStrings.xml><?xml version="1.0" encoding="utf-8"?>
<sst xmlns="http://schemas.openxmlformats.org/spreadsheetml/2006/main" count="3418" uniqueCount="656">
  <si>
    <t>Other</t>
  </si>
  <si>
    <t>Miscellaneous</t>
  </si>
  <si>
    <t>Supplies</t>
  </si>
  <si>
    <t>Entity Name</t>
  </si>
  <si>
    <t>County</t>
  </si>
  <si>
    <t>(Continued)</t>
  </si>
  <si>
    <t>Library</t>
  </si>
  <si>
    <t>Lane Public Library</t>
  </si>
  <si>
    <t>Butler</t>
  </si>
  <si>
    <t>London Public Library</t>
  </si>
  <si>
    <t>Madison</t>
  </si>
  <si>
    <t>Belmont</t>
  </si>
  <si>
    <t>Mentor Public Library</t>
  </si>
  <si>
    <t>Lake</t>
  </si>
  <si>
    <t>Knox</t>
  </si>
  <si>
    <t>Geauga</t>
  </si>
  <si>
    <t>Euclid Public Library</t>
  </si>
  <si>
    <t>Cuyahoga</t>
  </si>
  <si>
    <t>Medina</t>
  </si>
  <si>
    <t>Barnesville Public Library</t>
  </si>
  <si>
    <t>Summit</t>
  </si>
  <si>
    <t>Portsmouth Public Library</t>
  </si>
  <si>
    <t>Scioto</t>
  </si>
  <si>
    <t>Stark</t>
  </si>
  <si>
    <t>Tuscarawas</t>
  </si>
  <si>
    <t>Washington</t>
  </si>
  <si>
    <t>Total</t>
  </si>
  <si>
    <t>Services</t>
  </si>
  <si>
    <t>Capital</t>
  </si>
  <si>
    <t>Property and</t>
  </si>
  <si>
    <t>Assets</t>
  </si>
  <si>
    <t>Brown County Public Library</t>
  </si>
  <si>
    <t>Girard Free Library</t>
  </si>
  <si>
    <t>Gnadenhutten Public Library</t>
  </si>
  <si>
    <t>Herrick Memorial Library</t>
  </si>
  <si>
    <t>Hurt Battelle Memorial Library</t>
  </si>
  <si>
    <t>Wauseon Public Library</t>
  </si>
  <si>
    <t>Wickliffe Public Library</t>
  </si>
  <si>
    <t>Adams</t>
  </si>
  <si>
    <t>Licking</t>
  </si>
  <si>
    <t>Fulton</t>
  </si>
  <si>
    <t>Ashtabula</t>
  </si>
  <si>
    <t>Auglaize</t>
  </si>
  <si>
    <t>Seneca</t>
  </si>
  <si>
    <t>Harrison</t>
  </si>
  <si>
    <t>Brown</t>
  </si>
  <si>
    <t>Carroll</t>
  </si>
  <si>
    <t>Ross</t>
  </si>
  <si>
    <t>Mercer</t>
  </si>
  <si>
    <t>Columbiana</t>
  </si>
  <si>
    <t>Crawford</t>
  </si>
  <si>
    <t>Miami</t>
  </si>
  <si>
    <t>Warren</t>
  </si>
  <si>
    <t>Montgomery</t>
  </si>
  <si>
    <t>Trumbull</t>
  </si>
  <si>
    <t>Lorain</t>
  </si>
  <si>
    <t>Highland</t>
  </si>
  <si>
    <t>Morgan</t>
  </si>
  <si>
    <t>Henry</t>
  </si>
  <si>
    <t>Hardin</t>
  </si>
  <si>
    <t>Champaign</t>
  </si>
  <si>
    <t>Wyandot</t>
  </si>
  <si>
    <t>Monroe</t>
  </si>
  <si>
    <t>Wood</t>
  </si>
  <si>
    <t>Perry</t>
  </si>
  <si>
    <t>Fairfield</t>
  </si>
  <si>
    <t>Morrow</t>
  </si>
  <si>
    <t>Clinton</t>
  </si>
  <si>
    <t>Delaware</t>
  </si>
  <si>
    <t>Alexandria Public Library</t>
  </si>
  <si>
    <t>Coldwater Public Library</t>
  </si>
  <si>
    <t xml:space="preserve">Ada Public Library </t>
  </si>
  <si>
    <t xml:space="preserve">Adams County Public Library </t>
  </si>
  <si>
    <t xml:space="preserve">Alger Public Library </t>
  </si>
  <si>
    <t>Amherst Public Library</t>
  </si>
  <si>
    <t>Amos Memorial Public Library</t>
  </si>
  <si>
    <t>Shelby</t>
  </si>
  <si>
    <t>Andover Public Library</t>
  </si>
  <si>
    <t xml:space="preserve">Arcanum Public Library </t>
  </si>
  <si>
    <t>Darke</t>
  </si>
  <si>
    <t>Ashland Public Library</t>
  </si>
  <si>
    <t>Ashland</t>
  </si>
  <si>
    <t>Avon Lake Public Library</t>
  </si>
  <si>
    <t xml:space="preserve">Bellaire Public Library </t>
  </si>
  <si>
    <t>Belle Center Free Public Library</t>
  </si>
  <si>
    <t>Logan</t>
  </si>
  <si>
    <t>Bellevue Public Library</t>
  </si>
  <si>
    <t>Huron</t>
  </si>
  <si>
    <t>Bettsville Public Library</t>
  </si>
  <si>
    <t>Bexley Pubilce Library</t>
  </si>
  <si>
    <t>Franklin</t>
  </si>
  <si>
    <t>Birchard Public Library</t>
  </si>
  <si>
    <t>Sandusky</t>
  </si>
  <si>
    <t>Blanchester Public Library</t>
  </si>
  <si>
    <t xml:space="preserve">Bliss Memorial Public Library </t>
  </si>
  <si>
    <t>Allen</t>
  </si>
  <si>
    <t xml:space="preserve">Bowerston Library </t>
  </si>
  <si>
    <t xml:space="preserve">Bradford Public Library </t>
  </si>
  <si>
    <t>Bristol Public Library</t>
  </si>
  <si>
    <t>Brown Memorial Public Library</t>
  </si>
  <si>
    <t>Preble</t>
  </si>
  <si>
    <t>Bucyrus Public Library</t>
  </si>
  <si>
    <t xml:space="preserve">Burton Public Library </t>
  </si>
  <si>
    <t xml:space="preserve">Caldwell Public Library </t>
  </si>
  <si>
    <t>Noble</t>
  </si>
  <si>
    <t xml:space="preserve">Canal Fulton Public Library </t>
  </si>
  <si>
    <t>Cardington-Lincoln Village Public</t>
  </si>
  <si>
    <t>Carnegie Public Library</t>
  </si>
  <si>
    <t>Fayette</t>
  </si>
  <si>
    <t>Centerburg Public Library</t>
  </si>
  <si>
    <t xml:space="preserve">Chillicothe &amp; Ross Cty. Public Library </t>
  </si>
  <si>
    <t>Clark County Public Library</t>
  </si>
  <si>
    <t>Clark</t>
  </si>
  <si>
    <t>Clermont County Public Library</t>
  </si>
  <si>
    <t>Clermont</t>
  </si>
  <si>
    <t>Clyde Public Library</t>
  </si>
  <si>
    <t>Columbus Metropolitan Public Library</t>
  </si>
  <si>
    <t>Conneaut Public Library</t>
  </si>
  <si>
    <t>Coshocton Public Library</t>
  </si>
  <si>
    <t>Coshocton</t>
  </si>
  <si>
    <t xml:space="preserve">Crestline Public Library </t>
  </si>
  <si>
    <t>Cuyahoga Co. Public Library</t>
  </si>
  <si>
    <t xml:space="preserve">Dayton Metro Library </t>
  </si>
  <si>
    <t>Defiance Public Library</t>
  </si>
  <si>
    <t>Defiance</t>
  </si>
  <si>
    <t>Delaware County District Library</t>
  </si>
  <si>
    <t xml:space="preserve">Delphos Public Library </t>
  </si>
  <si>
    <t xml:space="preserve">Delta Public Library </t>
  </si>
  <si>
    <t>Dorcas Carey Public Library</t>
  </si>
  <si>
    <t>Dover Public Library</t>
  </si>
  <si>
    <t>Gallia</t>
  </si>
  <si>
    <t>Dr. Sloan Library</t>
  </si>
  <si>
    <t>East Palestine Memorial Public Library</t>
  </si>
  <si>
    <t>Elyria Public Library</t>
  </si>
  <si>
    <t xml:space="preserve">Evergreen Community Library </t>
  </si>
  <si>
    <t>Fairport Harbor Public Library</t>
  </si>
  <si>
    <t>Findlay-Hancock Co. Public Library</t>
  </si>
  <si>
    <t>Hancock</t>
  </si>
  <si>
    <t xml:space="preserve">Forest-Jackson Public Library </t>
  </si>
  <si>
    <t>Fort Recovery Public Library</t>
  </si>
  <si>
    <t xml:space="preserve">Franklin Public Library </t>
  </si>
  <si>
    <t xml:space="preserve">Galion Public Library </t>
  </si>
  <si>
    <t>Garnet A.Wilson Public Library</t>
  </si>
  <si>
    <t>Pike</t>
  </si>
  <si>
    <t>Geauga County Public Library</t>
  </si>
  <si>
    <t xml:space="preserve">Germantown Public Library </t>
  </si>
  <si>
    <t xml:space="preserve">Grafton-Midview Public Library </t>
  </si>
  <si>
    <t>Grandview Heights Public Library</t>
  </si>
  <si>
    <t>Granville Public Library</t>
  </si>
  <si>
    <t>Greene Co. Public Library</t>
  </si>
  <si>
    <t>Greene</t>
  </si>
  <si>
    <t xml:space="preserve">Greenville Public Library </t>
  </si>
  <si>
    <t>Guernsey</t>
  </si>
  <si>
    <t xml:space="preserve">Harbor-Topky Memorial Library </t>
  </si>
  <si>
    <t>Hardin Northern Public Library</t>
  </si>
  <si>
    <t>Harris Elmore Public Library</t>
  </si>
  <si>
    <t>Ottawa</t>
  </si>
  <si>
    <t>Herbert Wescoat Memorial Library</t>
  </si>
  <si>
    <t>Vinton</t>
  </si>
  <si>
    <t xml:space="preserve">Highland Co Library </t>
  </si>
  <si>
    <t>Holgate Community Library</t>
  </si>
  <si>
    <t>Holmes</t>
  </si>
  <si>
    <t>Hubbard Library</t>
  </si>
  <si>
    <t>Hudson Library &amp; Historic Society</t>
  </si>
  <si>
    <t>Huron Public Library</t>
  </si>
  <si>
    <t>Erie</t>
  </si>
  <si>
    <t>Ida Rupp Public Library</t>
  </si>
  <si>
    <t xml:space="preserve">Jackson City Library </t>
  </si>
  <si>
    <t>Jackson</t>
  </si>
  <si>
    <t>Kaubish Memorial Public Library</t>
  </si>
  <si>
    <t xml:space="preserve">Kent Free Library </t>
  </si>
  <si>
    <t>Portage</t>
  </si>
  <si>
    <t xml:space="preserve">Kingsville Library </t>
  </si>
  <si>
    <t xml:space="preserve">Kinsman Free Public Library </t>
  </si>
  <si>
    <t xml:space="preserve">Kirtland Public Library </t>
  </si>
  <si>
    <t xml:space="preserve">Lebanon Public Library </t>
  </si>
  <si>
    <t xml:space="preserve">Lepper Library </t>
  </si>
  <si>
    <t xml:space="preserve">Liberty Center Library </t>
  </si>
  <si>
    <t>Lima Public Library</t>
  </si>
  <si>
    <t>Hocking</t>
  </si>
  <si>
    <t>Lorain Public Library</t>
  </si>
  <si>
    <t>Loudonville Public Library</t>
  </si>
  <si>
    <t>Madison Public Library</t>
  </si>
  <si>
    <t>Richland</t>
  </si>
  <si>
    <t xml:space="preserve">Marion Lawrence Memorial Library </t>
  </si>
  <si>
    <t>Marion Public Library</t>
  </si>
  <si>
    <t>Marion</t>
  </si>
  <si>
    <t xml:space="preserve">Marvin Memorial Library </t>
  </si>
  <si>
    <t xml:space="preserve">Mary L. Cook Public Library </t>
  </si>
  <si>
    <t xml:space="preserve">Mary Lou Johnson-Hardin Library </t>
  </si>
  <si>
    <t>Marysville Public Library</t>
  </si>
  <si>
    <t>Union</t>
  </si>
  <si>
    <t xml:space="preserve">Mason Public Library </t>
  </si>
  <si>
    <t>Massillon Public Library</t>
  </si>
  <si>
    <t xml:space="preserve">Mechanicsburg Library </t>
  </si>
  <si>
    <t>Middletown Public Library</t>
  </si>
  <si>
    <t xml:space="preserve">Milan-Berlin Library </t>
  </si>
  <si>
    <t xml:space="preserve">Milton Union Library </t>
  </si>
  <si>
    <t xml:space="preserve">Minerva Public Library </t>
  </si>
  <si>
    <t>Molo Regional Library System</t>
  </si>
  <si>
    <t>Monroeville Public Library</t>
  </si>
  <si>
    <t>Montpelier Public Library</t>
  </si>
  <si>
    <t>Williams</t>
  </si>
  <si>
    <t>Morely Library</t>
  </si>
  <si>
    <t>Mount Gilead Public Library</t>
  </si>
  <si>
    <t xml:space="preserve">Mount Sterling Public Library </t>
  </si>
  <si>
    <t>Muskingum Co. Library</t>
  </si>
  <si>
    <t>Muskingum</t>
  </si>
  <si>
    <t>Athens</t>
  </si>
  <si>
    <t xml:space="preserve">New Madison Library </t>
  </si>
  <si>
    <t xml:space="preserve">Newcomerstown Library </t>
  </si>
  <si>
    <t>Newton Falls Public Library</t>
  </si>
  <si>
    <t>Nola Regional Library</t>
  </si>
  <si>
    <t>Mahoning</t>
  </si>
  <si>
    <t xml:space="preserve">Normal Memorial Library </t>
  </si>
  <si>
    <t xml:space="preserve">North Baltimore Library </t>
  </si>
  <si>
    <t>North Canton Public Library</t>
  </si>
  <si>
    <t xml:space="preserve">Norwalk Public Library </t>
  </si>
  <si>
    <t>Oak Harbor Public Library</t>
  </si>
  <si>
    <t>Oak Hill Public Library</t>
  </si>
  <si>
    <t>Oberlin Public Library</t>
  </si>
  <si>
    <t>Ohio Vally Area Libraris</t>
  </si>
  <si>
    <t>Orrville Public Library</t>
  </si>
  <si>
    <t>Wayne</t>
  </si>
  <si>
    <t xml:space="preserve">Pataskala Public Library </t>
  </si>
  <si>
    <t>Patrick Henry School District Library</t>
  </si>
  <si>
    <t>Paulding County Carnegie Library</t>
  </si>
  <si>
    <t>Paulding</t>
  </si>
  <si>
    <t>Paulding County Law Library</t>
  </si>
  <si>
    <t>Pemberville Public Library</t>
  </si>
  <si>
    <t xml:space="preserve">Peninsula Library </t>
  </si>
  <si>
    <t>Perry Cook Memorial Public Library</t>
  </si>
  <si>
    <t xml:space="preserve">Perry Public Library </t>
  </si>
  <si>
    <t>Pickaway County Public Library</t>
  </si>
  <si>
    <t>Pickaway</t>
  </si>
  <si>
    <t xml:space="preserve">Plain City Public Library </t>
  </si>
  <si>
    <t xml:space="preserve">Puskarich Public Library </t>
  </si>
  <si>
    <t xml:space="preserve">Reed Memorial Library </t>
  </si>
  <si>
    <t>Reuben Mcmillan Free Library</t>
  </si>
  <si>
    <t>Richwood-North Union Public Library</t>
  </si>
  <si>
    <t>Ritter Public Library</t>
  </si>
  <si>
    <t xml:space="preserve">Rock Creek Library </t>
  </si>
  <si>
    <t>Rocky River Public Library</t>
  </si>
  <si>
    <t>Rodman Public Library</t>
  </si>
  <si>
    <t>Rossford Public Library</t>
  </si>
  <si>
    <t xml:space="preserve">Sabina Library </t>
  </si>
  <si>
    <t>Salem Public Library</t>
  </si>
  <si>
    <t>Salem Township Public Library</t>
  </si>
  <si>
    <t xml:space="preserve">Selover Public Library </t>
  </si>
  <si>
    <t xml:space="preserve">Seneca East Public Library </t>
  </si>
  <si>
    <t xml:space="preserve">Shaker Heights Public Library </t>
  </si>
  <si>
    <t>Solo Regional Library</t>
  </si>
  <si>
    <t>Southwest Public Library</t>
  </si>
  <si>
    <t>Stark Co. District Library</t>
  </si>
  <si>
    <t>Steubenville Public Library</t>
  </si>
  <si>
    <t>Jefferson</t>
  </si>
  <si>
    <t>Stow-Munroe Falls Public Library</t>
  </si>
  <si>
    <t xml:space="preserve">Swanton Public Library </t>
  </si>
  <si>
    <t xml:space="preserve">Sylvester Memor Library </t>
  </si>
  <si>
    <t>Taylor Memorial Library</t>
  </si>
  <si>
    <t>Tiffin-Seneca Public Library</t>
  </si>
  <si>
    <t>Toledo-Lucas Co. Public Library</t>
  </si>
  <si>
    <t>Lucus</t>
  </si>
  <si>
    <t>Tuscarawas Co. Public Library</t>
  </si>
  <si>
    <t>Union Township Public Library</t>
  </si>
  <si>
    <t>Upper Arlington Public Library</t>
  </si>
  <si>
    <t>Upper Sandusky Comm. Library</t>
  </si>
  <si>
    <t>Washington-Centerville Public Library</t>
  </si>
  <si>
    <t>Wayne Co. Public Library</t>
  </si>
  <si>
    <t>Wayne Public Library</t>
  </si>
  <si>
    <t>Way-Perrysburg Public Library</t>
  </si>
  <si>
    <t xml:space="preserve">Wellsville Carnegie Library </t>
  </si>
  <si>
    <t xml:space="preserve">Weston Public Library </t>
  </si>
  <si>
    <t>Willard Memorial Library</t>
  </si>
  <si>
    <t>Willoughby-Eastlake Public Library</t>
  </si>
  <si>
    <t xml:space="preserve">Wilmington Public Library </t>
  </si>
  <si>
    <t xml:space="preserve">Worch Memorial Public Library </t>
  </si>
  <si>
    <t>Worthington Public Library</t>
  </si>
  <si>
    <t>Wright Memorial Public Library</t>
  </si>
  <si>
    <t>Local Taxes</t>
  </si>
  <si>
    <t>Library and</t>
  </si>
  <si>
    <t>Local</t>
  </si>
  <si>
    <t>Government</t>
  </si>
  <si>
    <t>Support</t>
  </si>
  <si>
    <t>Patrons Fines</t>
  </si>
  <si>
    <t>and Fees</t>
  </si>
  <si>
    <t>Provided to</t>
  </si>
  <si>
    <t>Contributions,</t>
  </si>
  <si>
    <t>Gifts, and</t>
  </si>
  <si>
    <t>Donations</t>
  </si>
  <si>
    <t>Earnings on</t>
  </si>
  <si>
    <t>Investments</t>
  </si>
  <si>
    <t xml:space="preserve">Sale of </t>
  </si>
  <si>
    <t>Fixed</t>
  </si>
  <si>
    <t>Financing</t>
  </si>
  <si>
    <t>Sources</t>
  </si>
  <si>
    <t xml:space="preserve">Archbold Community Library </t>
  </si>
  <si>
    <t>Bexley Public Library</t>
  </si>
  <si>
    <t xml:space="preserve">Bluffton-Richland Library </t>
  </si>
  <si>
    <t xml:space="preserve">Claymont School District Public Library </t>
  </si>
  <si>
    <t xml:space="preserve">Dr. Samuel Bossard Memorial. Library </t>
  </si>
  <si>
    <t>Garnet A. Wilson Public Library</t>
  </si>
  <si>
    <t xml:space="preserve">Grand Valley Public Library </t>
  </si>
  <si>
    <t xml:space="preserve">Henderson Memorial Library </t>
  </si>
  <si>
    <t xml:space="preserve">Homer-Burlington Library </t>
  </si>
  <si>
    <t xml:space="preserve">Leetonia Community Library </t>
  </si>
  <si>
    <t xml:space="preserve">Louisville Public Library </t>
  </si>
  <si>
    <t xml:space="preserve">Mohawk Community Library </t>
  </si>
  <si>
    <t>Napoleon Area School Public</t>
  </si>
  <si>
    <t>Ohio Valley Area Library</t>
  </si>
  <si>
    <t xml:space="preserve">Pickerington Public Library </t>
  </si>
  <si>
    <t>Reuben McMillan Free Library</t>
  </si>
  <si>
    <t xml:space="preserve">Ridgemont Public Library </t>
  </si>
  <si>
    <t>Sandusky Library</t>
  </si>
  <si>
    <t xml:space="preserve">St. Clairsville Library </t>
  </si>
  <si>
    <t xml:space="preserve">Sylvester Memorial Library </t>
  </si>
  <si>
    <t>Lucas</t>
  </si>
  <si>
    <t>Twinsburg Public Library</t>
  </si>
  <si>
    <t xml:space="preserve">Wornstaff Memorial Library </t>
  </si>
  <si>
    <t>Purchased and</t>
  </si>
  <si>
    <t>Contracted</t>
  </si>
  <si>
    <t>Materials and</t>
  </si>
  <si>
    <t>Information</t>
  </si>
  <si>
    <t>Outlay</t>
  </si>
  <si>
    <t xml:space="preserve">Redemption of </t>
  </si>
  <si>
    <t>Principal</t>
  </si>
  <si>
    <t>Interest and</t>
  </si>
  <si>
    <t>Other Fiscal</t>
  </si>
  <si>
    <t>Charges</t>
  </si>
  <si>
    <t>Uses</t>
  </si>
  <si>
    <t xml:space="preserve">Napoleon Area School </t>
  </si>
  <si>
    <t xml:space="preserve">Ashtabula Co District Library </t>
  </si>
  <si>
    <t xml:space="preserve">Dr. Samuel Bossard Memorial Library </t>
  </si>
  <si>
    <t>Hudson Library &amp; Historical Society</t>
  </si>
  <si>
    <t xml:space="preserve">Kate Love Simpson Library </t>
  </si>
  <si>
    <t xml:space="preserve">J.R. Clarke Public Library </t>
  </si>
  <si>
    <t xml:space="preserve">McComb Public Library </t>
  </si>
  <si>
    <t>New London Library</t>
  </si>
  <si>
    <t>Ohio Valley Area Libraries</t>
  </si>
  <si>
    <t xml:space="preserve">Rockford Carnegie Library </t>
  </si>
  <si>
    <t xml:space="preserve">St. Marys Community Public Library </t>
  </si>
  <si>
    <t>Upper Sandusky Community Library</t>
  </si>
  <si>
    <t>Washington Co. Public Library</t>
  </si>
  <si>
    <t xml:space="preserve">Saint Paris Public Library </t>
  </si>
  <si>
    <t>Intergovern-</t>
  </si>
  <si>
    <t>mental</t>
  </si>
  <si>
    <t>Program Receipts</t>
  </si>
  <si>
    <t>General Receipts</t>
  </si>
  <si>
    <t>Adams County Public Library</t>
  </si>
  <si>
    <t>Archbold Community Library</t>
  </si>
  <si>
    <t>Ashtabula Co. District Library</t>
  </si>
  <si>
    <t>Auglaize Co. District Library</t>
  </si>
  <si>
    <t>Barberton Public Library</t>
  </si>
  <si>
    <t>Bellaire Public Library</t>
  </si>
  <si>
    <t>Bowerston Library</t>
  </si>
  <si>
    <t>Carroll Co. District Library</t>
  </si>
  <si>
    <t>Chillicothe &amp; Ross Co.. Public Library</t>
  </si>
  <si>
    <t>Claymont School District Public Library</t>
  </si>
  <si>
    <t>Community Library</t>
  </si>
  <si>
    <t>Crestline Public Library</t>
  </si>
  <si>
    <t>Flesh Public Library</t>
  </si>
  <si>
    <t>Evergreen Community Library</t>
  </si>
  <si>
    <t>Franklin Public Library</t>
  </si>
  <si>
    <t>Galion Public Library</t>
  </si>
  <si>
    <t>Germantown Public Library</t>
  </si>
  <si>
    <t>Highland Co. Library</t>
  </si>
  <si>
    <t>Kate Love Simps Library</t>
  </si>
  <si>
    <t>Lebanon Public Library</t>
  </si>
  <si>
    <t>Leetonia Common Library</t>
  </si>
  <si>
    <t>Jackson City Library</t>
  </si>
  <si>
    <t>Grafton-Midview Public Library</t>
  </si>
  <si>
    <t>Mary L. Cook Public Library</t>
  </si>
  <si>
    <t>Mary Lou Johnson-Hardin Library</t>
  </si>
  <si>
    <t>Mason Public Library</t>
  </si>
  <si>
    <t>Mechanicsburg Library</t>
  </si>
  <si>
    <t>Minerva Public Library</t>
  </si>
  <si>
    <t>North Baltimore Library</t>
  </si>
  <si>
    <t>Peninsula Library</t>
  </si>
  <si>
    <t>Perry Co Dist Library</t>
  </si>
  <si>
    <t>Plain City Public Library</t>
  </si>
  <si>
    <t>Marvin Memorial Library</t>
  </si>
  <si>
    <t>Mount Sterling Public Library</t>
  </si>
  <si>
    <t>Puskarich Public Library</t>
  </si>
  <si>
    <t>Ridgemont Public Library</t>
  </si>
  <si>
    <t>Rock Creek Library</t>
  </si>
  <si>
    <t>Rockford Carneg Library</t>
  </si>
  <si>
    <t>Saint Paris Pub Library</t>
  </si>
  <si>
    <t>Selover Public Library</t>
  </si>
  <si>
    <t>Seneca East Public Library</t>
  </si>
  <si>
    <t>St Marys Community Public Library</t>
  </si>
  <si>
    <t>St.Clairsville Library</t>
  </si>
  <si>
    <t>Swanton Public Library</t>
  </si>
  <si>
    <t>Wilmington Public Library</t>
  </si>
  <si>
    <t>Wornstaff Memorial Library</t>
  </si>
  <si>
    <t>Governmental Activities</t>
  </si>
  <si>
    <t>All Libraries Reporting Using GASB 34 Format</t>
  </si>
  <si>
    <t>Operating</t>
  </si>
  <si>
    <t>Grants</t>
  </si>
  <si>
    <t>Cash</t>
  </si>
  <si>
    <t>Charges for</t>
  </si>
  <si>
    <t>Contributions</t>
  </si>
  <si>
    <t>and Interest</t>
  </si>
  <si>
    <t>Net</t>
  </si>
  <si>
    <t>Special and</t>
  </si>
  <si>
    <t>Changes</t>
  </si>
  <si>
    <t>Net Assets</t>
  </si>
  <si>
    <t>Other Local</t>
  </si>
  <si>
    <t>Unrestricted</t>
  </si>
  <si>
    <t>Investment</t>
  </si>
  <si>
    <t>Transfers and</t>
  </si>
  <si>
    <t>Extraordinary</t>
  </si>
  <si>
    <t>In Net</t>
  </si>
  <si>
    <t>Beginning</t>
  </si>
  <si>
    <t>(Disbursements)</t>
  </si>
  <si>
    <t>Taxes</t>
  </si>
  <si>
    <t>Earnings</t>
  </si>
  <si>
    <t>Items</t>
  </si>
  <si>
    <t>of Year</t>
  </si>
  <si>
    <t>End of Year</t>
  </si>
  <si>
    <t>Cleveland Heights University Public Library</t>
  </si>
  <si>
    <t>Cleveland Public Library</t>
  </si>
  <si>
    <t>Ella M. Everhard Public Library</t>
  </si>
  <si>
    <t xml:space="preserve">Martins Ferry Public Library </t>
  </si>
  <si>
    <t xml:space="preserve">Mount Vernon &amp; Knox Public Library </t>
  </si>
  <si>
    <t>Meigs</t>
  </si>
  <si>
    <t>Akron Summit County Public Library</t>
  </si>
  <si>
    <t>Allen County Law Library</t>
  </si>
  <si>
    <t>Columbus Law Library</t>
  </si>
  <si>
    <t>Fairfield County District Library</t>
  </si>
  <si>
    <t>Lakewood Public Library</t>
  </si>
  <si>
    <t>Martins Ferry Public Library</t>
  </si>
  <si>
    <t>McKinley Memorial Library</t>
  </si>
  <si>
    <t>NEO Regional Library</t>
  </si>
  <si>
    <t>Newark Public Library</t>
  </si>
  <si>
    <t>Northwest Regional Library</t>
  </si>
  <si>
    <t>Pickaway Public Library</t>
  </si>
  <si>
    <t>Porter Public Library</t>
  </si>
  <si>
    <t>Cincinnati</t>
  </si>
  <si>
    <t>Southeast Regional Library</t>
  </si>
  <si>
    <t>Tipp-City Public Library</t>
  </si>
  <si>
    <t>Troy-Miami Co. Public Library</t>
  </si>
  <si>
    <t>William Ammer Memorial Law Library</t>
  </si>
  <si>
    <t xml:space="preserve">Amherst Public Library </t>
  </si>
  <si>
    <t xml:space="preserve">Barberton Public Library </t>
  </si>
  <si>
    <t xml:space="preserve">Clyde Public Library </t>
  </si>
  <si>
    <t xml:space="preserve">Columbiana Library </t>
  </si>
  <si>
    <t xml:space="preserve">Community Library </t>
  </si>
  <si>
    <t xml:space="preserve">East Cleveland Public Library </t>
  </si>
  <si>
    <t xml:space="preserve">Gnadenhutten Public Library </t>
  </si>
  <si>
    <t xml:space="preserve">Herrick Memorial Library </t>
  </si>
  <si>
    <t xml:space="preserve">Hubbard Library </t>
  </si>
  <si>
    <t xml:space="preserve">Massillon Public Library </t>
  </si>
  <si>
    <t xml:space="preserve">Nelsonville Public Library </t>
  </si>
  <si>
    <t xml:space="preserve">New Carlisle Public Library </t>
  </si>
  <si>
    <t xml:space="preserve">New Straitsville Public Library </t>
  </si>
  <si>
    <t xml:space="preserve">Oberlin Public Library </t>
  </si>
  <si>
    <t xml:space="preserve">Patrick Henry School District Library </t>
  </si>
  <si>
    <t xml:space="preserve">Pemberville Public Library </t>
  </si>
  <si>
    <t xml:space="preserve">Ritter Public Library </t>
  </si>
  <si>
    <t xml:space="preserve">Wauseon Public Library </t>
  </si>
  <si>
    <t xml:space="preserve">Wickliffe Public Library </t>
  </si>
  <si>
    <t xml:space="preserve">Wright Memorial Public Library </t>
  </si>
  <si>
    <t xml:space="preserve">Ashtabula </t>
  </si>
  <si>
    <t xml:space="preserve">Athens </t>
  </si>
  <si>
    <t xml:space="preserve">Auglaize </t>
  </si>
  <si>
    <t xml:space="preserve">Belmont </t>
  </si>
  <si>
    <t xml:space="preserve">Brown County Public Library </t>
  </si>
  <si>
    <t xml:space="preserve">Brown </t>
  </si>
  <si>
    <t xml:space="preserve">Carroll </t>
  </si>
  <si>
    <t xml:space="preserve">Champaign </t>
  </si>
  <si>
    <t xml:space="preserve">Clark </t>
  </si>
  <si>
    <t xml:space="preserve">Clinton </t>
  </si>
  <si>
    <t xml:space="preserve">Columbiana </t>
  </si>
  <si>
    <t xml:space="preserve">Crawford </t>
  </si>
  <si>
    <t xml:space="preserve">Cuyahoga </t>
  </si>
  <si>
    <t xml:space="preserve">Fairfield </t>
  </si>
  <si>
    <t xml:space="preserve">Harrison </t>
  </si>
  <si>
    <t xml:space="preserve">Jackson </t>
  </si>
  <si>
    <t xml:space="preserve">Lake </t>
  </si>
  <si>
    <t xml:space="preserve">Licking </t>
  </si>
  <si>
    <t xml:space="preserve">Madison </t>
  </si>
  <si>
    <t xml:space="preserve">Meigs County Public Library </t>
  </si>
  <si>
    <t xml:space="preserve">Meigs </t>
  </si>
  <si>
    <t xml:space="preserve">Coldwater Public Library </t>
  </si>
  <si>
    <t xml:space="preserve">Mercer </t>
  </si>
  <si>
    <t xml:space="preserve">Miami </t>
  </si>
  <si>
    <t xml:space="preserve">Monroe County Library </t>
  </si>
  <si>
    <t xml:space="preserve">Monroe </t>
  </si>
  <si>
    <t xml:space="preserve">Montgomery </t>
  </si>
  <si>
    <t xml:space="preserve">Perry </t>
  </si>
  <si>
    <t xml:space="preserve">Stark </t>
  </si>
  <si>
    <t xml:space="preserve">Bristol Public Library </t>
  </si>
  <si>
    <t xml:space="preserve">Tuscarawas </t>
  </si>
  <si>
    <t xml:space="preserve">Warren </t>
  </si>
  <si>
    <t xml:space="preserve">Wood </t>
  </si>
  <si>
    <t xml:space="preserve">Ross </t>
  </si>
  <si>
    <t/>
  </si>
  <si>
    <t>Transfers Out</t>
  </si>
  <si>
    <t xml:space="preserve">Advances Out </t>
  </si>
  <si>
    <t xml:space="preserve">Monroe County District Library </t>
  </si>
  <si>
    <t>Transfers In</t>
  </si>
  <si>
    <t xml:space="preserve">Advances In </t>
  </si>
  <si>
    <t xml:space="preserve">Alexandria Public Library </t>
  </si>
  <si>
    <t>Ashtabula Co District Library</t>
  </si>
  <si>
    <t>East Cleveland Public Library</t>
  </si>
  <si>
    <t>Findlay-Hancock Public Library</t>
  </si>
  <si>
    <t>Highland Co Library</t>
  </si>
  <si>
    <t>Leetonia Community Library</t>
  </si>
  <si>
    <t>Rockford Carnegie Library</t>
  </si>
  <si>
    <t>Monroe County District Library</t>
  </si>
  <si>
    <t>Louisville Public Library</t>
  </si>
  <si>
    <t>Saint Paris Public Library</t>
  </si>
  <si>
    <t>Receipts /</t>
  </si>
  <si>
    <t>General Fund Revenues</t>
  </si>
  <si>
    <t>General Fund Expenditures</t>
  </si>
  <si>
    <t>Governmental Fund Revenues</t>
  </si>
  <si>
    <t>Governmental Fund Expenditures</t>
  </si>
  <si>
    <t>Summary Information from the Statement of Activities</t>
  </si>
  <si>
    <t>Summary Data from the Statement of Net Assets - Governmental Activities</t>
  </si>
  <si>
    <t>All Schools Reporting Under GAAP</t>
  </si>
  <si>
    <t xml:space="preserve">                     Liabilities</t>
  </si>
  <si>
    <t>Statement</t>
  </si>
  <si>
    <t>Current</t>
  </si>
  <si>
    <t>Long-term Liabilities</t>
  </si>
  <si>
    <t>Invested in</t>
  </si>
  <si>
    <t>Balances if</t>
  </si>
  <si>
    <t>Liabilities</t>
  </si>
  <si>
    <t>Within 1 Year</t>
  </si>
  <si>
    <t>More Than 1 Yr</t>
  </si>
  <si>
    <t>Capital Assets</t>
  </si>
  <si>
    <t>Restricted</t>
  </si>
  <si>
    <t>Value is "0"</t>
  </si>
  <si>
    <t xml:space="preserve">             </t>
  </si>
  <si>
    <t>Cash Basis</t>
  </si>
  <si>
    <t>Is now Riverside LSD</t>
  </si>
  <si>
    <t xml:space="preserve">** Bowling Green CSD's Financial Statements are broad-based and are not broken out into specific accounts. </t>
  </si>
  <si>
    <t xml:space="preserve">     Therefore, the full amount has been placed into the first column of each group of accounts.</t>
  </si>
  <si>
    <t>Public Library of Cincinnati &amp; Hamilton Co.</t>
  </si>
  <si>
    <t>St. Marys Community Public Library</t>
  </si>
  <si>
    <t>Gifts and</t>
  </si>
  <si>
    <t>and</t>
  </si>
  <si>
    <t>Entitlements</t>
  </si>
  <si>
    <t>Operation and</t>
  </si>
  <si>
    <t>Maintenance</t>
  </si>
  <si>
    <t>Facilities</t>
  </si>
  <si>
    <t>Programs/</t>
  </si>
  <si>
    <t>Rentals</t>
  </si>
  <si>
    <t>Revenues</t>
  </si>
  <si>
    <t>Others</t>
  </si>
  <si>
    <t xml:space="preserve">Special </t>
  </si>
  <si>
    <t>Londonville Public Library</t>
  </si>
  <si>
    <t>Perry Co. District Library</t>
  </si>
  <si>
    <t>St. Clairsville Library</t>
  </si>
  <si>
    <t>East Liverpool Carnegie Public Library</t>
  </si>
  <si>
    <t xml:space="preserve">Rockford Carnege Library </t>
  </si>
  <si>
    <t>Kate Love Simpson Library</t>
  </si>
  <si>
    <t>Chillicothe &amp; Ross County Public Library</t>
  </si>
  <si>
    <t xml:space="preserve">Chillicothe &amp; Ross County Public Library </t>
  </si>
  <si>
    <t>Licking County Public Library</t>
  </si>
  <si>
    <t>Logan Hocking County District</t>
  </si>
  <si>
    <t>Westerville Public Library</t>
  </si>
  <si>
    <t>The Wagnalls Memorial Library</t>
  </si>
  <si>
    <t xml:space="preserve">Hardin  </t>
  </si>
  <si>
    <t>Sorting Number</t>
  </si>
  <si>
    <t>The Public Library of Cincinnati and Hamilton County</t>
  </si>
  <si>
    <t>Hamilton</t>
  </si>
  <si>
    <t>Briggs Library</t>
  </si>
  <si>
    <t>Lawrence</t>
  </si>
  <si>
    <t>Putnam County Library</t>
  </si>
  <si>
    <t>Putnam</t>
  </si>
  <si>
    <t>Piqua Public Library</t>
  </si>
  <si>
    <t>Grand Valley Public Library</t>
  </si>
  <si>
    <t>Weston Public Library</t>
  </si>
  <si>
    <t>Advances</t>
  </si>
  <si>
    <t>In/(Out)</t>
  </si>
  <si>
    <t>Disbursements</t>
  </si>
  <si>
    <t>(continued)</t>
  </si>
  <si>
    <t>Stark County District Library</t>
  </si>
  <si>
    <t xml:space="preserve">Auglaize County District Library </t>
  </si>
  <si>
    <t xml:space="preserve">Carroll County District Library </t>
  </si>
  <si>
    <t>Champaign County Public Library</t>
  </si>
  <si>
    <t>Cuyahoga County Public Library</t>
  </si>
  <si>
    <t>Findlay-Hancock County Public Library</t>
  </si>
  <si>
    <t>Greene County Public Library</t>
  </si>
  <si>
    <t>Guernsey County Library</t>
  </si>
  <si>
    <t xml:space="preserve">Holmes County Public Library </t>
  </si>
  <si>
    <t>Mansfield - Richland County Public Library</t>
  </si>
  <si>
    <t>Medina County District Library</t>
  </si>
  <si>
    <t xml:space="preserve">Mercer County District Public Library </t>
  </si>
  <si>
    <t>Muskingum County Library</t>
  </si>
  <si>
    <t xml:space="preserve">Perry County District Library </t>
  </si>
  <si>
    <t>Portage County Library</t>
  </si>
  <si>
    <t>Preble County Library</t>
  </si>
  <si>
    <t>Toledo-Lucas County Public Library</t>
  </si>
  <si>
    <t>Troy-Miami County Public Library</t>
  </si>
  <si>
    <t>Tuscarawas County Public Library</t>
  </si>
  <si>
    <t>Warren Trumbull County Library</t>
  </si>
  <si>
    <t>Washington County Public Library</t>
  </si>
  <si>
    <t>Wayne County Public Library</t>
  </si>
  <si>
    <t>Williams County Public Library</t>
  </si>
  <si>
    <t>Wood County District Public Library</t>
  </si>
  <si>
    <t xml:space="preserve">Highland County Library </t>
  </si>
  <si>
    <t>Cuyahoga Falls Public Library</t>
  </si>
  <si>
    <t>Northeast Regional Library</t>
  </si>
  <si>
    <t>Port Clinton School District</t>
  </si>
  <si>
    <t xml:space="preserve">Public Library of Cincinnati &amp; Hamilton County </t>
  </si>
  <si>
    <t>Wagnalls Memorial Library</t>
  </si>
  <si>
    <t>Gnadenhuttem Public Library</t>
  </si>
  <si>
    <t>Cinncinnati and Hamilton County Public Library</t>
  </si>
  <si>
    <t>Cincinnati and Hamilton County Library</t>
  </si>
  <si>
    <t>Cincinnati and Hamilton County Public Library</t>
  </si>
  <si>
    <t>Cleveland Heights University Public Library*</t>
  </si>
  <si>
    <t>Cleveland Public Library*</t>
  </si>
  <si>
    <t>Columbus Metropolitan Public Library*</t>
  </si>
  <si>
    <t>Cincinnati and Hamilton Public Library*</t>
  </si>
  <si>
    <t>Toledo-Lucas Co. Public Library*</t>
  </si>
  <si>
    <t>Worthington Public Library*</t>
  </si>
  <si>
    <t>Cuyahoga Co. Public Library*</t>
  </si>
  <si>
    <t>* Reports in Accordance with Generally Accepted Accounting Principles</t>
  </si>
  <si>
    <t>Extension Library District</t>
  </si>
  <si>
    <t>Nelsonville Public Library</t>
  </si>
  <si>
    <t>Girard Public Library</t>
  </si>
  <si>
    <t>Collection</t>
  </si>
  <si>
    <t>Development</t>
  </si>
  <si>
    <t>and processing</t>
  </si>
  <si>
    <t>Business</t>
  </si>
  <si>
    <t>Admin.</t>
  </si>
  <si>
    <t>Hudson Library</t>
  </si>
  <si>
    <t>Athens County Public Library</t>
  </si>
  <si>
    <t>Pickerington Public Library</t>
  </si>
  <si>
    <t>Special</t>
  </si>
  <si>
    <t xml:space="preserve">Allen County Law Library </t>
  </si>
  <si>
    <t>For the Year Ended December 31, 2012</t>
  </si>
  <si>
    <t>As of December 31, 2012</t>
  </si>
  <si>
    <t>Birchard Public School</t>
  </si>
  <si>
    <t>Briggs Public Library</t>
  </si>
  <si>
    <t>Cardington-Lincoln Public Library</t>
  </si>
  <si>
    <t>Columbus Metropolitan Library</t>
  </si>
  <si>
    <t>Hudson Library and Historical Society</t>
  </si>
  <si>
    <t>Kaubisch Memorial Public Library</t>
  </si>
  <si>
    <t>Lima Library Association</t>
  </si>
  <si>
    <t>LL</t>
  </si>
  <si>
    <t>Lima Library Accociation</t>
  </si>
  <si>
    <t>Logan County Public Library</t>
  </si>
  <si>
    <t>Logan County Pubic Library</t>
  </si>
  <si>
    <t>Mansfield-Richland County Public Library</t>
  </si>
  <si>
    <t>Morley Library</t>
  </si>
  <si>
    <t>Perry Cook Memorial Library</t>
  </si>
  <si>
    <t>Perry Public Library</t>
  </si>
  <si>
    <t xml:space="preserve">Reuben McMillan Free Library </t>
  </si>
  <si>
    <t>Shelby County Library</t>
  </si>
  <si>
    <t>Washington -Centerville Public Library</t>
  </si>
  <si>
    <t>Midpointe Library System</t>
  </si>
  <si>
    <t>Midpointe Library Systerm</t>
  </si>
  <si>
    <t>Position</t>
  </si>
  <si>
    <t>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</si>
</sst>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#,##0.0_);\(#,##0.0\)"/>
  </numFmts>
  <fonts count="9" x14ac:knownFonts="1">
    <font>
      <sz val="10"/>
      <name val="Arial"/>
    </font>
    <font>
      <sz val="8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7" fontId="2" fillId="0" borderId="0" applyFill="0" applyProtection="0">
      <alignment horizontal="right"/>
    </xf>
    <xf numFmtId="5" fontId="2" fillId="0" borderId="0"/>
    <xf numFmtId="0" fontId="7" fillId="0" borderId="0"/>
    <xf numFmtId="44" fontId="8" fillId="0" borderId="0" applyFont="0" applyFill="0" applyBorder="0" applyAlignment="0" applyProtection="0"/>
  </cellStyleXfs>
  <cellXfs count="100">
    <xf numFmtId="0" fontId="0" fillId="0" borderId="0" xfId="0"/>
    <xf numFmtId="37" fontId="2" fillId="0" borderId="0" xfId="0" applyNumberFormat="1" applyFont="1"/>
    <xf numFmtId="5" fontId="2" fillId="0" borderId="0" xfId="0" applyNumberFormat="1" applyFont="1"/>
    <xf numFmtId="0" fontId="2" fillId="0" borderId="0" xfId="0" applyFont="1" applyFill="1"/>
    <xf numFmtId="37" fontId="2" fillId="0" borderId="0" xfId="0" applyNumberFormat="1" applyFont="1" applyFill="1"/>
    <xf numFmtId="0" fontId="2" fillId="0" borderId="0" xfId="0" applyFont="1" applyBorder="1"/>
    <xf numFmtId="37" fontId="2" fillId="0" borderId="0" xfId="0" applyNumberFormat="1" applyFont="1" applyBorder="1"/>
    <xf numFmtId="5" fontId="2" fillId="0" borderId="0" xfId="0" applyNumberFormat="1" applyFont="1" applyFill="1"/>
    <xf numFmtId="37" fontId="2" fillId="0" borderId="0" xfId="0" applyNumberFormat="1" applyFont="1" applyFill="1" applyAlignment="1">
      <alignment horizontal="right"/>
    </xf>
    <xf numFmtId="0" fontId="0" fillId="0" borderId="0" xfId="0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 applyBorder="1"/>
    <xf numFmtId="37" fontId="3" fillId="0" borderId="0" xfId="0" applyNumberFormat="1" applyFont="1" applyFill="1" applyBorder="1"/>
    <xf numFmtId="37" fontId="3" fillId="0" borderId="0" xfId="0" applyNumberFormat="1" applyFont="1" applyFill="1"/>
    <xf numFmtId="37" fontId="2" fillId="0" borderId="0" xfId="0" applyNumberFormat="1" applyFont="1" applyFill="1" applyBorder="1"/>
    <xf numFmtId="37" fontId="0" fillId="0" borderId="0" xfId="0" applyNumberFormat="1" applyBorder="1"/>
    <xf numFmtId="37" fontId="2" fillId="0" borderId="0" xfId="0" applyNumberFormat="1" applyFont="1" applyFill="1" applyAlignment="1"/>
    <xf numFmtId="37" fontId="5" fillId="0" borderId="0" xfId="0" applyNumberFormat="1" applyFont="1" applyFill="1" applyAlignment="1"/>
    <xf numFmtId="0" fontId="0" fillId="0" borderId="0" xfId="0" applyFill="1" applyAlignment="1"/>
    <xf numFmtId="0" fontId="5" fillId="0" borderId="0" xfId="0" applyFont="1" applyFill="1" applyAlignment="1"/>
    <xf numFmtId="37" fontId="6" fillId="0" borderId="0" xfId="0" applyNumberFormat="1" applyFont="1" applyFill="1" applyAlignment="1"/>
    <xf numFmtId="37" fontId="5" fillId="0" borderId="0" xfId="0" applyNumberFormat="1" applyFont="1" applyFill="1" applyAlignment="1">
      <alignment vertical="top"/>
    </xf>
    <xf numFmtId="37" fontId="2" fillId="0" borderId="0" xfId="0" applyNumberFormat="1" applyFont="1" applyFill="1" applyBorder="1" applyAlignment="1"/>
    <xf numFmtId="37" fontId="5" fillId="0" borderId="0" xfId="0" applyNumberFormat="1" applyFont="1" applyFill="1" applyAlignment="1">
      <alignment horizontal="left"/>
    </xf>
    <xf numFmtId="37" fontId="2" fillId="0" borderId="0" xfId="0" applyNumberFormat="1" applyFont="1" applyFill="1" applyBorder="1" applyAlignment="1">
      <alignment horizontal="centerContinuous"/>
    </xf>
    <xf numFmtId="37" fontId="2" fillId="0" borderId="1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Continuous"/>
    </xf>
    <xf numFmtId="37" fontId="2" fillId="0" borderId="0" xfId="0" applyNumberFormat="1" applyFont="1" applyFill="1" applyAlignment="1">
      <alignment vertical="top"/>
    </xf>
    <xf numFmtId="5" fontId="2" fillId="0" borderId="0" xfId="0" applyNumberFormat="1" applyFont="1" applyFill="1" applyAlignment="1">
      <alignment vertical="top"/>
    </xf>
    <xf numFmtId="5" fontId="2" fillId="0" borderId="0" xfId="0" applyNumberFormat="1" applyFont="1" applyFill="1" applyBorder="1" applyAlignment="1">
      <alignment horizontal="center"/>
    </xf>
    <xf numFmtId="5" fontId="2" fillId="0" borderId="0" xfId="0" applyNumberFormat="1" applyFont="1" applyFill="1" applyAlignment="1"/>
    <xf numFmtId="0" fontId="2" fillId="0" borderId="0" xfId="0" applyFont="1" applyFill="1" applyAlignment="1">
      <alignment vertical="top"/>
    </xf>
    <xf numFmtId="37" fontId="4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5" fontId="4" fillId="0" borderId="0" xfId="0" applyNumberFormat="1" applyFont="1" applyFill="1"/>
    <xf numFmtId="164" fontId="2" fillId="0" borderId="0" xfId="0" applyNumberFormat="1" applyFont="1" applyFill="1"/>
    <xf numFmtId="37" fontId="2" fillId="0" borderId="1" xfId="0" applyNumberFormat="1" applyFont="1" applyFill="1" applyBorder="1" applyAlignment="1">
      <alignment horizontal="center"/>
    </xf>
    <xf numFmtId="37" fontId="2" fillId="0" borderId="0" xfId="0" applyNumberFormat="1" applyFont="1" applyFill="1" applyAlignment="1">
      <alignment horizontal="left"/>
    </xf>
    <xf numFmtId="5" fontId="2" fillId="0" borderId="0" xfId="0" applyNumberFormat="1" applyFont="1" applyFill="1" applyBorder="1"/>
    <xf numFmtId="3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5" fontId="2" fillId="0" borderId="0" xfId="0" applyNumberFormat="1" applyFont="1" applyFill="1" applyBorder="1" applyAlignment="1">
      <alignment wrapText="1"/>
    </xf>
    <xf numFmtId="37" fontId="2" fillId="0" borderId="0" xfId="0" applyNumberFormat="1" applyFont="1" applyFill="1" applyBorder="1" applyAlignment="1">
      <alignment wrapText="1"/>
    </xf>
    <xf numFmtId="10" fontId="2" fillId="0" borderId="0" xfId="0" applyNumberFormat="1" applyFont="1" applyFill="1"/>
    <xf numFmtId="37" fontId="2" fillId="0" borderId="0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2" fillId="0" borderId="0" xfId="0" applyFont="1" applyFill="1" applyBorder="1" applyAlignment="1">
      <alignment wrapText="1"/>
    </xf>
    <xf numFmtId="37" fontId="0" fillId="0" borderId="0" xfId="0" applyNumberFormat="1" applyFill="1"/>
    <xf numFmtId="0" fontId="0" fillId="0" borderId="0" xfId="0" applyFill="1" applyBorder="1"/>
    <xf numFmtId="39" fontId="0" fillId="0" borderId="0" xfId="0" applyNumberFormat="1" applyFill="1" applyBorder="1" applyAlignment="1"/>
    <xf numFmtId="39" fontId="2" fillId="0" borderId="0" xfId="0" applyNumberFormat="1" applyFont="1" applyFill="1" applyBorder="1" applyAlignment="1"/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9" fontId="2" fillId="0" borderId="1" xfId="0" applyNumberFormat="1" applyFont="1" applyFill="1" applyBorder="1" applyAlignment="1">
      <alignment horizontal="center"/>
    </xf>
    <xf numFmtId="39" fontId="2" fillId="0" borderId="1" xfId="0" applyNumberFormat="1" applyFont="1" applyFill="1" applyBorder="1" applyAlignment="1">
      <alignment horizontal="center" wrapText="1"/>
    </xf>
    <xf numFmtId="5" fontId="0" fillId="0" borderId="0" xfId="0" applyNumberFormat="1" applyFill="1" applyBorder="1"/>
    <xf numFmtId="37" fontId="0" fillId="0" borderId="0" xfId="0" applyNumberFormat="1" applyFill="1" applyBorder="1"/>
    <xf numFmtId="37" fontId="0" fillId="0" borderId="0" xfId="0" applyNumberFormat="1" applyFill="1" applyBorder="1" applyAlignment="1"/>
    <xf numFmtId="0" fontId="0" fillId="0" borderId="0" xfId="0" applyFill="1" applyBorder="1" applyAlignment="1"/>
    <xf numFmtId="5" fontId="2" fillId="0" borderId="0" xfId="0" applyNumberFormat="1" applyFont="1" applyBorder="1" applyAlignment="1">
      <alignment horizontal="right"/>
    </xf>
    <xf numFmtId="5" fontId="2" fillId="0" borderId="2" xfId="0" applyNumberFormat="1" applyFont="1" applyFill="1" applyBorder="1"/>
    <xf numFmtId="37" fontId="2" fillId="0" borderId="0" xfId="1">
      <alignment horizontal="right"/>
    </xf>
    <xf numFmtId="37" fontId="2" fillId="0" borderId="0" xfId="2" applyNumberFormat="1" applyFont="1" applyBorder="1"/>
    <xf numFmtId="5" fontId="2" fillId="0" borderId="0" xfId="2"/>
    <xf numFmtId="37" fontId="2" fillId="0" borderId="0" xfId="3" applyNumberFormat="1" applyFont="1" applyBorder="1"/>
    <xf numFmtId="37" fontId="2" fillId="0" borderId="0" xfId="1" applyFill="1">
      <alignment horizontal="right"/>
    </xf>
    <xf numFmtId="37" fontId="2" fillId="0" borderId="0" xfId="1" applyFill="1" applyAlignment="1">
      <alignment horizontal="left"/>
    </xf>
    <xf numFmtId="37" fontId="2" fillId="2" borderId="0" xfId="0" applyNumberFormat="1" applyFont="1" applyFill="1" applyAlignment="1"/>
    <xf numFmtId="37" fontId="2" fillId="3" borderId="0" xfId="0" applyNumberFormat="1" applyFont="1" applyFill="1" applyBorder="1"/>
    <xf numFmtId="37" fontId="2" fillId="3" borderId="0" xfId="0" applyNumberFormat="1" applyFont="1" applyFill="1"/>
    <xf numFmtId="0" fontId="2" fillId="3" borderId="0" xfId="0" applyFont="1" applyFill="1"/>
    <xf numFmtId="0" fontId="2" fillId="3" borderId="0" xfId="0" applyFont="1" applyFill="1" applyBorder="1"/>
    <xf numFmtId="37" fontId="2" fillId="3" borderId="0" xfId="0" applyNumberFormat="1" applyFont="1" applyFill="1" applyAlignment="1">
      <alignment vertical="top"/>
    </xf>
    <xf numFmtId="37" fontId="2" fillId="3" borderId="0" xfId="0" applyNumberFormat="1" applyFont="1" applyFill="1" applyAlignment="1"/>
    <xf numFmtId="5" fontId="2" fillId="3" borderId="0" xfId="0" applyNumberFormat="1" applyFont="1" applyFill="1" applyAlignment="1"/>
    <xf numFmtId="5" fontId="2" fillId="0" borderId="0" xfId="2" applyFill="1"/>
    <xf numFmtId="37" fontId="2" fillId="0" borderId="0" xfId="2" applyNumberFormat="1" applyFont="1" applyFill="1" applyBorder="1"/>
    <xf numFmtId="37" fontId="2" fillId="0" borderId="0" xfId="3" applyNumberFormat="1" applyFont="1" applyFill="1" applyBorder="1"/>
    <xf numFmtId="37" fontId="2" fillId="0" borderId="0" xfId="0" applyNumberFormat="1" applyFont="1" applyFill="1" applyAlignment="1">
      <alignment horizontal="left"/>
    </xf>
    <xf numFmtId="39" fontId="2" fillId="0" borderId="1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horizontal="center" wrapText="1"/>
    </xf>
    <xf numFmtId="5" fontId="2" fillId="0" borderId="0" xfId="4" applyNumberFormat="1" applyFont="1" applyFill="1" applyBorder="1" applyAlignment="1">
      <alignment horizontal="right"/>
    </xf>
    <xf numFmtId="37" fontId="2" fillId="0" borderId="0" xfId="2" applyNumberFormat="1" applyFill="1"/>
    <xf numFmtId="37" fontId="2" fillId="0" borderId="0" xfId="1" applyNumberFormat="1" applyFill="1">
      <alignment horizontal="right"/>
    </xf>
    <xf numFmtId="5" fontId="2" fillId="0" borderId="0" xfId="0" applyNumberFormat="1" applyFont="1" applyFill="1" applyBorder="1" applyAlignment="1">
      <alignment horizontal="right"/>
    </xf>
    <xf numFmtId="5" fontId="2" fillId="0" borderId="0" xfId="2" applyFill="1" applyAlignment="1">
      <alignment horizontal="right"/>
    </xf>
    <xf numFmtId="37" fontId="2" fillId="0" borderId="0" xfId="0" applyNumberFormat="1" applyFont="1" applyFill="1" applyBorder="1" applyAlignment="1">
      <alignment horizontal="left"/>
    </xf>
    <xf numFmtId="39" fontId="2" fillId="0" borderId="1" xfId="0" applyNumberFormat="1" applyFont="1" applyFill="1" applyBorder="1" applyAlignment="1">
      <alignment horizontal="center"/>
    </xf>
    <xf numFmtId="37" fontId="5" fillId="0" borderId="0" xfId="0" applyNumberFormat="1" applyFont="1" applyFill="1" applyAlignment="1">
      <alignment horizontal="left"/>
    </xf>
    <xf numFmtId="37" fontId="2" fillId="0" borderId="1" xfId="0" applyNumberFormat="1" applyFont="1" applyFill="1" applyBorder="1" applyAlignment="1">
      <alignment horizontal="center"/>
    </xf>
    <xf numFmtId="37" fontId="2" fillId="0" borderId="0" xfId="0" applyNumberFormat="1" applyFont="1" applyFill="1" applyAlignment="1">
      <alignment horizontal="left"/>
    </xf>
  </cellXfs>
  <cellStyles count="5">
    <cellStyle name="Currency" xfId="4" builtinId="4"/>
    <cellStyle name="Currency good" xfId="2"/>
    <cellStyle name="Normal" xfId="0" builtinId="0"/>
    <cellStyle name="Normal 2" xfId="3"/>
    <cellStyle name="THE format" xfId="1"/>
  </cellStyles>
  <dxfs count="0"/>
  <tableStyles count="0" defaultTableStyle="TableStyleMedium9" defaultPivotStyle="PivotStyleLight16"/>
  <colors>
    <mruColors>
      <color rgb="FFFF66CC"/>
      <color rgb="FFFF33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208"/>
  <sheetViews>
    <sheetView view="pageBreakPreview" topLeftCell="A72" zoomScale="80" zoomScaleNormal="130" zoomScaleSheetLayoutView="80" workbookViewId="0">
      <selection activeCell="AA168" sqref="AA168"/>
    </sheetView>
  </sheetViews>
  <sheetFormatPr defaultColWidth="9.140625" defaultRowHeight="12.75" x14ac:dyDescent="0.2"/>
  <cols>
    <col min="1" max="1" width="37" style="53" customWidth="1"/>
    <col min="2" max="2" width="1.28515625" style="53" customWidth="1"/>
    <col min="3" max="3" width="11.42578125" style="53" bestFit="1" customWidth="1"/>
    <col min="4" max="4" width="1.28515625" style="53" customWidth="1"/>
    <col min="5" max="5" width="13.42578125" style="54" bestFit="1" customWidth="1"/>
    <col min="6" max="6" width="1.28515625" style="63" customWidth="1"/>
    <col min="7" max="7" width="10.7109375" style="54" bestFit="1" customWidth="1"/>
    <col min="8" max="8" width="1.28515625" style="63" customWidth="1"/>
    <col min="9" max="9" width="12.140625" style="54" bestFit="1" customWidth="1"/>
    <col min="10" max="10" width="1.28515625" style="63" customWidth="1"/>
    <col min="11" max="11" width="10.28515625" style="54" hidden="1" customWidth="1"/>
    <col min="12" max="12" width="1.28515625" style="63" hidden="1" customWidth="1"/>
    <col min="13" max="13" width="14.5703125" style="54" customWidth="1"/>
    <col min="14" max="14" width="1.28515625" style="63" customWidth="1"/>
    <col min="15" max="15" width="15.140625" style="54" bestFit="1" customWidth="1"/>
    <col min="16" max="16" width="1.28515625" style="54" customWidth="1"/>
    <col min="17" max="17" width="11.7109375" style="63" customWidth="1"/>
    <col min="18" max="18" width="1.28515625" style="63" customWidth="1"/>
    <col min="19" max="19" width="12.140625" style="54" bestFit="1" customWidth="1"/>
    <col min="20" max="20" width="1.28515625" style="63" customWidth="1"/>
    <col min="21" max="21" width="10.140625" style="54" bestFit="1" customWidth="1"/>
    <col min="22" max="22" width="1.28515625" style="63" customWidth="1"/>
    <col min="23" max="23" width="12.140625" style="54" bestFit="1" customWidth="1"/>
    <col min="24" max="24" width="1.28515625" style="63" customWidth="1"/>
    <col min="25" max="25" width="12.42578125" style="54" bestFit="1" customWidth="1"/>
    <col min="26" max="26" width="1.28515625" style="63" customWidth="1"/>
    <col min="27" max="27" width="12" style="54" bestFit="1" customWidth="1"/>
    <col min="28" max="28" width="1.28515625" style="63" customWidth="1"/>
    <col min="29" max="29" width="12.42578125" style="54" customWidth="1"/>
    <col min="30" max="30" width="1.28515625" style="63" customWidth="1"/>
    <col min="31" max="31" width="11.7109375" style="54" customWidth="1"/>
    <col min="32" max="32" width="1.28515625" style="63" customWidth="1"/>
    <col min="33" max="33" width="11.42578125" style="54" bestFit="1" customWidth="1"/>
    <col min="34" max="34" width="1.28515625" style="63" customWidth="1"/>
    <col min="35" max="35" width="12.140625" style="54" bestFit="1" customWidth="1"/>
    <col min="36" max="16384" width="9.140625" style="53"/>
  </cols>
  <sheetData>
    <row r="1" spans="1:35" ht="12" customHeight="1" x14ac:dyDescent="0.2">
      <c r="A1" s="95" t="s">
        <v>517</v>
      </c>
      <c r="B1" s="95"/>
      <c r="C1" s="95"/>
      <c r="D1" s="95"/>
      <c r="E1" s="95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ht="12" customHeight="1" x14ac:dyDescent="0.2">
      <c r="A2" s="15" t="s">
        <v>394</v>
      </c>
      <c r="B2" s="15"/>
      <c r="C2" s="15"/>
      <c r="D2" s="15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2" customHeight="1" x14ac:dyDescent="0.2">
      <c r="A3" s="15" t="s">
        <v>632</v>
      </c>
      <c r="B3" s="15"/>
      <c r="C3" s="15"/>
      <c r="D3" s="15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1:35" ht="12" customHeight="1" x14ac:dyDescent="0.2">
      <c r="A4" s="15"/>
      <c r="B4" s="15"/>
      <c r="C4" s="15"/>
      <c r="D4" s="15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1:35" ht="12" customHeight="1" x14ac:dyDescent="0.2">
      <c r="B5" s="15"/>
      <c r="C5" s="15"/>
      <c r="D5" s="15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ht="12" customHeight="1" x14ac:dyDescent="0.2">
      <c r="A6" s="12" t="s">
        <v>395</v>
      </c>
      <c r="B6" s="15"/>
      <c r="C6" s="15"/>
      <c r="D6" s="15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12" customHeight="1" x14ac:dyDescent="0.2">
      <c r="A7" s="15"/>
      <c r="B7" s="15"/>
      <c r="C7" s="15"/>
      <c r="D7" s="15"/>
      <c r="E7" s="55"/>
      <c r="F7" s="55"/>
      <c r="G7" s="96" t="s">
        <v>346</v>
      </c>
      <c r="H7" s="96"/>
      <c r="I7" s="96"/>
      <c r="J7" s="96"/>
      <c r="K7" s="96"/>
      <c r="L7" s="23"/>
      <c r="M7" s="23"/>
      <c r="N7" s="23"/>
      <c r="O7" s="96" t="s">
        <v>347</v>
      </c>
      <c r="P7" s="96"/>
      <c r="Q7" s="96"/>
      <c r="R7" s="96"/>
      <c r="S7" s="96"/>
      <c r="T7" s="96"/>
      <c r="U7" s="96"/>
      <c r="V7" s="96"/>
      <c r="W7" s="96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ht="12" customHeight="1" x14ac:dyDescent="0.2">
      <c r="A8" s="15"/>
      <c r="B8" s="15"/>
      <c r="C8" s="15"/>
      <c r="D8" s="15"/>
      <c r="E8" s="55"/>
      <c r="F8" s="55"/>
      <c r="G8" s="55"/>
      <c r="H8" s="55"/>
      <c r="I8" s="56" t="s">
        <v>396</v>
      </c>
      <c r="J8" s="55"/>
      <c r="K8" s="55"/>
      <c r="L8" s="23"/>
      <c r="M8" s="23"/>
      <c r="N8" s="23"/>
      <c r="O8" s="23"/>
      <c r="P8" s="23"/>
      <c r="Q8" s="27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5" ht="12" customHeight="1" x14ac:dyDescent="0.2">
      <c r="D9" s="15"/>
      <c r="E9" s="55"/>
      <c r="F9" s="55"/>
      <c r="G9" s="55"/>
      <c r="H9" s="55"/>
      <c r="I9" s="56" t="s">
        <v>397</v>
      </c>
      <c r="J9" s="55"/>
      <c r="K9" s="55"/>
      <c r="L9" s="23"/>
      <c r="M9" s="56" t="s">
        <v>402</v>
      </c>
      <c r="N9" s="55"/>
      <c r="O9" s="56" t="s">
        <v>29</v>
      </c>
      <c r="P9" s="56"/>
      <c r="Q9" s="56" t="s">
        <v>397</v>
      </c>
      <c r="R9" s="55"/>
      <c r="S9" s="56" t="s">
        <v>407</v>
      </c>
      <c r="T9" s="55"/>
      <c r="U9" s="55"/>
      <c r="V9" s="55"/>
      <c r="W9" s="55"/>
      <c r="X9" s="55"/>
      <c r="Y9" s="56" t="s">
        <v>409</v>
      </c>
      <c r="Z9" s="23"/>
      <c r="AA9" s="56" t="s">
        <v>403</v>
      </c>
      <c r="AB9" s="23"/>
      <c r="AC9" s="56"/>
      <c r="AD9" s="55"/>
      <c r="AE9" s="56" t="s">
        <v>404</v>
      </c>
      <c r="AF9" s="55"/>
      <c r="AG9" s="56" t="s">
        <v>655</v>
      </c>
      <c r="AH9" s="55"/>
      <c r="AI9" s="56" t="s">
        <v>402</v>
      </c>
    </row>
    <row r="10" spans="1:35" ht="12" customHeight="1" x14ac:dyDescent="0.2">
      <c r="A10" s="57"/>
      <c r="B10" s="57"/>
      <c r="C10" s="15"/>
      <c r="D10" s="15"/>
      <c r="E10" s="56" t="s">
        <v>398</v>
      </c>
      <c r="F10" s="55"/>
      <c r="G10" s="56" t="s">
        <v>399</v>
      </c>
      <c r="H10" s="55"/>
      <c r="I10" s="56" t="s">
        <v>400</v>
      </c>
      <c r="J10" s="55"/>
      <c r="K10" s="56" t="s">
        <v>28</v>
      </c>
      <c r="L10" s="23"/>
      <c r="M10" s="56" t="s">
        <v>512</v>
      </c>
      <c r="N10" s="55"/>
      <c r="O10" s="56" t="s">
        <v>406</v>
      </c>
      <c r="P10" s="56"/>
      <c r="Q10" s="56" t="s">
        <v>540</v>
      </c>
      <c r="R10" s="55"/>
      <c r="S10" s="56" t="s">
        <v>539</v>
      </c>
      <c r="T10" s="55"/>
      <c r="U10" s="56" t="s">
        <v>408</v>
      </c>
      <c r="V10" s="55"/>
      <c r="W10" s="55"/>
      <c r="X10" s="55"/>
      <c r="Y10" s="56" t="s">
        <v>573</v>
      </c>
      <c r="Z10" s="23"/>
      <c r="AA10" s="56" t="s">
        <v>410</v>
      </c>
      <c r="AB10" s="23"/>
      <c r="AC10" s="56" t="s">
        <v>26</v>
      </c>
      <c r="AD10" s="55"/>
      <c r="AE10" s="56" t="s">
        <v>411</v>
      </c>
      <c r="AF10" s="55"/>
      <c r="AG10" s="56" t="s">
        <v>412</v>
      </c>
      <c r="AH10" s="55"/>
      <c r="AI10" s="56" t="s">
        <v>654</v>
      </c>
    </row>
    <row r="11" spans="1:35" s="4" customFormat="1" ht="12" x14ac:dyDescent="0.2">
      <c r="A11" s="45" t="s">
        <v>6</v>
      </c>
      <c r="B11" s="57"/>
      <c r="C11" s="40" t="s">
        <v>4</v>
      </c>
      <c r="D11" s="57"/>
      <c r="E11" s="58" t="s">
        <v>575</v>
      </c>
      <c r="F11" s="57"/>
      <c r="G11" s="59" t="s">
        <v>27</v>
      </c>
      <c r="H11" s="57"/>
      <c r="I11" s="59" t="s">
        <v>401</v>
      </c>
      <c r="J11" s="57"/>
      <c r="K11" s="59" t="s">
        <v>397</v>
      </c>
      <c r="L11" s="57"/>
      <c r="M11" s="59" t="s">
        <v>413</v>
      </c>
      <c r="N11" s="57"/>
      <c r="O11" s="59" t="s">
        <v>414</v>
      </c>
      <c r="P11" s="59"/>
      <c r="Q11" s="59" t="s">
        <v>541</v>
      </c>
      <c r="R11" s="57"/>
      <c r="S11" s="59" t="s">
        <v>400</v>
      </c>
      <c r="T11" s="57"/>
      <c r="U11" s="59" t="s">
        <v>415</v>
      </c>
      <c r="V11" s="57"/>
      <c r="W11" s="59" t="s">
        <v>0</v>
      </c>
      <c r="X11" s="57"/>
      <c r="Y11" s="59" t="s">
        <v>574</v>
      </c>
      <c r="Z11" s="57"/>
      <c r="AA11" s="59" t="s">
        <v>416</v>
      </c>
      <c r="AB11" s="57"/>
      <c r="AC11" s="59" t="s">
        <v>547</v>
      </c>
      <c r="AD11" s="57"/>
      <c r="AE11" s="59" t="s">
        <v>654</v>
      </c>
      <c r="AF11" s="57"/>
      <c r="AG11" s="59" t="s">
        <v>417</v>
      </c>
      <c r="AH11" s="57"/>
      <c r="AI11" s="59" t="s">
        <v>418</v>
      </c>
    </row>
    <row r="12" spans="1:35" ht="12" hidden="1" customHeight="1" x14ac:dyDescent="0.2">
      <c r="A12" s="12" t="s">
        <v>426</v>
      </c>
      <c r="B12" s="12"/>
      <c r="C12" s="15" t="s">
        <v>95</v>
      </c>
      <c r="D12" s="12"/>
      <c r="E12" s="23"/>
      <c r="F12" s="12"/>
      <c r="G12" s="23"/>
      <c r="H12" s="12"/>
      <c r="I12" s="23"/>
      <c r="J12" s="12"/>
      <c r="K12" s="23"/>
      <c r="L12" s="12"/>
      <c r="M12" s="23"/>
      <c r="N12" s="12"/>
      <c r="O12" s="23"/>
      <c r="P12" s="23"/>
      <c r="Q12" s="23"/>
      <c r="R12" s="12"/>
      <c r="S12" s="23"/>
      <c r="T12" s="12"/>
      <c r="U12" s="23"/>
      <c r="V12" s="12"/>
      <c r="W12" s="23"/>
      <c r="X12" s="12"/>
      <c r="Y12" s="23"/>
      <c r="Z12" s="12"/>
      <c r="AA12" s="23"/>
      <c r="AB12" s="12"/>
      <c r="AC12" s="23">
        <f t="shared" ref="AC12:AC20" si="0">SUM(O12:AA12)</f>
        <v>0</v>
      </c>
      <c r="AD12" s="12"/>
      <c r="AE12" s="23">
        <f>+M12-AC12</f>
        <v>0</v>
      </c>
      <c r="AF12" s="12"/>
      <c r="AG12" s="23"/>
      <c r="AH12" s="12"/>
      <c r="AI12" s="23">
        <f t="shared" ref="AI12:AI13" si="1">+AG12-AE12</f>
        <v>0</v>
      </c>
    </row>
    <row r="13" spans="1:35" ht="12" hidden="1" customHeight="1" x14ac:dyDescent="0.2">
      <c r="A13" s="12" t="s">
        <v>550</v>
      </c>
      <c r="B13" s="12"/>
      <c r="C13" s="12" t="s">
        <v>81</v>
      </c>
      <c r="D13" s="12"/>
      <c r="E13" s="23">
        <v>0</v>
      </c>
      <c r="F13" s="12"/>
      <c r="G13" s="23">
        <v>0</v>
      </c>
      <c r="H13" s="12"/>
      <c r="I13" s="23">
        <v>0</v>
      </c>
      <c r="J13" s="12"/>
      <c r="K13" s="23">
        <v>0</v>
      </c>
      <c r="L13" s="12"/>
      <c r="M13" s="23">
        <f t="shared" ref="M13" si="2">+E13-G13-I13-K13</f>
        <v>0</v>
      </c>
      <c r="N13" s="12"/>
      <c r="O13" s="23">
        <v>0</v>
      </c>
      <c r="P13" s="23"/>
      <c r="Q13" s="23">
        <v>0</v>
      </c>
      <c r="R13" s="12"/>
      <c r="S13" s="23">
        <v>0</v>
      </c>
      <c r="T13" s="12"/>
      <c r="U13" s="23">
        <v>0</v>
      </c>
      <c r="V13" s="12"/>
      <c r="W13" s="23">
        <v>0</v>
      </c>
      <c r="X13" s="12"/>
      <c r="Y13" s="23">
        <v>0</v>
      </c>
      <c r="Z13" s="12"/>
      <c r="AA13" s="23">
        <v>0</v>
      </c>
      <c r="AB13" s="12"/>
      <c r="AC13" s="23">
        <f t="shared" si="0"/>
        <v>0</v>
      </c>
      <c r="AD13" s="12"/>
      <c r="AE13" s="23">
        <f>+M13-AC13</f>
        <v>0</v>
      </c>
      <c r="AF13" s="12"/>
      <c r="AG13" s="23">
        <v>0</v>
      </c>
      <c r="AH13" s="12"/>
      <c r="AI13" s="23">
        <f t="shared" si="1"/>
        <v>0</v>
      </c>
    </row>
    <row r="14" spans="1:35" s="60" customFormat="1" ht="12" hidden="1" customHeight="1" x14ac:dyDescent="0.2">
      <c r="A14" s="42" t="s">
        <v>348</v>
      </c>
      <c r="B14" s="42"/>
      <c r="C14" s="42" t="s">
        <v>38</v>
      </c>
      <c r="D14" s="42"/>
      <c r="E14" s="64">
        <v>766997.44</v>
      </c>
      <c r="F14" s="64"/>
      <c r="G14" s="64">
        <v>24598.97</v>
      </c>
      <c r="H14" s="64"/>
      <c r="I14" s="64">
        <v>0</v>
      </c>
      <c r="J14" s="64"/>
      <c r="K14" s="64">
        <v>0</v>
      </c>
      <c r="L14" s="64"/>
      <c r="M14" s="64">
        <v>-742398.47</v>
      </c>
      <c r="N14" s="64"/>
      <c r="O14" s="64">
        <v>0</v>
      </c>
      <c r="P14" s="64"/>
      <c r="Q14" s="64">
        <v>819254.14</v>
      </c>
      <c r="R14" s="64"/>
      <c r="S14" s="64">
        <v>0</v>
      </c>
      <c r="T14" s="64"/>
      <c r="U14" s="64">
        <v>28067.75</v>
      </c>
      <c r="V14" s="64"/>
      <c r="W14" s="64">
        <v>466.92</v>
      </c>
      <c r="X14" s="64"/>
      <c r="Y14" s="64">
        <v>0</v>
      </c>
      <c r="Z14" s="64"/>
      <c r="AA14" s="64">
        <v>0</v>
      </c>
      <c r="AB14" s="64"/>
      <c r="AC14" s="64">
        <f t="shared" si="0"/>
        <v>847788.81</v>
      </c>
      <c r="AD14" s="64"/>
      <c r="AE14" s="64">
        <v>105390.34</v>
      </c>
      <c r="AF14" s="64"/>
      <c r="AG14" s="64">
        <v>1488079.78</v>
      </c>
      <c r="AH14" s="64"/>
      <c r="AI14" s="64">
        <v>1593470.12</v>
      </c>
    </row>
    <row r="15" spans="1:35" s="60" customFormat="1" ht="12" customHeight="1" x14ac:dyDescent="0.2">
      <c r="A15" s="42"/>
      <c r="B15" s="42"/>
      <c r="C15" s="42"/>
      <c r="D15" s="42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</row>
    <row r="16" spans="1:35" ht="12" customHeight="1" x14ac:dyDescent="0.2">
      <c r="A16" s="7" t="s">
        <v>425</v>
      </c>
      <c r="B16" s="42"/>
      <c r="C16" s="7" t="s">
        <v>20</v>
      </c>
      <c r="D16" s="42"/>
      <c r="E16" s="90">
        <v>29044598</v>
      </c>
      <c r="F16" s="90"/>
      <c r="G16" s="90">
        <f>562114</f>
        <v>562114</v>
      </c>
      <c r="H16" s="90"/>
      <c r="I16" s="90">
        <v>79866</v>
      </c>
      <c r="J16" s="90"/>
      <c r="K16" s="90">
        <v>0</v>
      </c>
      <c r="L16" s="90"/>
      <c r="M16" s="90">
        <f t="shared" ref="M16:M117" si="3">-E16+G16+I16+K16</f>
        <v>-28402618</v>
      </c>
      <c r="N16" s="90"/>
      <c r="O16" s="90">
        <v>13848561</v>
      </c>
      <c r="P16" s="90"/>
      <c r="Q16" s="90">
        <f>10861536+2411335</f>
        <v>13272871</v>
      </c>
      <c r="R16" s="90"/>
      <c r="S16" s="90">
        <v>0</v>
      </c>
      <c r="T16" s="90"/>
      <c r="U16" s="90">
        <f>17352</f>
        <v>17352</v>
      </c>
      <c r="V16" s="90"/>
      <c r="W16" s="90">
        <v>295690</v>
      </c>
      <c r="X16" s="90"/>
      <c r="Y16" s="90">
        <v>0</v>
      </c>
      <c r="Z16" s="90"/>
      <c r="AA16" s="90">
        <v>0</v>
      </c>
      <c r="AB16" s="90"/>
      <c r="AC16" s="90">
        <f>SUM(O16:AA16)</f>
        <v>27434474</v>
      </c>
      <c r="AD16" s="90"/>
      <c r="AE16" s="90">
        <f>AC16+M16</f>
        <v>-968144</v>
      </c>
      <c r="AF16" s="90"/>
      <c r="AG16" s="90">
        <v>5666710</v>
      </c>
      <c r="AH16" s="90"/>
      <c r="AI16" s="90">
        <f t="shared" ref="AI16:AI117" si="4">AE16+AG16</f>
        <v>4698566</v>
      </c>
    </row>
    <row r="17" spans="1:35" ht="12" hidden="1" customHeight="1" x14ac:dyDescent="0.2">
      <c r="A17" s="15" t="s">
        <v>69</v>
      </c>
      <c r="B17" s="4"/>
      <c r="C17" s="15" t="s">
        <v>39</v>
      </c>
      <c r="D17" s="4"/>
      <c r="E17" s="43">
        <v>305257.02</v>
      </c>
      <c r="F17" s="43"/>
      <c r="G17" s="43">
        <v>0</v>
      </c>
      <c r="H17" s="43"/>
      <c r="I17" s="43">
        <v>0</v>
      </c>
      <c r="J17" s="43"/>
      <c r="K17" s="43">
        <v>0</v>
      </c>
      <c r="L17" s="43"/>
      <c r="M17" s="43">
        <v>-305257.02</v>
      </c>
      <c r="N17" s="43"/>
      <c r="O17" s="43">
        <v>0</v>
      </c>
      <c r="P17" s="43"/>
      <c r="Q17" s="43">
        <v>259006.27</v>
      </c>
      <c r="R17" s="43"/>
      <c r="S17" s="43">
        <v>0</v>
      </c>
      <c r="T17" s="43"/>
      <c r="U17" s="43">
        <v>335.89</v>
      </c>
      <c r="V17" s="43"/>
      <c r="W17" s="43">
        <v>7448.94</v>
      </c>
      <c r="X17" s="43"/>
      <c r="Y17" s="43">
        <v>0</v>
      </c>
      <c r="Z17" s="43"/>
      <c r="AA17" s="43">
        <v>0</v>
      </c>
      <c r="AB17" s="43"/>
      <c r="AC17" s="43">
        <f t="shared" si="0"/>
        <v>266791.09999999998</v>
      </c>
      <c r="AD17" s="43"/>
      <c r="AE17" s="43">
        <v>-38465.919999999998</v>
      </c>
      <c r="AF17" s="43"/>
      <c r="AG17" s="43">
        <v>669302.5</v>
      </c>
      <c r="AH17" s="43"/>
      <c r="AI17" s="43">
        <v>630836.57999999996</v>
      </c>
    </row>
    <row r="18" spans="1:35" ht="12" hidden="1" customHeight="1" x14ac:dyDescent="0.2">
      <c r="A18" s="15" t="s">
        <v>74</v>
      </c>
      <c r="B18" s="15"/>
      <c r="C18" s="15" t="s">
        <v>55</v>
      </c>
      <c r="D18" s="15"/>
      <c r="E18" s="43"/>
      <c r="F18" s="43"/>
      <c r="G18" s="43"/>
      <c r="H18" s="43"/>
      <c r="I18" s="43"/>
      <c r="J18" s="43"/>
      <c r="K18" s="43"/>
      <c r="L18" s="43"/>
      <c r="M18" s="43">
        <f t="shared" si="3"/>
        <v>0</v>
      </c>
      <c r="N18" s="43"/>
      <c r="O18" s="43"/>
      <c r="P18" s="43"/>
      <c r="Q18" s="43"/>
      <c r="R18" s="43"/>
      <c r="S18" s="43">
        <v>0</v>
      </c>
      <c r="T18" s="43"/>
      <c r="U18" s="43"/>
      <c r="V18" s="43"/>
      <c r="W18" s="43"/>
      <c r="X18" s="43"/>
      <c r="Y18" s="43"/>
      <c r="Z18" s="43"/>
      <c r="AA18" s="43"/>
      <c r="AB18" s="43"/>
      <c r="AC18" s="43">
        <f t="shared" si="0"/>
        <v>0</v>
      </c>
      <c r="AD18" s="43"/>
      <c r="AE18" s="43">
        <f>AC18+M18</f>
        <v>0</v>
      </c>
      <c r="AF18" s="43"/>
      <c r="AG18" s="43"/>
      <c r="AH18" s="43"/>
      <c r="AI18" s="43">
        <f t="shared" si="4"/>
        <v>0</v>
      </c>
    </row>
    <row r="19" spans="1:35" ht="12" customHeight="1" x14ac:dyDescent="0.2">
      <c r="A19" s="3" t="s">
        <v>80</v>
      </c>
      <c r="B19" s="12"/>
      <c r="C19" s="3" t="s">
        <v>81</v>
      </c>
      <c r="D19" s="15"/>
      <c r="E19" s="43">
        <v>1507390</v>
      </c>
      <c r="F19" s="43"/>
      <c r="G19" s="43">
        <v>58175</v>
      </c>
      <c r="H19" s="43"/>
      <c r="I19" s="43">
        <v>13212</v>
      </c>
      <c r="J19" s="43"/>
      <c r="K19" s="43">
        <v>0</v>
      </c>
      <c r="L19" s="43"/>
      <c r="M19" s="43">
        <f t="shared" si="3"/>
        <v>-1436003</v>
      </c>
      <c r="N19" s="43"/>
      <c r="O19" s="43">
        <f>951608+436254</f>
        <v>1387862</v>
      </c>
      <c r="P19" s="43"/>
      <c r="Q19" s="43">
        <v>0</v>
      </c>
      <c r="R19" s="43"/>
      <c r="S19" s="43">
        <v>0</v>
      </c>
      <c r="T19" s="43"/>
      <c r="U19" s="43">
        <v>25094</v>
      </c>
      <c r="V19" s="43"/>
      <c r="W19" s="43">
        <v>0</v>
      </c>
      <c r="X19" s="43"/>
      <c r="Y19" s="43">
        <v>0</v>
      </c>
      <c r="Z19" s="43"/>
      <c r="AA19" s="43">
        <v>0</v>
      </c>
      <c r="AB19" s="43"/>
      <c r="AC19" s="43">
        <f>SUM(O19:AA19)</f>
        <v>1412956</v>
      </c>
      <c r="AD19" s="43"/>
      <c r="AE19" s="43">
        <f>AC19+M19</f>
        <v>-23047</v>
      </c>
      <c r="AF19" s="43"/>
      <c r="AG19" s="43">
        <v>2256474</v>
      </c>
      <c r="AH19" s="43"/>
      <c r="AI19" s="43">
        <f t="shared" si="4"/>
        <v>2233427</v>
      </c>
    </row>
    <row r="20" spans="1:35" s="61" customFormat="1" ht="12" hidden="1" customHeight="1" x14ac:dyDescent="0.2">
      <c r="A20" s="15" t="s">
        <v>503</v>
      </c>
      <c r="B20" s="4"/>
      <c r="C20" s="15" t="s">
        <v>41</v>
      </c>
      <c r="D20" s="4"/>
      <c r="E20" s="43">
        <v>1316441.03</v>
      </c>
      <c r="F20" s="43"/>
      <c r="G20" s="43">
        <v>52955.040000000001</v>
      </c>
      <c r="H20" s="43"/>
      <c r="I20" s="43">
        <v>49417.09</v>
      </c>
      <c r="J20" s="43"/>
      <c r="K20" s="43">
        <v>0</v>
      </c>
      <c r="L20" s="43"/>
      <c r="M20" s="43">
        <v>-1214068.8999999999</v>
      </c>
      <c r="N20" s="43"/>
      <c r="O20" s="43">
        <v>1250693.21</v>
      </c>
      <c r="P20" s="43"/>
      <c r="Q20" s="43">
        <v>1064.8699999999999</v>
      </c>
      <c r="R20" s="43"/>
      <c r="S20" s="43">
        <v>0</v>
      </c>
      <c r="T20" s="43"/>
      <c r="U20" s="43">
        <v>0</v>
      </c>
      <c r="V20" s="43"/>
      <c r="W20" s="43">
        <v>4583.58</v>
      </c>
      <c r="X20" s="43"/>
      <c r="Y20" s="43">
        <v>0</v>
      </c>
      <c r="Z20" s="43"/>
      <c r="AA20" s="43">
        <v>0</v>
      </c>
      <c r="AB20" s="43"/>
      <c r="AC20" s="43">
        <f t="shared" si="0"/>
        <v>1256341.6600000001</v>
      </c>
      <c r="AD20" s="43"/>
      <c r="AE20" s="43">
        <v>42272.76</v>
      </c>
      <c r="AF20" s="43"/>
      <c r="AG20" s="43">
        <v>2709561.41</v>
      </c>
      <c r="AH20" s="43"/>
      <c r="AI20" s="43">
        <v>2751834.17</v>
      </c>
    </row>
    <row r="21" spans="1:35" s="61" customFormat="1" ht="12" hidden="1" customHeight="1" x14ac:dyDescent="0.2">
      <c r="A21" s="15" t="s">
        <v>628</v>
      </c>
      <c r="B21" s="4"/>
      <c r="C21" s="15" t="s">
        <v>208</v>
      </c>
      <c r="D21" s="4"/>
      <c r="E21" s="43">
        <v>1746373.3</v>
      </c>
      <c r="F21" s="43"/>
      <c r="G21" s="43">
        <v>30133.62</v>
      </c>
      <c r="H21" s="43"/>
      <c r="I21" s="43">
        <v>0</v>
      </c>
      <c r="J21" s="43"/>
      <c r="K21" s="43">
        <v>0</v>
      </c>
      <c r="L21" s="43"/>
      <c r="M21" s="43">
        <v>-1716239.68</v>
      </c>
      <c r="N21" s="43"/>
      <c r="O21" s="43">
        <v>0</v>
      </c>
      <c r="P21" s="43"/>
      <c r="Q21" s="43">
        <v>1837693.54</v>
      </c>
      <c r="R21" s="43"/>
      <c r="S21" s="43">
        <v>0</v>
      </c>
      <c r="T21" s="43"/>
      <c r="U21" s="43">
        <v>1538.54</v>
      </c>
      <c r="V21" s="43"/>
      <c r="W21" s="43">
        <v>10392.049999999999</v>
      </c>
      <c r="X21" s="43"/>
      <c r="Y21" s="43">
        <v>0</v>
      </c>
      <c r="Z21" s="43"/>
      <c r="AA21" s="43">
        <v>0</v>
      </c>
      <c r="AB21" s="43"/>
      <c r="AC21" s="43">
        <f t="shared" ref="AC21:AC22" si="5">SUM(O21:AA21)</f>
        <v>1849624.1300000001</v>
      </c>
      <c r="AD21" s="43"/>
      <c r="AE21" s="43">
        <v>133384.45000000001</v>
      </c>
      <c r="AF21" s="43"/>
      <c r="AG21" s="43">
        <v>702602.09</v>
      </c>
      <c r="AH21" s="43"/>
      <c r="AI21" s="43">
        <v>835986.54</v>
      </c>
    </row>
    <row r="22" spans="1:35" ht="12" hidden="1" customHeight="1" x14ac:dyDescent="0.2">
      <c r="A22" s="4" t="s">
        <v>351</v>
      </c>
      <c r="B22" s="4"/>
      <c r="C22" s="4" t="s">
        <v>42</v>
      </c>
      <c r="D22" s="4"/>
      <c r="E22" s="43">
        <v>939153.39</v>
      </c>
      <c r="F22" s="43"/>
      <c r="G22" s="43">
        <v>15440.91</v>
      </c>
      <c r="H22" s="43"/>
      <c r="I22" s="43">
        <v>25978.91</v>
      </c>
      <c r="J22" s="43"/>
      <c r="K22" s="43">
        <v>0</v>
      </c>
      <c r="L22" s="43"/>
      <c r="M22" s="43">
        <v>-897733.57</v>
      </c>
      <c r="N22" s="43"/>
      <c r="O22" s="43">
        <v>0</v>
      </c>
      <c r="P22" s="43"/>
      <c r="Q22" s="43">
        <v>990737.75</v>
      </c>
      <c r="R22" s="43"/>
      <c r="S22" s="43">
        <v>0</v>
      </c>
      <c r="T22" s="43"/>
      <c r="U22" s="43">
        <v>14308.38</v>
      </c>
      <c r="V22" s="43"/>
      <c r="W22" s="43">
        <v>3624.87</v>
      </c>
      <c r="X22" s="43"/>
      <c r="Y22" s="43">
        <v>0</v>
      </c>
      <c r="Z22" s="43"/>
      <c r="AA22" s="43">
        <v>0</v>
      </c>
      <c r="AB22" s="43"/>
      <c r="AC22" s="43">
        <f t="shared" si="5"/>
        <v>1008671</v>
      </c>
      <c r="AD22" s="43"/>
      <c r="AE22" s="43">
        <v>110937.43</v>
      </c>
      <c r="AF22" s="43"/>
      <c r="AG22" s="43">
        <v>3403650.24</v>
      </c>
      <c r="AH22" s="43"/>
      <c r="AI22" s="43">
        <v>3514587.67</v>
      </c>
    </row>
    <row r="23" spans="1:35" ht="12" customHeight="1" x14ac:dyDescent="0.2">
      <c r="A23" s="3" t="s">
        <v>82</v>
      </c>
      <c r="B23" s="12"/>
      <c r="C23" s="4" t="s">
        <v>55</v>
      </c>
      <c r="D23" s="15"/>
      <c r="E23" s="43">
        <v>2374732</v>
      </c>
      <c r="F23" s="43"/>
      <c r="G23" s="43">
        <v>49514</v>
      </c>
      <c r="H23" s="43"/>
      <c r="I23" s="43">
        <v>685</v>
      </c>
      <c r="J23" s="43"/>
      <c r="K23" s="43">
        <v>0</v>
      </c>
      <c r="L23" s="43"/>
      <c r="M23" s="43">
        <f t="shared" si="3"/>
        <v>-2324533</v>
      </c>
      <c r="N23" s="43"/>
      <c r="O23" s="43">
        <v>2026806</v>
      </c>
      <c r="P23" s="43"/>
      <c r="Q23" s="43">
        <f>597258+332222</f>
        <v>929480</v>
      </c>
      <c r="R23" s="43"/>
      <c r="S23" s="43">
        <v>0</v>
      </c>
      <c r="T23" s="43"/>
      <c r="U23" s="43">
        <v>613</v>
      </c>
      <c r="V23" s="43"/>
      <c r="W23" s="43">
        <v>35597</v>
      </c>
      <c r="X23" s="43"/>
      <c r="Y23" s="43">
        <v>0</v>
      </c>
      <c r="Z23" s="43"/>
      <c r="AA23" s="43">
        <v>0</v>
      </c>
      <c r="AB23" s="43"/>
      <c r="AC23" s="43">
        <f>SUM(O23:AA23)</f>
        <v>2992496</v>
      </c>
      <c r="AD23" s="43"/>
      <c r="AE23" s="43">
        <f>AC23+M23</f>
        <v>667963</v>
      </c>
      <c r="AF23" s="43"/>
      <c r="AG23" s="43">
        <v>550025</v>
      </c>
      <c r="AH23" s="43"/>
      <c r="AI23" s="43">
        <f t="shared" si="4"/>
        <v>1217988</v>
      </c>
    </row>
    <row r="24" spans="1:35" ht="12" hidden="1" customHeight="1" x14ac:dyDescent="0.2">
      <c r="A24" s="15" t="s">
        <v>352</v>
      </c>
      <c r="B24" s="4"/>
      <c r="C24" s="15" t="s">
        <v>20</v>
      </c>
      <c r="D24" s="4"/>
      <c r="E24" s="43">
        <v>1250673.69</v>
      </c>
      <c r="F24" s="43"/>
      <c r="G24" s="43">
        <v>31765.79</v>
      </c>
      <c r="H24" s="43"/>
      <c r="I24" s="43">
        <v>21450.21</v>
      </c>
      <c r="J24" s="43"/>
      <c r="K24" s="43">
        <v>4646.8900000000003</v>
      </c>
      <c r="L24" s="43"/>
      <c r="M24" s="43">
        <v>-1192810.8</v>
      </c>
      <c r="N24" s="43"/>
      <c r="O24" s="43">
        <v>498838.29</v>
      </c>
      <c r="P24" s="43"/>
      <c r="Q24" s="43">
        <v>822457.87</v>
      </c>
      <c r="R24" s="43"/>
      <c r="S24" s="43">
        <v>0</v>
      </c>
      <c r="T24" s="43"/>
      <c r="U24" s="43">
        <v>11076.21</v>
      </c>
      <c r="V24" s="43"/>
      <c r="W24" s="43">
        <v>9960.16</v>
      </c>
      <c r="X24" s="43"/>
      <c r="Y24" s="43">
        <v>0</v>
      </c>
      <c r="Z24" s="43"/>
      <c r="AA24" s="43">
        <v>0</v>
      </c>
      <c r="AB24" s="43"/>
      <c r="AC24" s="43">
        <f t="shared" ref="AC24" si="6">SUM(O24:AA24)</f>
        <v>1342332.5299999998</v>
      </c>
      <c r="AD24" s="43"/>
      <c r="AE24" s="43">
        <v>149521.73000000001</v>
      </c>
      <c r="AF24" s="43"/>
      <c r="AG24" s="43">
        <v>1323774.49</v>
      </c>
      <c r="AH24" s="43"/>
      <c r="AI24" s="43">
        <v>1473296.22</v>
      </c>
    </row>
    <row r="25" spans="1:35" ht="12" customHeight="1" x14ac:dyDescent="0.2">
      <c r="A25" s="3" t="s">
        <v>19</v>
      </c>
      <c r="B25" s="12"/>
      <c r="C25" s="3" t="s">
        <v>11</v>
      </c>
      <c r="D25" s="15"/>
      <c r="E25" s="43">
        <v>495045</v>
      </c>
      <c r="F25" s="43"/>
      <c r="G25" s="43">
        <v>19864</v>
      </c>
      <c r="H25" s="43"/>
      <c r="I25" s="43">
        <v>16330</v>
      </c>
      <c r="J25" s="43"/>
      <c r="K25" s="43">
        <v>0</v>
      </c>
      <c r="L25" s="43"/>
      <c r="M25" s="43">
        <f t="shared" si="3"/>
        <v>-458851</v>
      </c>
      <c r="N25" s="43"/>
      <c r="O25" s="43">
        <v>385159</v>
      </c>
      <c r="P25" s="43"/>
      <c r="Q25" s="43">
        <v>0</v>
      </c>
      <c r="R25" s="43"/>
      <c r="S25" s="43">
        <v>0</v>
      </c>
      <c r="T25" s="43"/>
      <c r="U25" s="43">
        <v>17523</v>
      </c>
      <c r="V25" s="43"/>
      <c r="W25" s="43">
        <v>5507</v>
      </c>
      <c r="X25" s="43"/>
      <c r="Y25" s="43">
        <v>0</v>
      </c>
      <c r="Z25" s="43"/>
      <c r="AA25" s="43">
        <v>0</v>
      </c>
      <c r="AB25" s="43"/>
      <c r="AC25" s="43">
        <f>SUM(O25:AA25)</f>
        <v>408189</v>
      </c>
      <c r="AD25" s="43"/>
      <c r="AE25" s="43">
        <f>AC25+M25</f>
        <v>-50662</v>
      </c>
      <c r="AF25" s="43"/>
      <c r="AG25" s="43">
        <v>698197</v>
      </c>
      <c r="AH25" s="43"/>
      <c r="AI25" s="43">
        <f t="shared" si="4"/>
        <v>647535</v>
      </c>
    </row>
    <row r="26" spans="1:35" ht="12" hidden="1" customHeight="1" x14ac:dyDescent="0.2">
      <c r="A26" s="15" t="s">
        <v>353</v>
      </c>
      <c r="B26" s="4"/>
      <c r="C26" s="15" t="s">
        <v>11</v>
      </c>
      <c r="D26" s="4"/>
      <c r="E26" s="43">
        <v>486516.37</v>
      </c>
      <c r="F26" s="43"/>
      <c r="G26" s="43">
        <v>9135.2199999999993</v>
      </c>
      <c r="H26" s="43"/>
      <c r="I26" s="43">
        <v>0</v>
      </c>
      <c r="J26" s="43"/>
      <c r="K26" s="43">
        <v>0</v>
      </c>
      <c r="L26" s="43"/>
      <c r="M26" s="43">
        <v>-477381.15</v>
      </c>
      <c r="N26" s="43"/>
      <c r="O26" s="43">
        <v>0</v>
      </c>
      <c r="P26" s="43"/>
      <c r="Q26" s="43">
        <v>411699.4</v>
      </c>
      <c r="R26" s="43"/>
      <c r="S26" s="43">
        <v>0</v>
      </c>
      <c r="T26" s="43"/>
      <c r="U26" s="43">
        <v>3755.74</v>
      </c>
      <c r="V26" s="43"/>
      <c r="W26" s="43">
        <v>120.47</v>
      </c>
      <c r="X26" s="43"/>
      <c r="Y26" s="43">
        <v>0</v>
      </c>
      <c r="Z26" s="43"/>
      <c r="AA26" s="43">
        <v>0</v>
      </c>
      <c r="AB26" s="43"/>
      <c r="AC26" s="43">
        <f t="shared" ref="AC26:AC27" si="7">SUM(O26:AA26)</f>
        <v>415575.61</v>
      </c>
      <c r="AD26" s="43"/>
      <c r="AE26" s="43">
        <v>-61805.54</v>
      </c>
      <c r="AF26" s="43"/>
      <c r="AG26" s="43">
        <v>933253.23</v>
      </c>
      <c r="AH26" s="43"/>
      <c r="AI26" s="43">
        <v>871447.69</v>
      </c>
    </row>
    <row r="27" spans="1:35" ht="12" customHeight="1" x14ac:dyDescent="0.2">
      <c r="A27" s="15" t="s">
        <v>84</v>
      </c>
      <c r="B27" s="4"/>
      <c r="C27" s="15" t="s">
        <v>85</v>
      </c>
      <c r="D27" s="4"/>
      <c r="E27" s="43">
        <v>103049</v>
      </c>
      <c r="F27" s="43"/>
      <c r="G27" s="43">
        <v>3374</v>
      </c>
      <c r="H27" s="43"/>
      <c r="I27" s="43">
        <v>3186</v>
      </c>
      <c r="J27" s="43"/>
      <c r="K27" s="43">
        <v>0</v>
      </c>
      <c r="L27" s="43"/>
      <c r="M27" s="43">
        <f>-E27+G27+I27+K27</f>
        <v>-96489</v>
      </c>
      <c r="N27" s="43"/>
      <c r="O27" s="43">
        <v>0</v>
      </c>
      <c r="P27" s="43"/>
      <c r="Q27" s="43">
        <v>63546</v>
      </c>
      <c r="R27" s="43"/>
      <c r="S27" s="43">
        <v>0</v>
      </c>
      <c r="T27" s="43"/>
      <c r="U27" s="43">
        <v>2588</v>
      </c>
      <c r="V27" s="43"/>
      <c r="W27" s="43">
        <f>8736+2200</f>
        <v>10936</v>
      </c>
      <c r="X27" s="43"/>
      <c r="Y27" s="43">
        <v>0</v>
      </c>
      <c r="Z27" s="43"/>
      <c r="AA27" s="43">
        <v>0</v>
      </c>
      <c r="AB27" s="43"/>
      <c r="AC27" s="43">
        <f t="shared" si="7"/>
        <v>77070</v>
      </c>
      <c r="AD27" s="43"/>
      <c r="AE27" s="43">
        <f>AC27+M27</f>
        <v>-19419</v>
      </c>
      <c r="AF27" s="43"/>
      <c r="AG27" s="43">
        <v>281658</v>
      </c>
      <c r="AH27" s="43"/>
      <c r="AI27" s="43">
        <f>AE27+AG27</f>
        <v>262239</v>
      </c>
    </row>
    <row r="28" spans="1:35" ht="12" customHeight="1" x14ac:dyDescent="0.2">
      <c r="A28" s="3" t="s">
        <v>86</v>
      </c>
      <c r="B28" s="15"/>
      <c r="C28" s="4" t="s">
        <v>87</v>
      </c>
      <c r="D28" s="15"/>
      <c r="E28" s="43">
        <v>854837</v>
      </c>
      <c r="F28" s="43"/>
      <c r="G28" s="43">
        <v>21554</v>
      </c>
      <c r="H28" s="43"/>
      <c r="I28" s="43">
        <v>11675</v>
      </c>
      <c r="J28" s="43"/>
      <c r="K28" s="43">
        <v>0</v>
      </c>
      <c r="L28" s="43"/>
      <c r="M28" s="43">
        <f t="shared" si="3"/>
        <v>-821608</v>
      </c>
      <c r="N28" s="43"/>
      <c r="O28" s="43">
        <v>248902</v>
      </c>
      <c r="P28" s="43"/>
      <c r="Q28" s="43">
        <f>523397+29043</f>
        <v>552440</v>
      </c>
      <c r="R28" s="43"/>
      <c r="S28" s="43">
        <v>0</v>
      </c>
      <c r="T28" s="43"/>
      <c r="U28" s="43">
        <v>1648</v>
      </c>
      <c r="V28" s="43"/>
      <c r="W28" s="43">
        <v>7218</v>
      </c>
      <c r="X28" s="43"/>
      <c r="Y28" s="43">
        <v>0</v>
      </c>
      <c r="Z28" s="43"/>
      <c r="AA28" s="43">
        <v>0</v>
      </c>
      <c r="AB28" s="43"/>
      <c r="AC28" s="43">
        <f>SUM(O28:AA28)</f>
        <v>810208</v>
      </c>
      <c r="AD28" s="43"/>
      <c r="AE28" s="43">
        <f>AC28+M28</f>
        <v>-11400</v>
      </c>
      <c r="AF28" s="43"/>
      <c r="AG28" s="43">
        <v>895756</v>
      </c>
      <c r="AH28" s="43"/>
      <c r="AI28" s="43">
        <f t="shared" si="4"/>
        <v>884356</v>
      </c>
    </row>
    <row r="29" spans="1:35" ht="12" customHeight="1" x14ac:dyDescent="0.2">
      <c r="A29" s="3" t="s">
        <v>88</v>
      </c>
      <c r="B29" s="15"/>
      <c r="C29" s="4" t="s">
        <v>43</v>
      </c>
      <c r="D29" s="15"/>
      <c r="E29" s="43">
        <v>114057</v>
      </c>
      <c r="F29" s="43"/>
      <c r="G29" s="43">
        <v>3192</v>
      </c>
      <c r="H29" s="43"/>
      <c r="I29" s="43">
        <v>536</v>
      </c>
      <c r="J29" s="43"/>
      <c r="K29" s="43">
        <v>0</v>
      </c>
      <c r="L29" s="43"/>
      <c r="M29" s="43">
        <f>-E29+G29+I29+K29</f>
        <v>-110329</v>
      </c>
      <c r="N29" s="43"/>
      <c r="O29" s="43">
        <v>9093</v>
      </c>
      <c r="P29" s="43"/>
      <c r="Q29" s="43">
        <v>109194</v>
      </c>
      <c r="R29" s="43"/>
      <c r="S29" s="43">
        <v>0</v>
      </c>
      <c r="T29" s="43"/>
      <c r="U29" s="43">
        <v>2547</v>
      </c>
      <c r="V29" s="43"/>
      <c r="W29" s="43">
        <v>0</v>
      </c>
      <c r="X29" s="43"/>
      <c r="Y29" s="43">
        <v>0</v>
      </c>
      <c r="Z29" s="43"/>
      <c r="AA29" s="43">
        <v>0</v>
      </c>
      <c r="AB29" s="43"/>
      <c r="AC29" s="43">
        <f>SUM(O29:AA29)</f>
        <v>120834</v>
      </c>
      <c r="AD29" s="43"/>
      <c r="AE29" s="43">
        <f>AC29+M29</f>
        <v>10505</v>
      </c>
      <c r="AF29" s="43"/>
      <c r="AG29" s="43">
        <v>430906</v>
      </c>
      <c r="AH29" s="43"/>
      <c r="AI29" s="43">
        <f t="shared" si="4"/>
        <v>441411</v>
      </c>
    </row>
    <row r="30" spans="1:35" ht="12" customHeight="1" x14ac:dyDescent="0.2">
      <c r="A30" s="3" t="s">
        <v>634</v>
      </c>
      <c r="B30" s="15"/>
      <c r="C30" s="4" t="s">
        <v>92</v>
      </c>
      <c r="D30" s="15"/>
      <c r="E30" s="43">
        <v>2042977</v>
      </c>
      <c r="F30" s="43"/>
      <c r="G30" s="43">
        <v>33690</v>
      </c>
      <c r="H30" s="43"/>
      <c r="I30" s="43">
        <v>15446</v>
      </c>
      <c r="J30" s="43"/>
      <c r="K30" s="43">
        <v>0</v>
      </c>
      <c r="L30" s="43"/>
      <c r="M30" s="43">
        <f>-E30+G30+I30+K30</f>
        <v>-1993841</v>
      </c>
      <c r="N30" s="43"/>
      <c r="O30" s="43">
        <v>904586</v>
      </c>
      <c r="P30" s="43"/>
      <c r="Q30" s="43">
        <v>1314167</v>
      </c>
      <c r="R30" s="43"/>
      <c r="S30" s="43">
        <v>0</v>
      </c>
      <c r="T30" s="43"/>
      <c r="U30" s="43">
        <v>6629</v>
      </c>
      <c r="V30" s="43"/>
      <c r="W30" s="43">
        <v>13815</v>
      </c>
      <c r="X30" s="43"/>
      <c r="Y30" s="43">
        <v>0</v>
      </c>
      <c r="Z30" s="43"/>
      <c r="AA30" s="43">
        <v>0</v>
      </c>
      <c r="AB30" s="43"/>
      <c r="AC30" s="43">
        <f>SUM(O30:AA30)</f>
        <v>2239197</v>
      </c>
      <c r="AD30" s="43"/>
      <c r="AE30" s="43">
        <f>AC30+M30</f>
        <v>245356</v>
      </c>
      <c r="AF30" s="43"/>
      <c r="AG30" s="43">
        <v>3310454</v>
      </c>
      <c r="AH30" s="43"/>
      <c r="AI30" s="43">
        <f t="shared" si="4"/>
        <v>3555810</v>
      </c>
    </row>
    <row r="31" spans="1:35" ht="12" customHeight="1" x14ac:dyDescent="0.2">
      <c r="A31" s="4" t="s">
        <v>93</v>
      </c>
      <c r="B31" s="4"/>
      <c r="C31" s="4" t="s">
        <v>67</v>
      </c>
      <c r="D31" s="4"/>
      <c r="E31" s="43">
        <v>609876</v>
      </c>
      <c r="F31" s="43"/>
      <c r="G31" s="43">
        <v>0</v>
      </c>
      <c r="H31" s="43"/>
      <c r="I31" s="43">
        <v>0</v>
      </c>
      <c r="J31" s="43"/>
      <c r="K31" s="43">
        <v>0</v>
      </c>
      <c r="L31" s="43"/>
      <c r="M31" s="43">
        <f t="shared" si="3"/>
        <v>-609876</v>
      </c>
      <c r="N31" s="43"/>
      <c r="O31" s="43">
        <v>230340</v>
      </c>
      <c r="P31" s="43"/>
      <c r="Q31" s="43">
        <f>379343+177945</f>
        <v>557288</v>
      </c>
      <c r="R31" s="43"/>
      <c r="S31" s="43">
        <v>0</v>
      </c>
      <c r="T31" s="43"/>
      <c r="U31" s="43">
        <v>157</v>
      </c>
      <c r="V31" s="43"/>
      <c r="W31" s="43">
        <v>714</v>
      </c>
      <c r="X31" s="43"/>
      <c r="Y31" s="43">
        <v>0</v>
      </c>
      <c r="Z31" s="43"/>
      <c r="AA31" s="43">
        <v>0</v>
      </c>
      <c r="AB31" s="43"/>
      <c r="AC31" s="43">
        <f t="shared" ref="AC31:AC32" si="8">SUM(O31:AA31)</f>
        <v>788499</v>
      </c>
      <c r="AD31" s="43"/>
      <c r="AE31" s="43">
        <f t="shared" ref="AE31:AE32" si="9">AC31+M31</f>
        <v>178623</v>
      </c>
      <c r="AF31" s="43"/>
      <c r="AG31" s="43">
        <f>120410+70437+72969</f>
        <v>263816</v>
      </c>
      <c r="AH31" s="43"/>
      <c r="AI31" s="43">
        <f t="shared" si="4"/>
        <v>442439</v>
      </c>
    </row>
    <row r="32" spans="1:35" ht="12" customHeight="1" x14ac:dyDescent="0.2">
      <c r="A32" s="4" t="s">
        <v>635</v>
      </c>
      <c r="B32" s="4"/>
      <c r="C32" s="4" t="s">
        <v>567</v>
      </c>
      <c r="D32" s="4"/>
      <c r="E32" s="43">
        <v>1851380</v>
      </c>
      <c r="F32" s="43"/>
      <c r="G32" s="43">
        <v>44151</v>
      </c>
      <c r="H32" s="43"/>
      <c r="I32" s="43">
        <f>4782+125</f>
        <v>4907</v>
      </c>
      <c r="J32" s="43"/>
      <c r="K32" s="43">
        <v>0</v>
      </c>
      <c r="L32" s="43"/>
      <c r="M32" s="43">
        <f t="shared" si="3"/>
        <v>-1802322</v>
      </c>
      <c r="N32" s="43"/>
      <c r="O32" s="43">
        <v>0</v>
      </c>
      <c r="P32" s="43"/>
      <c r="Q32" s="43">
        <v>1762209</v>
      </c>
      <c r="R32" s="43"/>
      <c r="S32" s="43">
        <v>0</v>
      </c>
      <c r="T32" s="43"/>
      <c r="U32" s="43">
        <v>681</v>
      </c>
      <c r="V32" s="43"/>
      <c r="W32" s="43">
        <v>45309</v>
      </c>
      <c r="X32" s="43"/>
      <c r="Y32" s="43">
        <v>0</v>
      </c>
      <c r="Z32" s="43"/>
      <c r="AA32" s="43">
        <v>0</v>
      </c>
      <c r="AB32" s="43"/>
      <c r="AC32" s="43">
        <f t="shared" si="8"/>
        <v>1808199</v>
      </c>
      <c r="AD32" s="43"/>
      <c r="AE32" s="43">
        <f t="shared" si="9"/>
        <v>5877</v>
      </c>
      <c r="AF32" s="43"/>
      <c r="AG32" s="43">
        <v>747995</v>
      </c>
      <c r="AH32" s="43"/>
      <c r="AI32" s="43">
        <f t="shared" si="4"/>
        <v>753872</v>
      </c>
    </row>
    <row r="33" spans="1:35" ht="12" customHeight="1" x14ac:dyDescent="0.2">
      <c r="A33" s="12" t="s">
        <v>98</v>
      </c>
      <c r="B33" s="15"/>
      <c r="C33" s="15" t="s">
        <v>54</v>
      </c>
      <c r="D33" s="15"/>
      <c r="E33" s="43">
        <v>395425</v>
      </c>
      <c r="F33" s="43"/>
      <c r="G33" s="43">
        <f>6952+16000</f>
        <v>22952</v>
      </c>
      <c r="H33" s="43"/>
      <c r="I33" s="43">
        <v>0</v>
      </c>
      <c r="J33" s="43"/>
      <c r="K33" s="43">
        <v>0</v>
      </c>
      <c r="L33" s="43"/>
      <c r="M33" s="43">
        <f t="shared" si="3"/>
        <v>-372473</v>
      </c>
      <c r="N33" s="43"/>
      <c r="O33" s="43">
        <v>48907</v>
      </c>
      <c r="P33" s="43"/>
      <c r="Q33" s="43">
        <v>306839</v>
      </c>
      <c r="R33" s="43"/>
      <c r="S33" s="43">
        <v>0</v>
      </c>
      <c r="T33" s="43"/>
      <c r="U33" s="43">
        <v>12026</v>
      </c>
      <c r="V33" s="43"/>
      <c r="W33" s="43">
        <v>1922</v>
      </c>
      <c r="X33" s="43"/>
      <c r="Y33" s="43">
        <v>0</v>
      </c>
      <c r="Z33" s="43"/>
      <c r="AA33" s="43">
        <v>0</v>
      </c>
      <c r="AB33" s="43"/>
      <c r="AC33" s="43">
        <f>SUM(O33:AA33)</f>
        <v>369694</v>
      </c>
      <c r="AD33" s="43"/>
      <c r="AE33" s="43">
        <f>AC33+M33</f>
        <v>-2779</v>
      </c>
      <c r="AF33" s="43"/>
      <c r="AG33" s="43">
        <v>921719</v>
      </c>
      <c r="AH33" s="43"/>
      <c r="AI33" s="43">
        <f t="shared" si="4"/>
        <v>918940</v>
      </c>
    </row>
    <row r="34" spans="1:35" ht="12" customHeight="1" x14ac:dyDescent="0.2">
      <c r="A34" s="12" t="s">
        <v>99</v>
      </c>
      <c r="B34" s="15"/>
      <c r="C34" s="15" t="s">
        <v>100</v>
      </c>
      <c r="D34" s="15"/>
      <c r="E34" s="43">
        <v>132415</v>
      </c>
      <c r="F34" s="43"/>
      <c r="G34" s="43">
        <v>5859</v>
      </c>
      <c r="H34" s="43"/>
      <c r="I34" s="43">
        <v>27729</v>
      </c>
      <c r="J34" s="43"/>
      <c r="K34" s="43">
        <v>0</v>
      </c>
      <c r="L34" s="43"/>
      <c r="M34" s="43">
        <f t="shared" si="3"/>
        <v>-98827</v>
      </c>
      <c r="N34" s="43"/>
      <c r="O34" s="43">
        <v>92377</v>
      </c>
      <c r="P34" s="43"/>
      <c r="Q34" s="43">
        <v>27813</v>
      </c>
      <c r="R34" s="43"/>
      <c r="S34" s="43">
        <v>0</v>
      </c>
      <c r="T34" s="43"/>
      <c r="U34" s="43">
        <v>383</v>
      </c>
      <c r="V34" s="43"/>
      <c r="W34" s="43">
        <v>0</v>
      </c>
      <c r="X34" s="43"/>
      <c r="Y34" s="43">
        <v>0</v>
      </c>
      <c r="Z34" s="43"/>
      <c r="AA34" s="43">
        <v>0</v>
      </c>
      <c r="AB34" s="43"/>
      <c r="AC34" s="43">
        <f>SUM(O34:AA34)</f>
        <v>120573</v>
      </c>
      <c r="AD34" s="43"/>
      <c r="AE34" s="43">
        <f>AC34+M34</f>
        <v>21746</v>
      </c>
      <c r="AF34" s="43"/>
      <c r="AG34" s="43">
        <v>273808</v>
      </c>
      <c r="AH34" s="43"/>
      <c r="AI34" s="43">
        <f t="shared" si="4"/>
        <v>295554</v>
      </c>
    </row>
    <row r="35" spans="1:35" ht="12" customHeight="1" x14ac:dyDescent="0.2">
      <c r="A35" s="12" t="s">
        <v>101</v>
      </c>
      <c r="B35" s="15"/>
      <c r="C35" s="15" t="s">
        <v>50</v>
      </c>
      <c r="D35" s="15"/>
      <c r="E35" s="43">
        <v>525699.49</v>
      </c>
      <c r="F35" s="43"/>
      <c r="G35" s="43">
        <v>11265.12</v>
      </c>
      <c r="H35" s="43"/>
      <c r="I35" s="43">
        <v>55320.4</v>
      </c>
      <c r="J35" s="43"/>
      <c r="K35" s="43">
        <v>0</v>
      </c>
      <c r="L35" s="43"/>
      <c r="M35" s="43">
        <f t="shared" si="3"/>
        <v>-459113.97</v>
      </c>
      <c r="N35" s="43"/>
      <c r="O35" s="43">
        <v>477702.91</v>
      </c>
      <c r="P35" s="43"/>
      <c r="Q35" s="43">
        <v>0</v>
      </c>
      <c r="R35" s="43"/>
      <c r="S35" s="43">
        <v>0</v>
      </c>
      <c r="T35" s="43"/>
      <c r="U35" s="43">
        <v>2803.94</v>
      </c>
      <c r="V35" s="43"/>
      <c r="W35" s="43">
        <v>9003.14</v>
      </c>
      <c r="X35" s="43"/>
      <c r="Y35" s="43">
        <v>0</v>
      </c>
      <c r="Z35" s="43"/>
      <c r="AA35" s="43">
        <v>0</v>
      </c>
      <c r="AB35" s="43"/>
      <c r="AC35" s="43">
        <f>SUM(O35:AA35)</f>
        <v>489509.99</v>
      </c>
      <c r="AD35" s="43"/>
      <c r="AE35" s="43">
        <f>AC35+M35</f>
        <v>30396.020000000019</v>
      </c>
      <c r="AF35" s="43"/>
      <c r="AG35" s="43">
        <v>531395.65</v>
      </c>
      <c r="AH35" s="43"/>
      <c r="AI35" s="43">
        <f t="shared" si="4"/>
        <v>561791.67000000004</v>
      </c>
    </row>
    <row r="36" spans="1:35" ht="12" customHeight="1" x14ac:dyDescent="0.2">
      <c r="A36" s="12" t="s">
        <v>636</v>
      </c>
      <c r="B36" s="15"/>
      <c r="C36" s="15" t="s">
        <v>66</v>
      </c>
      <c r="D36" s="15"/>
      <c r="E36" s="43">
        <v>220386</v>
      </c>
      <c r="F36" s="43"/>
      <c r="G36" s="43">
        <v>6213</v>
      </c>
      <c r="H36" s="43"/>
      <c r="I36" s="43">
        <v>1299</v>
      </c>
      <c r="J36" s="43"/>
      <c r="K36" s="43">
        <v>0</v>
      </c>
      <c r="L36" s="43"/>
      <c r="M36" s="43">
        <f t="shared" si="3"/>
        <v>-212874</v>
      </c>
      <c r="N36" s="43"/>
      <c r="O36" s="43">
        <v>0</v>
      </c>
      <c r="P36" s="43"/>
      <c r="Q36" s="43">
        <f>206482+1300</f>
        <v>207782</v>
      </c>
      <c r="R36" s="43"/>
      <c r="S36" s="43">
        <v>0</v>
      </c>
      <c r="T36" s="43"/>
      <c r="U36" s="43">
        <v>877</v>
      </c>
      <c r="V36" s="43"/>
      <c r="W36" s="43">
        <v>9283</v>
      </c>
      <c r="X36" s="43"/>
      <c r="Y36" s="43">
        <v>0</v>
      </c>
      <c r="Z36" s="43"/>
      <c r="AA36" s="43">
        <v>0</v>
      </c>
      <c r="AB36" s="43"/>
      <c r="AC36" s="43">
        <f>SUM(O36:AA36)</f>
        <v>217942</v>
      </c>
      <c r="AD36" s="43"/>
      <c r="AE36" s="43">
        <f>AC36+M36</f>
        <v>5068</v>
      </c>
      <c r="AF36" s="43"/>
      <c r="AG36" s="43">
        <v>204093</v>
      </c>
      <c r="AH36" s="43"/>
      <c r="AI36" s="43">
        <f t="shared" si="4"/>
        <v>209161</v>
      </c>
    </row>
    <row r="37" spans="1:35" ht="12" customHeight="1" x14ac:dyDescent="0.2">
      <c r="A37" s="12" t="s">
        <v>107</v>
      </c>
      <c r="B37" s="12"/>
      <c r="C37" s="12" t="s">
        <v>108</v>
      </c>
      <c r="D37" s="15"/>
      <c r="E37" s="43">
        <v>811683</v>
      </c>
      <c r="F37" s="43"/>
      <c r="G37" s="43">
        <v>19740</v>
      </c>
      <c r="H37" s="43"/>
      <c r="I37" s="43">
        <v>7673</v>
      </c>
      <c r="J37" s="43"/>
      <c r="K37" s="43">
        <v>0</v>
      </c>
      <c r="L37" s="43"/>
      <c r="M37" s="43">
        <f t="shared" si="3"/>
        <v>-784270</v>
      </c>
      <c r="N37" s="43"/>
      <c r="O37" s="43">
        <v>0</v>
      </c>
      <c r="P37" s="43"/>
      <c r="Q37" s="43">
        <f>788284+3060</f>
        <v>791344</v>
      </c>
      <c r="R37" s="43"/>
      <c r="S37" s="43">
        <v>0</v>
      </c>
      <c r="T37" s="43"/>
      <c r="U37" s="43">
        <v>5784</v>
      </c>
      <c r="V37" s="43"/>
      <c r="W37" s="43">
        <v>2731</v>
      </c>
      <c r="X37" s="43"/>
      <c r="Y37" s="43">
        <v>0</v>
      </c>
      <c r="Z37" s="43"/>
      <c r="AA37" s="43">
        <v>0</v>
      </c>
      <c r="AB37" s="43"/>
      <c r="AC37" s="43">
        <f>SUM(O37:AA37)</f>
        <v>799859</v>
      </c>
      <c r="AD37" s="43"/>
      <c r="AE37" s="43">
        <f>AC37+M37</f>
        <v>15589</v>
      </c>
      <c r="AF37" s="43"/>
      <c r="AG37" s="43">
        <v>1409216</v>
      </c>
      <c r="AH37" s="43"/>
      <c r="AI37" s="43">
        <f t="shared" si="4"/>
        <v>1424805</v>
      </c>
    </row>
    <row r="38" spans="1:35" ht="12" hidden="1" customHeight="1" x14ac:dyDescent="0.2">
      <c r="A38" s="15" t="s">
        <v>355</v>
      </c>
      <c r="B38" s="4"/>
      <c r="C38" s="15" t="s">
        <v>46</v>
      </c>
      <c r="D38" s="4"/>
      <c r="E38" s="43">
        <v>637481.97</v>
      </c>
      <c r="F38" s="43"/>
      <c r="G38" s="43">
        <v>35298.25</v>
      </c>
      <c r="H38" s="43"/>
      <c r="I38" s="43">
        <v>0</v>
      </c>
      <c r="J38" s="43"/>
      <c r="K38" s="43">
        <v>0</v>
      </c>
      <c r="L38" s="43"/>
      <c r="M38" s="43">
        <f t="shared" si="3"/>
        <v>-602183.72</v>
      </c>
      <c r="N38" s="43"/>
      <c r="O38" s="43">
        <v>0</v>
      </c>
      <c r="P38" s="43"/>
      <c r="Q38" s="43">
        <v>602730.74</v>
      </c>
      <c r="R38" s="43"/>
      <c r="S38" s="43">
        <v>0</v>
      </c>
      <c r="T38" s="43"/>
      <c r="U38" s="43">
        <v>1178.76</v>
      </c>
      <c r="V38" s="43"/>
      <c r="W38" s="43">
        <v>11891.34</v>
      </c>
      <c r="X38" s="43"/>
      <c r="Y38" s="43">
        <v>0</v>
      </c>
      <c r="Z38" s="43"/>
      <c r="AA38" s="43">
        <v>0</v>
      </c>
      <c r="AB38" s="43"/>
      <c r="AC38" s="43">
        <f t="shared" ref="AC38:AC42" si="10">SUM(O38:AA38)</f>
        <v>615800.84</v>
      </c>
      <c r="AD38" s="43"/>
      <c r="AE38" s="43">
        <f t="shared" ref="AE38:AE42" si="11">AC38+M38</f>
        <v>13617.119999999995</v>
      </c>
      <c r="AF38" s="43"/>
      <c r="AG38" s="43">
        <v>679365.47</v>
      </c>
      <c r="AH38" s="43"/>
      <c r="AI38" s="43">
        <f t="shared" si="4"/>
        <v>692982.59</v>
      </c>
    </row>
    <row r="39" spans="1:35" ht="12" customHeight="1" x14ac:dyDescent="0.2">
      <c r="A39" s="15" t="s">
        <v>109</v>
      </c>
      <c r="B39" s="4"/>
      <c r="C39" s="15" t="s">
        <v>14</v>
      </c>
      <c r="D39" s="4"/>
      <c r="E39" s="43">
        <v>242062</v>
      </c>
      <c r="F39" s="43"/>
      <c r="G39" s="43">
        <v>8210</v>
      </c>
      <c r="H39" s="43"/>
      <c r="I39" s="43">
        <v>505</v>
      </c>
      <c r="J39" s="43"/>
      <c r="K39" s="43">
        <v>0</v>
      </c>
      <c r="L39" s="43"/>
      <c r="M39" s="43">
        <f t="shared" si="3"/>
        <v>-233347</v>
      </c>
      <c r="N39" s="43"/>
      <c r="O39" s="43">
        <v>0</v>
      </c>
      <c r="P39" s="43"/>
      <c r="Q39" s="43">
        <v>217268</v>
      </c>
      <c r="R39" s="43"/>
      <c r="S39" s="43">
        <v>0</v>
      </c>
      <c r="T39" s="43"/>
      <c r="U39" s="43">
        <v>898</v>
      </c>
      <c r="V39" s="43"/>
      <c r="W39" s="43">
        <v>59</v>
      </c>
      <c r="X39" s="43"/>
      <c r="Y39" s="43">
        <v>0</v>
      </c>
      <c r="Z39" s="43"/>
      <c r="AA39" s="43">
        <v>0</v>
      </c>
      <c r="AB39" s="43"/>
      <c r="AC39" s="43">
        <f t="shared" si="10"/>
        <v>218225</v>
      </c>
      <c r="AD39" s="43"/>
      <c r="AE39" s="43">
        <f t="shared" si="11"/>
        <v>-15122</v>
      </c>
      <c r="AF39" s="43"/>
      <c r="AG39" s="43">
        <v>1320138</v>
      </c>
      <c r="AH39" s="43"/>
      <c r="AI39" s="43">
        <f t="shared" si="4"/>
        <v>1305016</v>
      </c>
    </row>
    <row r="40" spans="1:35" ht="12" hidden="1" customHeight="1" x14ac:dyDescent="0.2">
      <c r="A40" s="15" t="s">
        <v>556</v>
      </c>
      <c r="B40" s="4"/>
      <c r="C40" s="15" t="s">
        <v>47</v>
      </c>
      <c r="D40" s="4"/>
      <c r="E40" s="43">
        <v>2697535.63</v>
      </c>
      <c r="F40" s="43"/>
      <c r="G40" s="43">
        <v>52681.62</v>
      </c>
      <c r="H40" s="43"/>
      <c r="I40" s="43">
        <v>6454.05</v>
      </c>
      <c r="J40" s="43"/>
      <c r="K40" s="43">
        <v>0</v>
      </c>
      <c r="L40" s="43"/>
      <c r="M40" s="43">
        <f t="shared" si="3"/>
        <v>-2638399.96</v>
      </c>
      <c r="N40" s="43"/>
      <c r="O40" s="43">
        <v>1156291.57</v>
      </c>
      <c r="P40" s="43"/>
      <c r="Q40" s="43">
        <v>2265748</v>
      </c>
      <c r="R40" s="43"/>
      <c r="S40" s="43">
        <v>0</v>
      </c>
      <c r="T40" s="43"/>
      <c r="U40" s="43">
        <v>6130.76</v>
      </c>
      <c r="V40" s="43"/>
      <c r="W40" s="43">
        <v>12947.13</v>
      </c>
      <c r="X40" s="43"/>
      <c r="Y40" s="43">
        <v>0</v>
      </c>
      <c r="Z40" s="43"/>
      <c r="AA40" s="43">
        <v>0</v>
      </c>
      <c r="AB40" s="43"/>
      <c r="AC40" s="43">
        <f t="shared" si="10"/>
        <v>3441117.46</v>
      </c>
      <c r="AD40" s="43"/>
      <c r="AE40" s="43">
        <f t="shared" si="11"/>
        <v>802717.5</v>
      </c>
      <c r="AF40" s="43"/>
      <c r="AG40" s="43">
        <v>565372.54</v>
      </c>
      <c r="AH40" s="43"/>
      <c r="AI40" s="43">
        <f t="shared" si="4"/>
        <v>1368090.04</v>
      </c>
    </row>
    <row r="41" spans="1:35" ht="12" hidden="1" customHeight="1" x14ac:dyDescent="0.2">
      <c r="A41" s="15" t="s">
        <v>614</v>
      </c>
      <c r="B41" s="4"/>
      <c r="C41" s="15" t="s">
        <v>565</v>
      </c>
      <c r="D41" s="4"/>
      <c r="E41" s="43"/>
      <c r="F41" s="43"/>
      <c r="G41" s="43"/>
      <c r="H41" s="43"/>
      <c r="I41" s="43"/>
      <c r="J41" s="43"/>
      <c r="K41" s="43"/>
      <c r="L41" s="43"/>
      <c r="M41" s="43">
        <f t="shared" si="3"/>
        <v>0</v>
      </c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>
        <f t="shared" si="10"/>
        <v>0</v>
      </c>
      <c r="AD41" s="43"/>
      <c r="AE41" s="43">
        <f t="shared" si="11"/>
        <v>0</v>
      </c>
      <c r="AF41" s="43"/>
      <c r="AG41" s="43"/>
      <c r="AH41" s="43"/>
      <c r="AI41" s="43">
        <f t="shared" si="4"/>
        <v>0</v>
      </c>
    </row>
    <row r="42" spans="1:35" ht="12" customHeight="1" x14ac:dyDescent="0.2">
      <c r="A42" s="15" t="s">
        <v>111</v>
      </c>
      <c r="B42" s="4"/>
      <c r="C42" s="15" t="s">
        <v>112</v>
      </c>
      <c r="D42" s="4"/>
      <c r="E42" s="43">
        <v>4895996</v>
      </c>
      <c r="F42" s="43"/>
      <c r="G42" s="43">
        <f>95571+30</f>
        <v>95601</v>
      </c>
      <c r="H42" s="43"/>
      <c r="I42" s="43">
        <v>37125</v>
      </c>
      <c r="J42" s="43"/>
      <c r="K42" s="43">
        <v>0</v>
      </c>
      <c r="L42" s="43"/>
      <c r="M42" s="43">
        <f t="shared" si="3"/>
        <v>-4763270</v>
      </c>
      <c r="N42" s="43"/>
      <c r="O42" s="43">
        <v>2439654</v>
      </c>
      <c r="P42" s="43"/>
      <c r="Q42" s="43">
        <v>4061982</v>
      </c>
      <c r="R42" s="43"/>
      <c r="S42" s="43">
        <v>0</v>
      </c>
      <c r="T42" s="43"/>
      <c r="U42" s="43">
        <v>7284</v>
      </c>
      <c r="V42" s="43"/>
      <c r="W42" s="43">
        <f>46899+21283</f>
        <v>68182</v>
      </c>
      <c r="X42" s="43"/>
      <c r="Y42" s="43">
        <v>0</v>
      </c>
      <c r="Z42" s="43"/>
      <c r="AA42" s="43">
        <v>0</v>
      </c>
      <c r="AB42" s="43"/>
      <c r="AC42" s="43">
        <f t="shared" si="10"/>
        <v>6577102</v>
      </c>
      <c r="AD42" s="43"/>
      <c r="AE42" s="43">
        <f t="shared" si="11"/>
        <v>1813832</v>
      </c>
      <c r="AF42" s="43"/>
      <c r="AG42" s="43">
        <v>6797477</v>
      </c>
      <c r="AH42" s="43"/>
      <c r="AI42" s="43">
        <f t="shared" si="4"/>
        <v>8611309</v>
      </c>
    </row>
    <row r="43" spans="1:35" ht="12" customHeight="1" x14ac:dyDescent="0.2">
      <c r="A43" s="4" t="s">
        <v>113</v>
      </c>
      <c r="B43" s="4"/>
      <c r="C43" s="4" t="s">
        <v>114</v>
      </c>
      <c r="D43" s="4"/>
      <c r="E43" s="43">
        <f>8922627-1321804</f>
        <v>7600823</v>
      </c>
      <c r="F43" s="43"/>
      <c r="G43" s="43">
        <v>233087</v>
      </c>
      <c r="H43" s="43"/>
      <c r="I43" s="43">
        <v>34398</v>
      </c>
      <c r="J43" s="43"/>
      <c r="K43" s="43">
        <v>0</v>
      </c>
      <c r="L43" s="43"/>
      <c r="M43" s="43">
        <f t="shared" si="3"/>
        <v>-7333338</v>
      </c>
      <c r="N43" s="43"/>
      <c r="O43" s="43">
        <v>3279824</v>
      </c>
      <c r="P43" s="43"/>
      <c r="Q43" s="43">
        <f>4612663+423967</f>
        <v>5036630</v>
      </c>
      <c r="R43" s="43"/>
      <c r="S43" s="43">
        <v>0</v>
      </c>
      <c r="T43" s="43"/>
      <c r="U43" s="43">
        <v>12190</v>
      </c>
      <c r="V43" s="43"/>
      <c r="W43" s="43">
        <f>32616-6257</f>
        <v>26359</v>
      </c>
      <c r="X43" s="43"/>
      <c r="Y43" s="43">
        <v>0</v>
      </c>
      <c r="Z43" s="43"/>
      <c r="AA43" s="43">
        <v>0</v>
      </c>
      <c r="AB43" s="43"/>
      <c r="AC43" s="43">
        <f>SUM(O43:AA43)</f>
        <v>8355003</v>
      </c>
      <c r="AD43" s="43"/>
      <c r="AE43" s="43">
        <f>AC43+M43</f>
        <v>1021665</v>
      </c>
      <c r="AF43" s="43"/>
      <c r="AG43" s="43">
        <v>12235762</v>
      </c>
      <c r="AH43" s="43"/>
      <c r="AI43" s="43">
        <f t="shared" si="4"/>
        <v>13257427</v>
      </c>
    </row>
    <row r="44" spans="1:35" ht="12" customHeight="1" x14ac:dyDescent="0.2">
      <c r="A44" s="12" t="s">
        <v>611</v>
      </c>
      <c r="B44" s="15"/>
      <c r="C44" s="15" t="s">
        <v>17</v>
      </c>
      <c r="D44" s="15"/>
      <c r="E44" s="43">
        <v>7709088</v>
      </c>
      <c r="F44" s="43"/>
      <c r="G44" s="43">
        <f>98859+37493</f>
        <v>136352</v>
      </c>
      <c r="H44" s="43"/>
      <c r="I44" s="43">
        <v>20293</v>
      </c>
      <c r="J44" s="43"/>
      <c r="K44" s="43">
        <v>0</v>
      </c>
      <c r="L44" s="43"/>
      <c r="M44" s="43">
        <f t="shared" si="3"/>
        <v>-7552443</v>
      </c>
      <c r="N44" s="43"/>
      <c r="O44" s="43">
        <v>5550237</v>
      </c>
      <c r="P44" s="43"/>
      <c r="Q44" s="43">
        <v>3125516</v>
      </c>
      <c r="R44" s="43"/>
      <c r="S44" s="43">
        <v>0</v>
      </c>
      <c r="T44" s="43"/>
      <c r="U44" s="43">
        <v>24330</v>
      </c>
      <c r="V44" s="43"/>
      <c r="W44" s="43">
        <v>47928</v>
      </c>
      <c r="X44" s="43"/>
      <c r="Y44" s="43">
        <v>0</v>
      </c>
      <c r="Z44" s="43"/>
      <c r="AA44" s="43">
        <v>0</v>
      </c>
      <c r="AB44" s="43"/>
      <c r="AC44" s="43">
        <f>SUM(O44:AA44)</f>
        <v>8748011</v>
      </c>
      <c r="AD44" s="43"/>
      <c r="AE44" s="43">
        <f>AC44+M44</f>
        <v>1195568</v>
      </c>
      <c r="AF44" s="43"/>
      <c r="AG44" s="43">
        <v>6178707</v>
      </c>
      <c r="AH44" s="43"/>
      <c r="AI44" s="43">
        <f t="shared" si="4"/>
        <v>7374275</v>
      </c>
    </row>
    <row r="45" spans="1:35" ht="12" customHeight="1" x14ac:dyDescent="0.2">
      <c r="A45" s="12" t="s">
        <v>612</v>
      </c>
      <c r="B45" s="12"/>
      <c r="C45" s="12" t="s">
        <v>17</v>
      </c>
      <c r="D45" s="15"/>
      <c r="E45" s="43">
        <v>59221673</v>
      </c>
      <c r="F45" s="43"/>
      <c r="G45" s="43">
        <f>3021846+379732</f>
        <v>3401578</v>
      </c>
      <c r="H45" s="43"/>
      <c r="I45" s="43">
        <v>1354106</v>
      </c>
      <c r="J45" s="43"/>
      <c r="K45" s="43">
        <v>0</v>
      </c>
      <c r="L45" s="43"/>
      <c r="M45" s="43">
        <f t="shared" si="3"/>
        <v>-54465989</v>
      </c>
      <c r="N45" s="43"/>
      <c r="O45" s="43">
        <v>27604803</v>
      </c>
      <c r="P45" s="43"/>
      <c r="Q45" s="43">
        <v>27876287</v>
      </c>
      <c r="R45" s="43"/>
      <c r="S45" s="43">
        <v>0</v>
      </c>
      <c r="T45" s="43"/>
      <c r="U45" s="43">
        <v>1940004</v>
      </c>
      <c r="V45" s="43"/>
      <c r="W45" s="43">
        <f>811191+6420</f>
        <v>817611</v>
      </c>
      <c r="X45" s="43"/>
      <c r="Y45" s="43">
        <v>0</v>
      </c>
      <c r="Z45" s="43"/>
      <c r="AA45" s="43">
        <v>0</v>
      </c>
      <c r="AB45" s="43"/>
      <c r="AC45" s="43">
        <f>SUM(O45:AA45)</f>
        <v>58238705</v>
      </c>
      <c r="AD45" s="43"/>
      <c r="AE45" s="43">
        <f>AC45+M45</f>
        <v>3772716</v>
      </c>
      <c r="AF45" s="43"/>
      <c r="AG45" s="43">
        <v>63391492</v>
      </c>
      <c r="AH45" s="43"/>
      <c r="AI45" s="43">
        <f t="shared" si="4"/>
        <v>67164208</v>
      </c>
    </row>
    <row r="46" spans="1:35" ht="12" hidden="1" customHeight="1" x14ac:dyDescent="0.2">
      <c r="A46" s="4" t="s">
        <v>70</v>
      </c>
      <c r="B46" s="4"/>
      <c r="C46" s="4" t="s">
        <v>48</v>
      </c>
      <c r="D46" s="4"/>
      <c r="E46" s="43">
        <v>196319.9</v>
      </c>
      <c r="F46" s="43"/>
      <c r="G46" s="43">
        <v>6178.82</v>
      </c>
      <c r="H46" s="43"/>
      <c r="I46" s="43">
        <v>0</v>
      </c>
      <c r="J46" s="43"/>
      <c r="K46" s="43">
        <v>0</v>
      </c>
      <c r="L46" s="43"/>
      <c r="M46" s="43">
        <v>-190141.08</v>
      </c>
      <c r="N46" s="43"/>
      <c r="O46" s="43">
        <v>0</v>
      </c>
      <c r="P46" s="43"/>
      <c r="Q46" s="43">
        <v>208022.93</v>
      </c>
      <c r="R46" s="43"/>
      <c r="S46" s="43">
        <v>0</v>
      </c>
      <c r="T46" s="43"/>
      <c r="U46" s="43">
        <v>548.85</v>
      </c>
      <c r="V46" s="43"/>
      <c r="W46" s="43">
        <v>1078.0899999999999</v>
      </c>
      <c r="X46" s="43"/>
      <c r="Y46" s="43">
        <v>0</v>
      </c>
      <c r="Z46" s="43"/>
      <c r="AA46" s="43">
        <v>0</v>
      </c>
      <c r="AB46" s="43"/>
      <c r="AC46" s="43">
        <f t="shared" ref="AC46" si="12">SUM(O46:AA46)</f>
        <v>209649.87</v>
      </c>
      <c r="AD46" s="43"/>
      <c r="AE46" s="43">
        <v>19508.79</v>
      </c>
      <c r="AF46" s="43"/>
      <c r="AG46" s="43">
        <v>136153.46</v>
      </c>
      <c r="AH46" s="43"/>
      <c r="AI46" s="43">
        <v>155662.25</v>
      </c>
    </row>
    <row r="47" spans="1:35" ht="12" customHeight="1" x14ac:dyDescent="0.2">
      <c r="A47" s="4" t="s">
        <v>613</v>
      </c>
      <c r="B47" s="4"/>
      <c r="C47" s="4" t="s">
        <v>90</v>
      </c>
      <c r="D47" s="4"/>
      <c r="E47" s="43">
        <v>59135677</v>
      </c>
      <c r="F47" s="43"/>
      <c r="G47" s="43">
        <f>1432550+729855</f>
        <v>2162405</v>
      </c>
      <c r="H47" s="43"/>
      <c r="I47" s="43">
        <v>315078</v>
      </c>
      <c r="J47" s="43"/>
      <c r="K47" s="43">
        <v>0</v>
      </c>
      <c r="L47" s="43"/>
      <c r="M47" s="43">
        <f t="shared" si="3"/>
        <v>-56658194</v>
      </c>
      <c r="N47" s="43"/>
      <c r="O47" s="43">
        <v>52129754</v>
      </c>
      <c r="P47" s="43"/>
      <c r="Q47" s="43">
        <f>18823978+95828</f>
        <v>18919806</v>
      </c>
      <c r="R47" s="43"/>
      <c r="S47" s="43">
        <v>0</v>
      </c>
      <c r="T47" s="43"/>
      <c r="U47" s="43">
        <v>213963</v>
      </c>
      <c r="V47" s="43"/>
      <c r="W47" s="43">
        <f>1458851+99435518</f>
        <v>100894369</v>
      </c>
      <c r="X47" s="43"/>
      <c r="Y47" s="43">
        <v>0</v>
      </c>
      <c r="Z47" s="43"/>
      <c r="AA47" s="43">
        <v>0</v>
      </c>
      <c r="AB47" s="43"/>
      <c r="AC47" s="43">
        <f>SUM(O47:AA47)</f>
        <v>172157892</v>
      </c>
      <c r="AD47" s="43"/>
      <c r="AE47" s="43">
        <f>AC47+M47</f>
        <v>115499698</v>
      </c>
      <c r="AF47" s="43"/>
      <c r="AG47" s="43">
        <f>36944827</f>
        <v>36944827</v>
      </c>
      <c r="AH47" s="43"/>
      <c r="AI47" s="43">
        <f t="shared" si="4"/>
        <v>152444525</v>
      </c>
    </row>
    <row r="48" spans="1:35" ht="12" hidden="1" customHeight="1" x14ac:dyDescent="0.2">
      <c r="A48" s="15" t="s">
        <v>358</v>
      </c>
      <c r="B48" s="15"/>
      <c r="C48" s="15" t="s">
        <v>68</v>
      </c>
      <c r="D48" s="15"/>
      <c r="E48" s="43">
        <v>895533.3</v>
      </c>
      <c r="F48" s="43"/>
      <c r="G48" s="43">
        <v>22355.3</v>
      </c>
      <c r="H48" s="43"/>
      <c r="I48" s="43">
        <v>15936.69</v>
      </c>
      <c r="J48" s="43"/>
      <c r="K48" s="43">
        <v>0</v>
      </c>
      <c r="L48" s="43"/>
      <c r="M48" s="43">
        <f t="shared" si="3"/>
        <v>-857241.31</v>
      </c>
      <c r="N48" s="43"/>
      <c r="O48" s="43">
        <v>661569.16</v>
      </c>
      <c r="P48" s="43"/>
      <c r="Q48" s="43">
        <v>558647.80000000005</v>
      </c>
      <c r="R48" s="43"/>
      <c r="S48" s="43">
        <v>0</v>
      </c>
      <c r="T48" s="43"/>
      <c r="U48" s="43">
        <v>6538.89</v>
      </c>
      <c r="V48" s="43"/>
      <c r="W48" s="43">
        <v>473.91</v>
      </c>
      <c r="X48" s="43"/>
      <c r="Y48" s="43">
        <v>0</v>
      </c>
      <c r="Z48" s="43"/>
      <c r="AA48" s="43">
        <v>0</v>
      </c>
      <c r="AB48" s="43"/>
      <c r="AC48" s="43">
        <f t="shared" ref="AC48:AC50" si="13">SUM(O48:AA48)</f>
        <v>1227229.7599999998</v>
      </c>
      <c r="AD48" s="43"/>
      <c r="AE48" s="43">
        <f t="shared" ref="AE48:AE50" si="14">AC48+M48</f>
        <v>369988.44999999972</v>
      </c>
      <c r="AF48" s="43"/>
      <c r="AG48" s="43">
        <v>657039.94999999995</v>
      </c>
      <c r="AH48" s="43"/>
      <c r="AI48" s="43">
        <f t="shared" si="4"/>
        <v>1027028.3999999997</v>
      </c>
    </row>
    <row r="49" spans="1:35" ht="12" customHeight="1" x14ac:dyDescent="0.2">
      <c r="A49" s="15" t="s">
        <v>117</v>
      </c>
      <c r="B49" s="15"/>
      <c r="C49" s="15" t="s">
        <v>41</v>
      </c>
      <c r="D49" s="15"/>
      <c r="E49" s="43">
        <v>497844</v>
      </c>
      <c r="F49" s="43"/>
      <c r="G49" s="43">
        <f>4860+130</f>
        <v>4990</v>
      </c>
      <c r="H49" s="43"/>
      <c r="I49" s="43">
        <v>2950</v>
      </c>
      <c r="J49" s="43"/>
      <c r="K49" s="43">
        <v>0</v>
      </c>
      <c r="L49" s="43"/>
      <c r="M49" s="43">
        <f t="shared" si="3"/>
        <v>-489904</v>
      </c>
      <c r="N49" s="43"/>
      <c r="O49" s="43">
        <v>416275</v>
      </c>
      <c r="P49" s="43"/>
      <c r="Q49" s="43">
        <v>0</v>
      </c>
      <c r="R49" s="43"/>
      <c r="S49" s="43">
        <v>0</v>
      </c>
      <c r="T49" s="43"/>
      <c r="U49" s="43">
        <v>811</v>
      </c>
      <c r="V49" s="43"/>
      <c r="W49" s="43">
        <v>17761</v>
      </c>
      <c r="X49" s="43"/>
      <c r="Y49" s="43">
        <v>0</v>
      </c>
      <c r="Z49" s="43"/>
      <c r="AA49" s="43">
        <v>0</v>
      </c>
      <c r="AB49" s="43"/>
      <c r="AC49" s="43">
        <f t="shared" si="13"/>
        <v>434847</v>
      </c>
      <c r="AD49" s="43"/>
      <c r="AE49" s="43">
        <f t="shared" si="14"/>
        <v>-55057</v>
      </c>
      <c r="AF49" s="43"/>
      <c r="AG49" s="43">
        <v>475266</v>
      </c>
      <c r="AH49" s="43"/>
      <c r="AI49" s="43">
        <f t="shared" si="4"/>
        <v>420209</v>
      </c>
    </row>
    <row r="50" spans="1:35" ht="12" customHeight="1" x14ac:dyDescent="0.2">
      <c r="A50" s="15" t="s">
        <v>118</v>
      </c>
      <c r="B50" s="15"/>
      <c r="C50" s="15" t="s">
        <v>119</v>
      </c>
      <c r="D50" s="15"/>
      <c r="E50" s="43">
        <v>1230687</v>
      </c>
      <c r="F50" s="43"/>
      <c r="G50" s="43">
        <v>38042</v>
      </c>
      <c r="H50" s="43"/>
      <c r="I50" s="43">
        <v>130230</v>
      </c>
      <c r="J50" s="43"/>
      <c r="K50" s="43">
        <v>0</v>
      </c>
      <c r="L50" s="43"/>
      <c r="M50" s="43">
        <f t="shared" si="3"/>
        <v>-1062415</v>
      </c>
      <c r="N50" s="43"/>
      <c r="O50" s="43">
        <v>0</v>
      </c>
      <c r="P50" s="43"/>
      <c r="Q50" s="43">
        <f>1038942+5084</f>
        <v>1044026</v>
      </c>
      <c r="R50" s="43"/>
      <c r="S50" s="43">
        <v>0</v>
      </c>
      <c r="T50" s="43"/>
      <c r="U50" s="43">
        <v>9468</v>
      </c>
      <c r="V50" s="43"/>
      <c r="W50" s="43">
        <f>6073+1481</f>
        <v>7554</v>
      </c>
      <c r="X50" s="43"/>
      <c r="Y50" s="43">
        <v>0</v>
      </c>
      <c r="Z50" s="43"/>
      <c r="AA50" s="43">
        <v>0</v>
      </c>
      <c r="AB50" s="43"/>
      <c r="AC50" s="43">
        <f t="shared" si="13"/>
        <v>1061048</v>
      </c>
      <c r="AD50" s="43"/>
      <c r="AE50" s="43">
        <f t="shared" si="14"/>
        <v>-1367</v>
      </c>
      <c r="AF50" s="43"/>
      <c r="AG50" s="43">
        <v>1737732</v>
      </c>
      <c r="AH50" s="43"/>
      <c r="AI50" s="43">
        <f t="shared" si="4"/>
        <v>1736365</v>
      </c>
    </row>
    <row r="51" spans="1:35" ht="12" hidden="1" customHeight="1" x14ac:dyDescent="0.2">
      <c r="A51" s="12" t="s">
        <v>359</v>
      </c>
      <c r="B51" s="15"/>
      <c r="C51" s="15" t="s">
        <v>50</v>
      </c>
      <c r="D51" s="15"/>
      <c r="E51" s="43"/>
      <c r="F51" s="43"/>
      <c r="G51" s="43"/>
      <c r="H51" s="43"/>
      <c r="I51" s="43"/>
      <c r="J51" s="43"/>
      <c r="K51" s="43"/>
      <c r="L51" s="43"/>
      <c r="M51" s="43">
        <f t="shared" si="3"/>
        <v>0</v>
      </c>
      <c r="N51" s="43"/>
      <c r="O51" s="43"/>
      <c r="P51" s="43"/>
      <c r="Q51" s="43"/>
      <c r="R51" s="43"/>
      <c r="S51" s="43">
        <v>0</v>
      </c>
      <c r="T51" s="43"/>
      <c r="U51" s="43"/>
      <c r="V51" s="43"/>
      <c r="W51" s="43"/>
      <c r="X51" s="43"/>
      <c r="Y51" s="43"/>
      <c r="Z51" s="43"/>
      <c r="AA51" s="43"/>
      <c r="AB51" s="43"/>
      <c r="AC51" s="43">
        <f t="shared" ref="AC51:AC62" si="15">SUM(O51:AA51)</f>
        <v>0</v>
      </c>
      <c r="AD51" s="43"/>
      <c r="AE51" s="43">
        <f t="shared" ref="AE51:AE62" si="16">AC51+M51</f>
        <v>0</v>
      </c>
      <c r="AF51" s="43"/>
      <c r="AG51" s="43"/>
      <c r="AH51" s="43"/>
      <c r="AI51" s="43">
        <f t="shared" si="4"/>
        <v>0</v>
      </c>
    </row>
    <row r="52" spans="1:35" ht="12" customHeight="1" x14ac:dyDescent="0.2">
      <c r="A52" s="12" t="s">
        <v>617</v>
      </c>
      <c r="B52" s="15"/>
      <c r="C52" s="15" t="s">
        <v>17</v>
      </c>
      <c r="D52" s="15"/>
      <c r="E52" s="43">
        <v>97928115</v>
      </c>
      <c r="F52" s="43"/>
      <c r="G52" s="43">
        <f>1302806+8503</f>
        <v>1311309</v>
      </c>
      <c r="H52" s="43"/>
      <c r="I52" s="43">
        <v>3509015</v>
      </c>
      <c r="J52" s="43"/>
      <c r="K52" s="43">
        <v>0</v>
      </c>
      <c r="L52" s="43"/>
      <c r="M52" s="43">
        <f t="shared" si="3"/>
        <v>-93107791</v>
      </c>
      <c r="N52" s="43"/>
      <c r="O52" s="43">
        <v>38862567</v>
      </c>
      <c r="P52" s="43"/>
      <c r="Q52" s="43">
        <v>25661599</v>
      </c>
      <c r="R52" s="43"/>
      <c r="S52" s="43">
        <v>0</v>
      </c>
      <c r="T52" s="43"/>
      <c r="U52" s="43">
        <v>310765</v>
      </c>
      <c r="V52" s="43"/>
      <c r="W52" s="43">
        <f>48874+121448-2491500+2784</f>
        <v>-2318394</v>
      </c>
      <c r="X52" s="43"/>
      <c r="Y52" s="43">
        <v>0</v>
      </c>
      <c r="Z52" s="43"/>
      <c r="AA52" s="43">
        <v>0</v>
      </c>
      <c r="AB52" s="43"/>
      <c r="AC52" s="43">
        <f t="shared" si="15"/>
        <v>62516537</v>
      </c>
      <c r="AD52" s="43"/>
      <c r="AE52" s="43">
        <f t="shared" si="16"/>
        <v>-30591254</v>
      </c>
      <c r="AF52" s="43"/>
      <c r="AG52" s="43">
        <v>114708516</v>
      </c>
      <c r="AH52" s="43"/>
      <c r="AI52" s="43">
        <f t="shared" si="4"/>
        <v>84117262</v>
      </c>
    </row>
    <row r="53" spans="1:35" ht="12" customHeight="1" x14ac:dyDescent="0.2">
      <c r="A53" s="12" t="s">
        <v>602</v>
      </c>
      <c r="B53" s="15"/>
      <c r="C53" s="15" t="s">
        <v>20</v>
      </c>
      <c r="D53" s="15"/>
      <c r="E53" s="43">
        <v>2405130</v>
      </c>
      <c r="F53" s="43"/>
      <c r="G53" s="43">
        <v>17719</v>
      </c>
      <c r="H53" s="43"/>
      <c r="I53" s="43">
        <v>4204</v>
      </c>
      <c r="J53" s="43"/>
      <c r="K53" s="43">
        <v>0</v>
      </c>
      <c r="L53" s="43"/>
      <c r="M53" s="43">
        <f t="shared" si="3"/>
        <v>-2383207</v>
      </c>
      <c r="N53" s="43"/>
      <c r="O53" s="43">
        <v>1383112</v>
      </c>
      <c r="P53" s="43"/>
      <c r="Q53" s="43">
        <f>1260949</f>
        <v>1260949</v>
      </c>
      <c r="R53" s="43"/>
      <c r="S53" s="43">
        <v>0</v>
      </c>
      <c r="T53" s="43"/>
      <c r="U53" s="43">
        <v>1282</v>
      </c>
      <c r="V53" s="43"/>
      <c r="W53" s="43">
        <v>6263</v>
      </c>
      <c r="X53" s="43"/>
      <c r="Y53" s="43">
        <v>0</v>
      </c>
      <c r="Z53" s="43"/>
      <c r="AA53" s="43">
        <v>0</v>
      </c>
      <c r="AB53" s="43"/>
      <c r="AC53" s="43">
        <f t="shared" si="15"/>
        <v>2651606</v>
      </c>
      <c r="AD53" s="43"/>
      <c r="AE53" s="43">
        <f t="shared" si="16"/>
        <v>268399</v>
      </c>
      <c r="AF53" s="43"/>
      <c r="AG53" s="43">
        <v>1163677</v>
      </c>
      <c r="AH53" s="43"/>
      <c r="AI53" s="43">
        <f t="shared" si="4"/>
        <v>1432076</v>
      </c>
    </row>
    <row r="54" spans="1:35" ht="12" customHeight="1" x14ac:dyDescent="0.2">
      <c r="A54" s="3" t="s">
        <v>122</v>
      </c>
      <c r="B54" s="12"/>
      <c r="C54" s="3" t="s">
        <v>53</v>
      </c>
      <c r="D54" s="15"/>
      <c r="E54" s="43">
        <v>25604656</v>
      </c>
      <c r="F54" s="43"/>
      <c r="G54" s="43">
        <f>588651+80350</f>
        <v>669001</v>
      </c>
      <c r="H54" s="43"/>
      <c r="I54" s="43">
        <v>122000</v>
      </c>
      <c r="J54" s="43"/>
      <c r="K54" s="43">
        <v>0</v>
      </c>
      <c r="L54" s="43"/>
      <c r="M54" s="43">
        <f t="shared" si="3"/>
        <v>-24813655</v>
      </c>
      <c r="N54" s="43"/>
      <c r="O54" s="43">
        <v>10739697</v>
      </c>
      <c r="P54" s="43"/>
      <c r="Q54" s="43">
        <v>16368092</v>
      </c>
      <c r="R54" s="43"/>
      <c r="S54" s="43">
        <v>0</v>
      </c>
      <c r="T54" s="43"/>
      <c r="U54" s="43">
        <v>207102</v>
      </c>
      <c r="V54" s="43"/>
      <c r="W54" s="43">
        <f>44044+27872</f>
        <v>71916</v>
      </c>
      <c r="X54" s="43"/>
      <c r="Y54" s="43">
        <v>0</v>
      </c>
      <c r="Z54" s="43"/>
      <c r="AA54" s="43">
        <v>0</v>
      </c>
      <c r="AB54" s="43"/>
      <c r="AC54" s="43">
        <f t="shared" si="15"/>
        <v>27386807</v>
      </c>
      <c r="AD54" s="43"/>
      <c r="AE54" s="43">
        <f t="shared" si="16"/>
        <v>2573152</v>
      </c>
      <c r="AF54" s="43"/>
      <c r="AG54" s="43">
        <v>30005038</v>
      </c>
      <c r="AH54" s="43"/>
      <c r="AI54" s="43">
        <f t="shared" si="4"/>
        <v>32578190</v>
      </c>
    </row>
    <row r="55" spans="1:35" ht="12" customHeight="1" x14ac:dyDescent="0.2">
      <c r="A55" s="12" t="s">
        <v>125</v>
      </c>
      <c r="B55" s="12"/>
      <c r="C55" s="12" t="s">
        <v>68</v>
      </c>
      <c r="D55" s="15"/>
      <c r="E55" s="43">
        <v>4858797</v>
      </c>
      <c r="F55" s="43"/>
      <c r="G55" s="43">
        <f>79353+825</f>
        <v>80178</v>
      </c>
      <c r="H55" s="43"/>
      <c r="I55" s="43">
        <v>30552</v>
      </c>
      <c r="J55" s="43"/>
      <c r="K55" s="43">
        <v>0</v>
      </c>
      <c r="L55" s="43"/>
      <c r="M55" s="43">
        <f t="shared" si="3"/>
        <v>-4748067</v>
      </c>
      <c r="N55" s="43"/>
      <c r="O55" s="43">
        <v>4057549</v>
      </c>
      <c r="P55" s="43"/>
      <c r="Q55" s="43">
        <f>1801577+534684</f>
        <v>2336261</v>
      </c>
      <c r="R55" s="43"/>
      <c r="S55" s="43">
        <v>0</v>
      </c>
      <c r="T55" s="43"/>
      <c r="U55" s="43">
        <v>46118</v>
      </c>
      <c r="V55" s="43"/>
      <c r="W55" s="43">
        <v>50834</v>
      </c>
      <c r="X55" s="43"/>
      <c r="Y55" s="43">
        <v>0</v>
      </c>
      <c r="Z55" s="43"/>
      <c r="AA55" s="43">
        <v>0</v>
      </c>
      <c r="AB55" s="43"/>
      <c r="AC55" s="43">
        <f t="shared" si="15"/>
        <v>6490762</v>
      </c>
      <c r="AD55" s="43"/>
      <c r="AE55" s="43">
        <f t="shared" si="16"/>
        <v>1742695</v>
      </c>
      <c r="AF55" s="43"/>
      <c r="AG55" s="43">
        <v>6722299</v>
      </c>
      <c r="AH55" s="43"/>
      <c r="AI55" s="43">
        <f t="shared" si="4"/>
        <v>8464994</v>
      </c>
    </row>
    <row r="56" spans="1:35" ht="12" customHeight="1" x14ac:dyDescent="0.2">
      <c r="A56" s="12" t="s">
        <v>128</v>
      </c>
      <c r="B56" s="12"/>
      <c r="C56" s="12" t="s">
        <v>61</v>
      </c>
      <c r="D56" s="15"/>
      <c r="E56" s="43">
        <v>348785</v>
      </c>
      <c r="F56" s="43"/>
      <c r="G56" s="43">
        <v>7789</v>
      </c>
      <c r="H56" s="43"/>
      <c r="I56" s="43">
        <v>20248</v>
      </c>
      <c r="J56" s="43"/>
      <c r="K56" s="43">
        <v>0</v>
      </c>
      <c r="L56" s="43"/>
      <c r="M56" s="43">
        <f t="shared" si="3"/>
        <v>-320748</v>
      </c>
      <c r="N56" s="43"/>
      <c r="O56" s="43">
        <v>146807</v>
      </c>
      <c r="P56" s="43"/>
      <c r="Q56" s="43">
        <v>238029</v>
      </c>
      <c r="R56" s="43"/>
      <c r="S56" s="43">
        <v>0</v>
      </c>
      <c r="T56" s="43"/>
      <c r="U56" s="43">
        <v>1726</v>
      </c>
      <c r="V56" s="43"/>
      <c r="W56" s="43">
        <v>0</v>
      </c>
      <c r="X56" s="43"/>
      <c r="Y56" s="43">
        <v>0</v>
      </c>
      <c r="Z56" s="43"/>
      <c r="AA56" s="43">
        <v>0</v>
      </c>
      <c r="AB56" s="43"/>
      <c r="AC56" s="43">
        <f t="shared" si="15"/>
        <v>386562</v>
      </c>
      <c r="AD56" s="43"/>
      <c r="AE56" s="43">
        <f t="shared" si="16"/>
        <v>65814</v>
      </c>
      <c r="AF56" s="43"/>
      <c r="AG56" s="43">
        <v>308714</v>
      </c>
      <c r="AH56" s="43"/>
      <c r="AI56" s="43">
        <f t="shared" si="4"/>
        <v>374528</v>
      </c>
    </row>
    <row r="57" spans="1:35" ht="12" customHeight="1" x14ac:dyDescent="0.2">
      <c r="A57" s="12" t="s">
        <v>129</v>
      </c>
      <c r="B57" s="12"/>
      <c r="C57" s="12" t="s">
        <v>24</v>
      </c>
      <c r="D57" s="15"/>
      <c r="E57" s="43">
        <v>871885</v>
      </c>
      <c r="F57" s="43"/>
      <c r="G57" s="43">
        <v>28704</v>
      </c>
      <c r="H57" s="43"/>
      <c r="I57" s="43">
        <v>6966</v>
      </c>
      <c r="J57" s="43"/>
      <c r="K57" s="43">
        <v>0</v>
      </c>
      <c r="L57" s="43"/>
      <c r="M57" s="43">
        <f t="shared" ref="M57" si="17">-E57+G57+I57+K57</f>
        <v>-836215</v>
      </c>
      <c r="N57" s="43"/>
      <c r="O57" s="43">
        <v>215653</v>
      </c>
      <c r="P57" s="43"/>
      <c r="Q57" s="43">
        <v>566222</v>
      </c>
      <c r="R57" s="43"/>
      <c r="S57" s="43">
        <v>0</v>
      </c>
      <c r="T57" s="43"/>
      <c r="U57" s="43">
        <v>530</v>
      </c>
      <c r="V57" s="43"/>
      <c r="W57" s="43">
        <v>4581</v>
      </c>
      <c r="X57" s="43"/>
      <c r="Y57" s="43">
        <v>0</v>
      </c>
      <c r="Z57" s="43"/>
      <c r="AA57" s="43">
        <v>0</v>
      </c>
      <c r="AB57" s="43"/>
      <c r="AC57" s="43">
        <f t="shared" ref="AC57" si="18">SUM(O57:AA57)</f>
        <v>786986</v>
      </c>
      <c r="AD57" s="43"/>
      <c r="AE57" s="43">
        <f t="shared" ref="AE57" si="19">AC57+M57</f>
        <v>-49229</v>
      </c>
      <c r="AF57" s="43"/>
      <c r="AG57" s="43">
        <v>922434</v>
      </c>
      <c r="AH57" s="43"/>
      <c r="AI57" s="43">
        <f t="shared" ref="AI57" si="20">AE57+AG57</f>
        <v>873205</v>
      </c>
    </row>
    <row r="58" spans="1:35" ht="12" customHeight="1" x14ac:dyDescent="0.2">
      <c r="A58" s="12" t="s">
        <v>131</v>
      </c>
      <c r="B58" s="12"/>
      <c r="C58" s="12" t="s">
        <v>24</v>
      </c>
      <c r="D58" s="15"/>
      <c r="E58" s="43">
        <f>72841+13361</f>
        <v>86202</v>
      </c>
      <c r="F58" s="43"/>
      <c r="G58" s="43">
        <v>41</v>
      </c>
      <c r="H58" s="43"/>
      <c r="I58" s="43">
        <v>54</v>
      </c>
      <c r="J58" s="43"/>
      <c r="K58" s="43">
        <v>0</v>
      </c>
      <c r="L58" s="43"/>
      <c r="M58" s="43">
        <f t="shared" ref="M58" si="21">-E58+G58+I58+K58</f>
        <v>-86107</v>
      </c>
      <c r="N58" s="43"/>
      <c r="O58" s="43">
        <v>21839</v>
      </c>
      <c r="P58" s="43"/>
      <c r="Q58" s="43">
        <v>48336</v>
      </c>
      <c r="R58" s="43"/>
      <c r="S58" s="43">
        <v>0</v>
      </c>
      <c r="T58" s="43"/>
      <c r="U58" s="43">
        <v>546</v>
      </c>
      <c r="V58" s="43"/>
      <c r="W58" s="43">
        <v>3448</v>
      </c>
      <c r="X58" s="43"/>
      <c r="Y58" s="43">
        <v>0</v>
      </c>
      <c r="Z58" s="43"/>
      <c r="AA58" s="43">
        <v>0</v>
      </c>
      <c r="AB58" s="43"/>
      <c r="AC58" s="43">
        <f t="shared" ref="AC58" si="22">SUM(O58:AA58)</f>
        <v>74169</v>
      </c>
      <c r="AD58" s="43"/>
      <c r="AE58" s="43">
        <f t="shared" ref="AE58" si="23">AC58+M58</f>
        <v>-11938</v>
      </c>
      <c r="AF58" s="43"/>
      <c r="AG58" s="43">
        <v>524157</v>
      </c>
      <c r="AH58" s="43"/>
      <c r="AI58" s="43">
        <f t="shared" ref="AI58" si="24">AE58+AG58</f>
        <v>512219</v>
      </c>
    </row>
    <row r="59" spans="1:35" ht="12" hidden="1" customHeight="1" x14ac:dyDescent="0.2">
      <c r="A59" s="15" t="s">
        <v>504</v>
      </c>
      <c r="B59" s="4"/>
      <c r="C59" s="15" t="s">
        <v>17</v>
      </c>
      <c r="D59" s="4"/>
      <c r="E59" s="43"/>
      <c r="F59" s="43"/>
      <c r="G59" s="43"/>
      <c r="H59" s="43"/>
      <c r="I59" s="43"/>
      <c r="J59" s="43"/>
      <c r="K59" s="43"/>
      <c r="L59" s="43"/>
      <c r="M59" s="43">
        <f t="shared" si="3"/>
        <v>0</v>
      </c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>
        <f t="shared" si="15"/>
        <v>0</v>
      </c>
      <c r="AD59" s="43"/>
      <c r="AE59" s="43">
        <f t="shared" si="16"/>
        <v>0</v>
      </c>
      <c r="AF59" s="43"/>
      <c r="AG59" s="43"/>
      <c r="AH59" s="43"/>
      <c r="AI59" s="43">
        <f t="shared" si="4"/>
        <v>0</v>
      </c>
    </row>
    <row r="60" spans="1:35" ht="12" customHeight="1" x14ac:dyDescent="0.2">
      <c r="A60" s="12" t="s">
        <v>421</v>
      </c>
      <c r="B60" s="12"/>
      <c r="C60" s="12" t="s">
        <v>18</v>
      </c>
      <c r="D60" s="15"/>
      <c r="E60" s="43">
        <v>1928147</v>
      </c>
      <c r="F60" s="43"/>
      <c r="G60" s="43">
        <v>56474</v>
      </c>
      <c r="H60" s="43"/>
      <c r="I60" s="43">
        <v>12501</v>
      </c>
      <c r="J60" s="43"/>
      <c r="K60" s="43">
        <v>0</v>
      </c>
      <c r="L60" s="43"/>
      <c r="M60" s="43">
        <f t="shared" si="3"/>
        <v>-1859172</v>
      </c>
      <c r="N60" s="43"/>
      <c r="O60" s="43">
        <v>900795</v>
      </c>
      <c r="P60" s="43"/>
      <c r="Q60" s="43">
        <f>824156+125841</f>
        <v>949997</v>
      </c>
      <c r="R60" s="43"/>
      <c r="S60" s="43">
        <v>0</v>
      </c>
      <c r="T60" s="43"/>
      <c r="U60" s="43">
        <v>4893</v>
      </c>
      <c r="V60" s="43"/>
      <c r="W60" s="43">
        <f>3737+15003</f>
        <v>18740</v>
      </c>
      <c r="X60" s="43"/>
      <c r="Y60" s="43">
        <v>0</v>
      </c>
      <c r="Z60" s="43"/>
      <c r="AA60" s="43">
        <v>0</v>
      </c>
      <c r="AB60" s="43"/>
      <c r="AC60" s="43">
        <f t="shared" si="15"/>
        <v>1874425</v>
      </c>
      <c r="AD60" s="43"/>
      <c r="AE60" s="43">
        <f t="shared" si="16"/>
        <v>15253</v>
      </c>
      <c r="AF60" s="43"/>
      <c r="AG60" s="43">
        <v>2076049</v>
      </c>
      <c r="AH60" s="43"/>
      <c r="AI60" s="43">
        <f t="shared" si="4"/>
        <v>2091302</v>
      </c>
    </row>
    <row r="61" spans="1:35" s="4" customFormat="1" ht="12" x14ac:dyDescent="0.2">
      <c r="A61" s="12" t="s">
        <v>16</v>
      </c>
      <c r="B61" s="12"/>
      <c r="C61" s="12" t="s">
        <v>17</v>
      </c>
      <c r="D61" s="15"/>
      <c r="E61" s="43">
        <v>4657373</v>
      </c>
      <c r="F61" s="43"/>
      <c r="G61" s="43">
        <v>118864</v>
      </c>
      <c r="H61" s="43"/>
      <c r="I61" s="43">
        <v>50507</v>
      </c>
      <c r="J61" s="43"/>
      <c r="K61" s="43">
        <v>0</v>
      </c>
      <c r="L61" s="43"/>
      <c r="M61" s="43">
        <f t="shared" si="3"/>
        <v>-4488002</v>
      </c>
      <c r="N61" s="43"/>
      <c r="O61" s="43">
        <v>2598921</v>
      </c>
      <c r="P61" s="43"/>
      <c r="Q61" s="43">
        <v>1981049</v>
      </c>
      <c r="R61" s="43"/>
      <c r="S61" s="43">
        <v>0</v>
      </c>
      <c r="T61" s="43"/>
      <c r="U61" s="43">
        <v>12792</v>
      </c>
      <c r="V61" s="43"/>
      <c r="W61" s="43">
        <v>19055</v>
      </c>
      <c r="X61" s="43"/>
      <c r="Y61" s="43">
        <v>0</v>
      </c>
      <c r="Z61" s="43"/>
      <c r="AA61" s="43">
        <v>0</v>
      </c>
      <c r="AB61" s="43"/>
      <c r="AC61" s="43">
        <f t="shared" si="15"/>
        <v>4611817</v>
      </c>
      <c r="AD61" s="43"/>
      <c r="AE61" s="43">
        <f t="shared" si="16"/>
        <v>123815</v>
      </c>
      <c r="AF61" s="43"/>
      <c r="AG61" s="43">
        <v>5617314</v>
      </c>
      <c r="AH61" s="43"/>
      <c r="AI61" s="43">
        <f t="shared" si="4"/>
        <v>5741129</v>
      </c>
    </row>
    <row r="62" spans="1:35" s="4" customFormat="1" ht="12" x14ac:dyDescent="0.2">
      <c r="A62" s="4" t="s">
        <v>619</v>
      </c>
      <c r="C62" s="4" t="s">
        <v>87</v>
      </c>
      <c r="E62" s="43">
        <v>815164</v>
      </c>
      <c r="F62" s="43"/>
      <c r="G62" s="43">
        <v>24229</v>
      </c>
      <c r="H62" s="43"/>
      <c r="I62" s="43">
        <v>6812</v>
      </c>
      <c r="J62" s="43"/>
      <c r="K62" s="43">
        <v>0</v>
      </c>
      <c r="L62" s="43"/>
      <c r="M62" s="43">
        <f t="shared" si="3"/>
        <v>-784123</v>
      </c>
      <c r="N62" s="43"/>
      <c r="O62" s="43">
        <v>403006</v>
      </c>
      <c r="P62" s="43"/>
      <c r="Q62" s="43">
        <v>595554</v>
      </c>
      <c r="R62" s="43"/>
      <c r="S62" s="43">
        <v>0</v>
      </c>
      <c r="T62" s="43"/>
      <c r="U62" s="43">
        <v>1463</v>
      </c>
      <c r="V62" s="43"/>
      <c r="W62" s="43">
        <v>11193</v>
      </c>
      <c r="X62" s="43"/>
      <c r="Y62" s="43">
        <v>15787</v>
      </c>
      <c r="Z62" s="43"/>
      <c r="AA62" s="43">
        <v>0</v>
      </c>
      <c r="AB62" s="43"/>
      <c r="AC62" s="43">
        <f t="shared" si="15"/>
        <v>1027003</v>
      </c>
      <c r="AD62" s="43"/>
      <c r="AE62" s="43">
        <f t="shared" si="16"/>
        <v>242880</v>
      </c>
      <c r="AF62" s="43"/>
      <c r="AG62" s="43">
        <v>344405</v>
      </c>
      <c r="AH62" s="43"/>
      <c r="AI62" s="43">
        <f t="shared" si="4"/>
        <v>587285</v>
      </c>
    </row>
    <row r="63" spans="1:35" s="4" customFormat="1" ht="12" x14ac:dyDescent="0.2">
      <c r="A63" s="4" t="s">
        <v>428</v>
      </c>
      <c r="C63" s="4" t="s">
        <v>65</v>
      </c>
      <c r="E63" s="43">
        <v>3171478</v>
      </c>
      <c r="F63" s="43"/>
      <c r="G63" s="43">
        <v>107789</v>
      </c>
      <c r="H63" s="43"/>
      <c r="I63" s="43">
        <v>13091</v>
      </c>
      <c r="J63" s="43"/>
      <c r="K63" s="43">
        <v>0</v>
      </c>
      <c r="L63" s="43"/>
      <c r="M63" s="43">
        <f t="shared" ref="M63" si="25">-E63+G63+I63+K63</f>
        <v>-3050598</v>
      </c>
      <c r="N63" s="43"/>
      <c r="O63" s="43">
        <v>948922</v>
      </c>
      <c r="P63" s="43"/>
      <c r="Q63" s="43">
        <f>2205780+10138</f>
        <v>2215918</v>
      </c>
      <c r="R63" s="43"/>
      <c r="S63" s="43">
        <v>0</v>
      </c>
      <c r="T63" s="43"/>
      <c r="U63" s="43">
        <v>1732</v>
      </c>
      <c r="V63" s="43"/>
      <c r="W63" s="43">
        <v>19210</v>
      </c>
      <c r="X63" s="43"/>
      <c r="Y63" s="43">
        <v>0</v>
      </c>
      <c r="Z63" s="43"/>
      <c r="AA63" s="43">
        <v>0</v>
      </c>
      <c r="AB63" s="43"/>
      <c r="AC63" s="43">
        <f t="shared" ref="AC63" si="26">SUM(O63:AA63)</f>
        <v>3185782</v>
      </c>
      <c r="AD63" s="43"/>
      <c r="AE63" s="43">
        <f t="shared" ref="AE63" si="27">AC63+M63</f>
        <v>135184</v>
      </c>
      <c r="AF63" s="43"/>
      <c r="AG63" s="43">
        <v>1921423</v>
      </c>
      <c r="AH63" s="43"/>
      <c r="AI63" s="43">
        <f t="shared" ref="AI63" si="28">AE63+AG63</f>
        <v>2056607</v>
      </c>
    </row>
    <row r="64" spans="1:35" s="4" customFormat="1" ht="12" x14ac:dyDescent="0.2">
      <c r="A64" s="4" t="s">
        <v>135</v>
      </c>
      <c r="C64" s="4" t="s">
        <v>13</v>
      </c>
      <c r="E64" s="43">
        <f>367718+1126</f>
        <v>368844</v>
      </c>
      <c r="F64" s="43"/>
      <c r="G64" s="43">
        <v>1018</v>
      </c>
      <c r="H64" s="43"/>
      <c r="I64" s="43">
        <v>10856</v>
      </c>
      <c r="J64" s="43"/>
      <c r="K64" s="43">
        <v>0</v>
      </c>
      <c r="L64" s="43"/>
      <c r="M64" s="43">
        <f t="shared" ref="M64" si="29">-E64+G64+I64+K64</f>
        <v>-356970</v>
      </c>
      <c r="N64" s="43"/>
      <c r="O64" s="43">
        <v>117853</v>
      </c>
      <c r="P64" s="43"/>
      <c r="Q64" s="43">
        <v>206740</v>
      </c>
      <c r="R64" s="43"/>
      <c r="S64" s="43">
        <v>0</v>
      </c>
      <c r="T64" s="43"/>
      <c r="U64" s="43">
        <v>1129</v>
      </c>
      <c r="V64" s="43"/>
      <c r="W64" s="43">
        <v>3259</v>
      </c>
      <c r="X64" s="43"/>
      <c r="Y64" s="43">
        <v>0</v>
      </c>
      <c r="Z64" s="43"/>
      <c r="AA64" s="43">
        <v>0</v>
      </c>
      <c r="AB64" s="43"/>
      <c r="AC64" s="43">
        <f t="shared" ref="AC64" si="30">SUM(O64:AA64)</f>
        <v>328981</v>
      </c>
      <c r="AD64" s="43"/>
      <c r="AE64" s="43">
        <f t="shared" ref="AE64" si="31">AC64+M64</f>
        <v>-27989</v>
      </c>
      <c r="AF64" s="43"/>
      <c r="AG64" s="43">
        <v>227492</v>
      </c>
      <c r="AH64" s="43"/>
      <c r="AI64" s="43">
        <f t="shared" ref="AI64" si="32">AE64+AG64</f>
        <v>199503</v>
      </c>
    </row>
    <row r="65" spans="1:35" s="4" customFormat="1" ht="12" hidden="1" x14ac:dyDescent="0.2">
      <c r="A65" s="4" t="s">
        <v>136</v>
      </c>
      <c r="C65" s="4" t="s">
        <v>137</v>
      </c>
      <c r="E65" s="43">
        <v>2770370.95</v>
      </c>
      <c r="F65" s="43"/>
      <c r="G65" s="43">
        <v>79186.740000000005</v>
      </c>
      <c r="H65" s="43"/>
      <c r="I65" s="43">
        <v>4998.58</v>
      </c>
      <c r="J65" s="43"/>
      <c r="K65" s="43">
        <v>0</v>
      </c>
      <c r="L65" s="43"/>
      <c r="M65" s="43">
        <v>-2686185.63</v>
      </c>
      <c r="N65" s="43"/>
      <c r="O65" s="43">
        <v>698884.14</v>
      </c>
      <c r="P65" s="43"/>
      <c r="Q65" s="43">
        <v>2006282.6600000001</v>
      </c>
      <c r="R65" s="43"/>
      <c r="S65" s="43">
        <v>0</v>
      </c>
      <c r="T65" s="43"/>
      <c r="U65" s="43">
        <v>7142.96</v>
      </c>
      <c r="V65" s="43"/>
      <c r="W65" s="43">
        <v>111429.32</v>
      </c>
      <c r="X65" s="43"/>
      <c r="Y65" s="43">
        <v>0</v>
      </c>
      <c r="Z65" s="43"/>
      <c r="AA65" s="43">
        <v>0</v>
      </c>
      <c r="AB65" s="43"/>
      <c r="AC65" s="43">
        <f t="shared" ref="AC65:AC70" si="33">SUM(O65:AA65)</f>
        <v>2823739.08</v>
      </c>
      <c r="AD65" s="43"/>
      <c r="AE65" s="43">
        <v>137553.45000000001</v>
      </c>
      <c r="AF65" s="43"/>
      <c r="AG65" s="43">
        <v>1890952.58</v>
      </c>
      <c r="AH65" s="43"/>
      <c r="AI65" s="43">
        <v>2028506.03</v>
      </c>
    </row>
    <row r="66" spans="1:35" s="4" customFormat="1" ht="12" x14ac:dyDescent="0.2">
      <c r="A66" s="4" t="s">
        <v>139</v>
      </c>
      <c r="C66" s="4" t="s">
        <v>48</v>
      </c>
      <c r="E66" s="43">
        <v>103869</v>
      </c>
      <c r="F66" s="43"/>
      <c r="G66" s="43">
        <v>3624</v>
      </c>
      <c r="H66" s="43"/>
      <c r="I66" s="43">
        <v>6519</v>
      </c>
      <c r="J66" s="43"/>
      <c r="K66" s="43">
        <v>0</v>
      </c>
      <c r="L66" s="43"/>
      <c r="M66" s="43">
        <f t="shared" ref="M66" si="34">-E66+G66+I66+K66</f>
        <v>-93726</v>
      </c>
      <c r="N66" s="43"/>
      <c r="O66" s="43">
        <v>0</v>
      </c>
      <c r="P66" s="43"/>
      <c r="Q66" s="43">
        <f>87979</f>
        <v>87979</v>
      </c>
      <c r="R66" s="43"/>
      <c r="S66" s="43">
        <v>0</v>
      </c>
      <c r="T66" s="43"/>
      <c r="U66" s="43">
        <v>69</v>
      </c>
      <c r="V66" s="43"/>
      <c r="W66" s="43">
        <v>1464</v>
      </c>
      <c r="X66" s="43"/>
      <c r="Y66" s="43">
        <v>0</v>
      </c>
      <c r="Z66" s="43"/>
      <c r="AA66" s="43">
        <v>0</v>
      </c>
      <c r="AB66" s="43"/>
      <c r="AC66" s="43">
        <f t="shared" ref="AC66" si="35">SUM(O66:AA66)</f>
        <v>89512</v>
      </c>
      <c r="AD66" s="43"/>
      <c r="AE66" s="43">
        <f t="shared" ref="AE66" si="36">AC66+M66</f>
        <v>-4214</v>
      </c>
      <c r="AF66" s="43"/>
      <c r="AG66" s="43">
        <v>53199</v>
      </c>
      <c r="AH66" s="43"/>
      <c r="AI66" s="43">
        <f t="shared" ref="AI66" si="37">AE66+AG66</f>
        <v>48985</v>
      </c>
    </row>
    <row r="67" spans="1:35" s="4" customFormat="1" ht="12" hidden="1" x14ac:dyDescent="0.2">
      <c r="A67" s="12" t="s">
        <v>362</v>
      </c>
      <c r="B67" s="15"/>
      <c r="C67" s="15" t="s">
        <v>52</v>
      </c>
      <c r="D67" s="15"/>
      <c r="E67" s="43">
        <v>1540753.54</v>
      </c>
      <c r="F67" s="43"/>
      <c r="G67" s="43">
        <v>43036.46</v>
      </c>
      <c r="H67" s="43"/>
      <c r="I67" s="43">
        <v>8447.02</v>
      </c>
      <c r="J67" s="43"/>
      <c r="K67" s="43">
        <v>0</v>
      </c>
      <c r="L67" s="43"/>
      <c r="M67" s="43">
        <v>-1489270.06</v>
      </c>
      <c r="N67" s="43"/>
      <c r="O67" s="43">
        <v>1135984.33</v>
      </c>
      <c r="P67" s="43"/>
      <c r="Q67" s="43">
        <v>1102921.44</v>
      </c>
      <c r="R67" s="43"/>
      <c r="S67" s="43">
        <v>0</v>
      </c>
      <c r="T67" s="43"/>
      <c r="U67" s="43">
        <v>1500.58</v>
      </c>
      <c r="V67" s="43"/>
      <c r="W67" s="43">
        <v>211.77</v>
      </c>
      <c r="X67" s="43"/>
      <c r="Y67" s="43">
        <v>0</v>
      </c>
      <c r="Z67" s="43"/>
      <c r="AA67" s="43">
        <v>0</v>
      </c>
      <c r="AB67" s="43"/>
      <c r="AC67" s="43">
        <f t="shared" si="33"/>
        <v>2240618.12</v>
      </c>
      <c r="AD67" s="43"/>
      <c r="AE67" s="43">
        <v>751348.06</v>
      </c>
      <c r="AF67" s="43"/>
      <c r="AG67" s="43">
        <v>2351162.15</v>
      </c>
      <c r="AH67" s="43"/>
      <c r="AI67" s="43">
        <v>3102510.21</v>
      </c>
    </row>
    <row r="68" spans="1:35" s="4" customFormat="1" ht="12" x14ac:dyDescent="0.2">
      <c r="A68" s="4" t="s">
        <v>301</v>
      </c>
      <c r="C68" s="4" t="s">
        <v>48</v>
      </c>
      <c r="E68" s="43">
        <v>1192202</v>
      </c>
      <c r="F68" s="43"/>
      <c r="G68" s="43">
        <f>26189+10629</f>
        <v>36818</v>
      </c>
      <c r="H68" s="43"/>
      <c r="I68" s="43">
        <v>1279</v>
      </c>
      <c r="J68" s="43"/>
      <c r="K68" s="43">
        <v>0</v>
      </c>
      <c r="L68" s="43"/>
      <c r="M68" s="43">
        <f t="shared" ref="M68" si="38">-E68+G68+I68+K68</f>
        <v>-1154105</v>
      </c>
      <c r="N68" s="43"/>
      <c r="O68" s="43">
        <v>360540</v>
      </c>
      <c r="P68" s="43"/>
      <c r="Q68" s="43">
        <v>734515</v>
      </c>
      <c r="R68" s="43"/>
      <c r="S68" s="43">
        <v>0</v>
      </c>
      <c r="T68" s="43"/>
      <c r="U68" s="43">
        <v>25395</v>
      </c>
      <c r="V68" s="43"/>
      <c r="W68" s="43">
        <v>0</v>
      </c>
      <c r="X68" s="43"/>
      <c r="Y68" s="43">
        <v>0</v>
      </c>
      <c r="Z68" s="43"/>
      <c r="AA68" s="43">
        <v>0</v>
      </c>
      <c r="AB68" s="43"/>
      <c r="AC68" s="43">
        <f t="shared" ref="AC68" si="39">SUM(O68:AA68)</f>
        <v>1120450</v>
      </c>
      <c r="AD68" s="43"/>
      <c r="AE68" s="43">
        <f t="shared" ref="AE68" si="40">AC68+M68</f>
        <v>-33655</v>
      </c>
      <c r="AF68" s="43"/>
      <c r="AG68" s="43">
        <v>541212</v>
      </c>
      <c r="AH68" s="43"/>
      <c r="AI68" s="43">
        <f t="shared" ref="AI68" si="41">AE68+AG68</f>
        <v>507557</v>
      </c>
    </row>
    <row r="69" spans="1:35" s="4" customFormat="1" ht="12" x14ac:dyDescent="0.2">
      <c r="A69" s="4" t="s">
        <v>144</v>
      </c>
      <c r="C69" s="4" t="s">
        <v>15</v>
      </c>
      <c r="E69" s="43">
        <v>8374431</v>
      </c>
      <c r="F69" s="43"/>
      <c r="G69" s="43">
        <v>176744</v>
      </c>
      <c r="H69" s="43"/>
      <c r="I69" s="43">
        <v>8283</v>
      </c>
      <c r="J69" s="43"/>
      <c r="K69" s="43">
        <v>0</v>
      </c>
      <c r="L69" s="43"/>
      <c r="M69" s="43">
        <f t="shared" ref="M69:M74" si="42">-E69+G69+I69+K69</f>
        <v>-8189404</v>
      </c>
      <c r="N69" s="43"/>
      <c r="O69" s="43">
        <v>4849994</v>
      </c>
      <c r="P69" s="43"/>
      <c r="Q69" s="43">
        <f>2485890+702995</f>
        <v>3188885</v>
      </c>
      <c r="R69" s="43"/>
      <c r="S69" s="43">
        <v>0</v>
      </c>
      <c r="T69" s="43"/>
      <c r="U69" s="43">
        <v>34998</v>
      </c>
      <c r="V69" s="43"/>
      <c r="W69" s="43">
        <v>16716</v>
      </c>
      <c r="X69" s="43"/>
      <c r="Y69" s="43">
        <v>0</v>
      </c>
      <c r="Z69" s="43"/>
      <c r="AA69" s="43">
        <v>0</v>
      </c>
      <c r="AB69" s="43"/>
      <c r="AC69" s="43">
        <f t="shared" ref="AC69" si="43">SUM(O69:AA69)</f>
        <v>8090593</v>
      </c>
      <c r="AD69" s="43"/>
      <c r="AE69" s="43">
        <f t="shared" ref="AE69:AE72" si="44">AC69+M69</f>
        <v>-98811</v>
      </c>
      <c r="AF69" s="43"/>
      <c r="AG69" s="43">
        <v>3927510</v>
      </c>
      <c r="AH69" s="43"/>
      <c r="AI69" s="43">
        <f t="shared" ref="AI69:AI72" si="45">AE69+AG69</f>
        <v>3828699</v>
      </c>
    </row>
    <row r="70" spans="1:35" s="4" customFormat="1" ht="12" hidden="1" x14ac:dyDescent="0.2">
      <c r="A70" s="12" t="s">
        <v>364</v>
      </c>
      <c r="B70" s="15"/>
      <c r="C70" s="15" t="s">
        <v>53</v>
      </c>
      <c r="D70" s="15"/>
      <c r="E70" s="43">
        <v>651372.02</v>
      </c>
      <c r="F70" s="43"/>
      <c r="G70" s="43">
        <v>14228.58</v>
      </c>
      <c r="H70" s="43"/>
      <c r="I70" s="43">
        <v>598013.18000000005</v>
      </c>
      <c r="J70" s="43"/>
      <c r="K70" s="43">
        <v>0</v>
      </c>
      <c r="L70" s="43"/>
      <c r="M70" s="43">
        <f t="shared" si="42"/>
        <v>-39130.260000000009</v>
      </c>
      <c r="N70" s="43"/>
      <c r="O70" s="43">
        <v>0</v>
      </c>
      <c r="P70" s="43"/>
      <c r="Q70" s="43">
        <v>91096</v>
      </c>
      <c r="R70" s="43"/>
      <c r="S70" s="43">
        <v>0</v>
      </c>
      <c r="T70" s="43"/>
      <c r="U70" s="43">
        <v>3061.9</v>
      </c>
      <c r="V70" s="43"/>
      <c r="W70" s="43">
        <v>1014.47</v>
      </c>
      <c r="X70" s="43"/>
      <c r="Y70" s="43">
        <v>0</v>
      </c>
      <c r="Z70" s="43"/>
      <c r="AA70" s="43">
        <v>0</v>
      </c>
      <c r="AB70" s="43"/>
      <c r="AC70" s="43">
        <f t="shared" si="33"/>
        <v>95172.37</v>
      </c>
      <c r="AD70" s="43"/>
      <c r="AE70" s="43">
        <f t="shared" si="44"/>
        <v>56042.109999999986</v>
      </c>
      <c r="AF70" s="43"/>
      <c r="AG70" s="43">
        <v>505303.14</v>
      </c>
      <c r="AH70" s="43"/>
      <c r="AI70" s="43">
        <f t="shared" si="45"/>
        <v>561345.25</v>
      </c>
    </row>
    <row r="71" spans="1:35" s="4" customFormat="1" ht="12" hidden="1" x14ac:dyDescent="0.2">
      <c r="A71" s="4" t="s">
        <v>32</v>
      </c>
      <c r="B71" s="15"/>
      <c r="C71" s="4" t="s">
        <v>54</v>
      </c>
      <c r="D71" s="15"/>
      <c r="E71" s="43"/>
      <c r="F71" s="43"/>
      <c r="G71" s="43"/>
      <c r="H71" s="43"/>
      <c r="I71" s="43"/>
      <c r="J71" s="43"/>
      <c r="K71" s="43"/>
      <c r="L71" s="43"/>
      <c r="M71" s="43">
        <f t="shared" si="42"/>
        <v>0</v>
      </c>
      <c r="N71" s="43"/>
      <c r="O71" s="43"/>
      <c r="P71" s="43"/>
      <c r="Q71" s="43"/>
      <c r="R71" s="43"/>
      <c r="S71" s="43">
        <v>0</v>
      </c>
      <c r="T71" s="43"/>
      <c r="U71" s="43"/>
      <c r="V71" s="43"/>
      <c r="W71" s="43"/>
      <c r="X71" s="43"/>
      <c r="Y71" s="43"/>
      <c r="Z71" s="43"/>
      <c r="AA71" s="43"/>
      <c r="AB71" s="43"/>
      <c r="AC71" s="43">
        <f>SUM(O71:AA71)</f>
        <v>0</v>
      </c>
      <c r="AD71" s="43"/>
      <c r="AE71" s="43">
        <f t="shared" si="44"/>
        <v>0</v>
      </c>
      <c r="AF71" s="43"/>
      <c r="AG71" s="43"/>
      <c r="AH71" s="43"/>
      <c r="AI71" s="43">
        <f t="shared" si="45"/>
        <v>0</v>
      </c>
    </row>
    <row r="72" spans="1:35" s="4" customFormat="1" ht="12" x14ac:dyDescent="0.2">
      <c r="A72" s="4" t="s">
        <v>370</v>
      </c>
      <c r="B72" s="15"/>
      <c r="C72" s="4" t="s">
        <v>55</v>
      </c>
      <c r="D72" s="15"/>
      <c r="E72" s="43">
        <v>1149779</v>
      </c>
      <c r="F72" s="43"/>
      <c r="G72" s="43">
        <v>17004</v>
      </c>
      <c r="H72" s="43"/>
      <c r="I72" s="43">
        <v>14975</v>
      </c>
      <c r="J72" s="43"/>
      <c r="K72" s="43">
        <v>0</v>
      </c>
      <c r="L72" s="43"/>
      <c r="M72" s="43">
        <f t="shared" si="42"/>
        <v>-1117800</v>
      </c>
      <c r="N72" s="43"/>
      <c r="O72" s="43">
        <v>505680</v>
      </c>
      <c r="P72" s="43"/>
      <c r="Q72" s="43">
        <f>546390+78111</f>
        <v>624501</v>
      </c>
      <c r="R72" s="43"/>
      <c r="S72" s="43">
        <v>0</v>
      </c>
      <c r="T72" s="43"/>
      <c r="U72" s="43">
        <v>3412</v>
      </c>
      <c r="V72" s="43"/>
      <c r="W72" s="43">
        <v>4055</v>
      </c>
      <c r="X72" s="43"/>
      <c r="Y72" s="43">
        <v>0</v>
      </c>
      <c r="Z72" s="43"/>
      <c r="AA72" s="43">
        <v>-9883</v>
      </c>
      <c r="AB72" s="43"/>
      <c r="AC72" s="43">
        <f t="shared" ref="AC72" si="46">SUM(O72:AA72)</f>
        <v>1127765</v>
      </c>
      <c r="AD72" s="43"/>
      <c r="AE72" s="43">
        <f t="shared" si="44"/>
        <v>9965</v>
      </c>
      <c r="AF72" s="43"/>
      <c r="AG72" s="43">
        <v>888287</v>
      </c>
      <c r="AH72" s="43"/>
      <c r="AI72" s="43">
        <f t="shared" si="45"/>
        <v>898252</v>
      </c>
    </row>
    <row r="73" spans="1:35" s="4" customFormat="1" ht="12" hidden="1" x14ac:dyDescent="0.2">
      <c r="A73" s="4" t="s">
        <v>571</v>
      </c>
      <c r="C73" s="15" t="s">
        <v>41</v>
      </c>
      <c r="E73" s="43"/>
      <c r="F73" s="43"/>
      <c r="G73" s="43"/>
      <c r="H73" s="43"/>
      <c r="I73" s="43"/>
      <c r="J73" s="43"/>
      <c r="K73" s="43"/>
      <c r="L73" s="43"/>
      <c r="M73" s="43">
        <f t="shared" si="42"/>
        <v>0</v>
      </c>
      <c r="N73" s="43"/>
      <c r="O73" s="43"/>
      <c r="P73" s="43"/>
      <c r="Q73" s="43"/>
      <c r="R73" s="43"/>
      <c r="S73" s="43">
        <v>0</v>
      </c>
      <c r="T73" s="43"/>
      <c r="U73" s="43"/>
      <c r="V73" s="43"/>
      <c r="W73" s="43"/>
      <c r="X73" s="43"/>
      <c r="Y73" s="43"/>
      <c r="Z73" s="43"/>
      <c r="AA73" s="43"/>
      <c r="AB73" s="43"/>
      <c r="AC73" s="43">
        <f t="shared" ref="AC73:AC78" si="47">SUM(O73:AA73)</f>
        <v>0</v>
      </c>
      <c r="AD73" s="43"/>
      <c r="AE73" s="43">
        <f t="shared" ref="AE73:AE80" si="48">AC73+M73</f>
        <v>0</v>
      </c>
      <c r="AF73" s="43"/>
      <c r="AG73" s="43"/>
      <c r="AH73" s="43"/>
      <c r="AI73" s="43">
        <f t="shared" si="4"/>
        <v>0</v>
      </c>
    </row>
    <row r="74" spans="1:35" s="4" customFormat="1" ht="12" x14ac:dyDescent="0.2">
      <c r="A74" s="4" t="s">
        <v>147</v>
      </c>
      <c r="C74" s="15" t="s">
        <v>90</v>
      </c>
      <c r="E74" s="43">
        <f>2337736+112601</f>
        <v>2450337</v>
      </c>
      <c r="F74" s="43"/>
      <c r="G74" s="43">
        <f>88522+14941</f>
        <v>103463</v>
      </c>
      <c r="H74" s="43"/>
      <c r="I74" s="43">
        <v>23784</v>
      </c>
      <c r="J74" s="43"/>
      <c r="K74" s="43">
        <v>0</v>
      </c>
      <c r="L74" s="43"/>
      <c r="M74" s="43">
        <f t="shared" si="42"/>
        <v>-2323090</v>
      </c>
      <c r="N74" s="43"/>
      <c r="O74" s="43">
        <v>1129592</v>
      </c>
      <c r="P74" s="43"/>
      <c r="Q74" s="43">
        <f>1287617+176162</f>
        <v>1463779</v>
      </c>
      <c r="R74" s="43"/>
      <c r="S74" s="43">
        <v>0</v>
      </c>
      <c r="T74" s="43"/>
      <c r="U74" s="43">
        <v>2483</v>
      </c>
      <c r="V74" s="43"/>
      <c r="W74" s="43">
        <v>16125</v>
      </c>
      <c r="X74" s="43"/>
      <c r="Y74" s="43">
        <v>0</v>
      </c>
      <c r="Z74" s="43"/>
      <c r="AA74" s="43">
        <v>0</v>
      </c>
      <c r="AB74" s="43"/>
      <c r="AC74" s="43">
        <f t="shared" si="47"/>
        <v>2611979</v>
      </c>
      <c r="AD74" s="43"/>
      <c r="AE74" s="43">
        <f t="shared" si="48"/>
        <v>288889</v>
      </c>
      <c r="AF74" s="43"/>
      <c r="AG74" s="43">
        <v>1520811</v>
      </c>
      <c r="AH74" s="43"/>
      <c r="AI74" s="43">
        <f t="shared" ref="AI74" si="49">AE74+AG74</f>
        <v>1809700</v>
      </c>
    </row>
    <row r="75" spans="1:35" s="4" customFormat="1" ht="12" x14ac:dyDescent="0.2">
      <c r="A75" s="12" t="s">
        <v>149</v>
      </c>
      <c r="B75" s="12"/>
      <c r="C75" s="12" t="s">
        <v>150</v>
      </c>
      <c r="D75" s="15"/>
      <c r="E75" s="43">
        <v>8520101</v>
      </c>
      <c r="F75" s="43"/>
      <c r="G75" s="43">
        <v>180658</v>
      </c>
      <c r="H75" s="43"/>
      <c r="I75" s="43">
        <v>42705</v>
      </c>
      <c r="J75" s="43"/>
      <c r="K75" s="43">
        <v>0</v>
      </c>
      <c r="L75" s="43"/>
      <c r="M75" s="43">
        <f t="shared" si="3"/>
        <v>-8296738</v>
      </c>
      <c r="N75" s="43"/>
      <c r="O75" s="43">
        <v>3007985</v>
      </c>
      <c r="P75" s="43"/>
      <c r="Q75" s="43">
        <v>4535777</v>
      </c>
      <c r="R75" s="43"/>
      <c r="S75" s="43">
        <v>0</v>
      </c>
      <c r="T75" s="43"/>
      <c r="U75" s="43">
        <v>68832</v>
      </c>
      <c r="V75" s="43"/>
      <c r="W75" s="43">
        <f>66896+1050</f>
        <v>67946</v>
      </c>
      <c r="X75" s="43"/>
      <c r="Y75" s="43">
        <v>0</v>
      </c>
      <c r="Z75" s="43"/>
      <c r="AA75" s="43">
        <v>0</v>
      </c>
      <c r="AB75" s="43"/>
      <c r="AC75" s="43">
        <f t="shared" si="47"/>
        <v>7680540</v>
      </c>
      <c r="AD75" s="43"/>
      <c r="AE75" s="43">
        <f t="shared" si="48"/>
        <v>-616198</v>
      </c>
      <c r="AF75" s="43"/>
      <c r="AG75" s="43">
        <v>8915298</v>
      </c>
      <c r="AH75" s="43"/>
      <c r="AI75" s="43">
        <f t="shared" si="4"/>
        <v>8299100</v>
      </c>
    </row>
    <row r="76" spans="1:35" s="4" customFormat="1" ht="12" x14ac:dyDescent="0.2">
      <c r="A76" s="12" t="s">
        <v>584</v>
      </c>
      <c r="B76" s="12"/>
      <c r="C76" s="12" t="s">
        <v>152</v>
      </c>
      <c r="D76" s="15"/>
      <c r="E76" s="43">
        <v>1817986</v>
      </c>
      <c r="F76" s="43"/>
      <c r="G76" s="43">
        <v>35620</v>
      </c>
      <c r="H76" s="43"/>
      <c r="I76" s="43">
        <v>18292</v>
      </c>
      <c r="J76" s="43"/>
      <c r="K76" s="43">
        <v>0</v>
      </c>
      <c r="L76" s="43"/>
      <c r="M76" s="43">
        <f t="shared" ref="M76" si="50">-E76+G76+I76+K76</f>
        <v>-1764074</v>
      </c>
      <c r="N76" s="43"/>
      <c r="O76" s="43">
        <v>0</v>
      </c>
      <c r="P76" s="43"/>
      <c r="Q76" s="43">
        <v>1120307</v>
      </c>
      <c r="R76" s="43"/>
      <c r="S76" s="43">
        <v>0</v>
      </c>
      <c r="T76" s="43"/>
      <c r="U76" s="43">
        <v>1172</v>
      </c>
      <c r="V76" s="43"/>
      <c r="W76" s="43">
        <v>319998</v>
      </c>
      <c r="X76" s="43"/>
      <c r="Y76" s="43">
        <v>0</v>
      </c>
      <c r="Z76" s="43"/>
      <c r="AA76" s="43">
        <v>0</v>
      </c>
      <c r="AB76" s="43"/>
      <c r="AC76" s="43">
        <f t="shared" si="47"/>
        <v>1441477</v>
      </c>
      <c r="AD76" s="43"/>
      <c r="AE76" s="43">
        <f t="shared" si="48"/>
        <v>-322597</v>
      </c>
      <c r="AF76" s="43"/>
      <c r="AG76" s="43">
        <v>1020996</v>
      </c>
      <c r="AH76" s="43"/>
      <c r="AI76" s="43">
        <f t="shared" ref="AI76" si="51">AE76+AG76</f>
        <v>698399</v>
      </c>
    </row>
    <row r="77" spans="1:35" s="4" customFormat="1" ht="12" x14ac:dyDescent="0.2">
      <c r="A77" s="12" t="s">
        <v>154</v>
      </c>
      <c r="B77" s="12"/>
      <c r="C77" s="12" t="s">
        <v>59</v>
      </c>
      <c r="D77" s="15"/>
      <c r="E77" s="43">
        <v>85926</v>
      </c>
      <c r="F77" s="43"/>
      <c r="G77" s="43">
        <v>1544</v>
      </c>
      <c r="H77" s="43"/>
      <c r="I77" s="43">
        <v>1682</v>
      </c>
      <c r="J77" s="43"/>
      <c r="K77" s="43">
        <v>0</v>
      </c>
      <c r="L77" s="43"/>
      <c r="M77" s="43">
        <f t="shared" ref="M77" si="52">-E77+G77+I77+K77</f>
        <v>-82700</v>
      </c>
      <c r="N77" s="43"/>
      <c r="O77" s="43">
        <v>0</v>
      </c>
      <c r="P77" s="43"/>
      <c r="Q77" s="43">
        <v>60734</v>
      </c>
      <c r="R77" s="43"/>
      <c r="S77" s="43">
        <v>0</v>
      </c>
      <c r="T77" s="43"/>
      <c r="U77" s="43">
        <v>3</v>
      </c>
      <c r="V77" s="43"/>
      <c r="W77" s="43">
        <v>1249</v>
      </c>
      <c r="X77" s="43"/>
      <c r="Y77" s="43">
        <v>0</v>
      </c>
      <c r="Z77" s="43"/>
      <c r="AA77" s="43">
        <v>0</v>
      </c>
      <c r="AB77" s="43"/>
      <c r="AC77" s="43">
        <f t="shared" si="47"/>
        <v>61986</v>
      </c>
      <c r="AD77" s="43"/>
      <c r="AE77" s="43">
        <f t="shared" si="48"/>
        <v>-20714</v>
      </c>
      <c r="AF77" s="43"/>
      <c r="AG77" s="43">
        <v>49347</v>
      </c>
      <c r="AH77" s="43"/>
      <c r="AI77" s="43">
        <f t="shared" ref="AI77" si="53">AE77+AG77</f>
        <v>28633</v>
      </c>
    </row>
    <row r="78" spans="1:35" s="4" customFormat="1" ht="12" x14ac:dyDescent="0.2">
      <c r="A78" s="12" t="s">
        <v>155</v>
      </c>
      <c r="B78" s="12"/>
      <c r="C78" s="12" t="s">
        <v>156</v>
      </c>
      <c r="D78" s="15"/>
      <c r="E78" s="43">
        <v>482756</v>
      </c>
      <c r="F78" s="43"/>
      <c r="G78" s="43">
        <v>13511</v>
      </c>
      <c r="H78" s="43"/>
      <c r="I78" s="43">
        <v>5077</v>
      </c>
      <c r="J78" s="43"/>
      <c r="K78" s="43">
        <v>0</v>
      </c>
      <c r="L78" s="43"/>
      <c r="M78" s="43">
        <f t="shared" ref="M78:M80" si="54">-E78+G78+I78+K78</f>
        <v>-464168</v>
      </c>
      <c r="N78" s="43"/>
      <c r="O78" s="43">
        <v>271091</v>
      </c>
      <c r="P78" s="43"/>
      <c r="Q78" s="43">
        <v>353543</v>
      </c>
      <c r="R78" s="43"/>
      <c r="S78" s="43">
        <v>0</v>
      </c>
      <c r="T78" s="43"/>
      <c r="U78" s="43">
        <v>432</v>
      </c>
      <c r="V78" s="43"/>
      <c r="W78" s="43">
        <v>0</v>
      </c>
      <c r="X78" s="43"/>
      <c r="Y78" s="43">
        <v>0</v>
      </c>
      <c r="Z78" s="43"/>
      <c r="AA78" s="43">
        <v>0</v>
      </c>
      <c r="AB78" s="43"/>
      <c r="AC78" s="43">
        <f t="shared" si="47"/>
        <v>625066</v>
      </c>
      <c r="AD78" s="43"/>
      <c r="AE78" s="43">
        <f t="shared" si="48"/>
        <v>160898</v>
      </c>
      <c r="AF78" s="43"/>
      <c r="AG78" s="43">
        <v>401032</v>
      </c>
      <c r="AH78" s="43"/>
      <c r="AI78" s="43">
        <f t="shared" ref="AI78:AI80" si="55">AE78+AG78</f>
        <v>561930</v>
      </c>
    </row>
    <row r="79" spans="1:35" s="4" customFormat="1" ht="12" hidden="1" x14ac:dyDescent="0.2">
      <c r="A79" s="3" t="s">
        <v>34</v>
      </c>
      <c r="B79" s="15"/>
      <c r="C79" s="4" t="s">
        <v>55</v>
      </c>
      <c r="D79" s="15"/>
      <c r="E79" s="43">
        <v>503980.47</v>
      </c>
      <c r="F79" s="43"/>
      <c r="G79" s="43">
        <v>11052.19</v>
      </c>
      <c r="H79" s="43"/>
      <c r="I79" s="43">
        <v>0</v>
      </c>
      <c r="J79" s="43"/>
      <c r="K79" s="43">
        <v>0</v>
      </c>
      <c r="L79" s="43"/>
      <c r="M79" s="43">
        <f t="shared" si="54"/>
        <v>-492928.27999999997</v>
      </c>
      <c r="N79" s="43"/>
      <c r="O79" s="43">
        <v>174910.45</v>
      </c>
      <c r="P79" s="43"/>
      <c r="Q79" s="43">
        <v>313462.43</v>
      </c>
      <c r="R79" s="43"/>
      <c r="S79" s="43">
        <v>0</v>
      </c>
      <c r="T79" s="43"/>
      <c r="U79" s="43">
        <v>9039.2099999999991</v>
      </c>
      <c r="V79" s="43"/>
      <c r="W79" s="43">
        <v>337.02</v>
      </c>
      <c r="X79" s="43"/>
      <c r="Y79" s="43">
        <v>0</v>
      </c>
      <c r="Z79" s="43"/>
      <c r="AA79" s="43">
        <v>0</v>
      </c>
      <c r="AB79" s="43"/>
      <c r="AC79" s="43">
        <f t="shared" ref="AC79:AC82" si="56">SUM(O79:AA79)</f>
        <v>497749.11000000004</v>
      </c>
      <c r="AD79" s="43"/>
      <c r="AE79" s="43">
        <f t="shared" si="48"/>
        <v>4820.8300000000745</v>
      </c>
      <c r="AF79" s="43"/>
      <c r="AG79" s="43">
        <v>1286571.3400000001</v>
      </c>
      <c r="AH79" s="43"/>
      <c r="AI79" s="43">
        <f t="shared" si="55"/>
        <v>1291392.1700000002</v>
      </c>
    </row>
    <row r="80" spans="1:35" s="4" customFormat="1" ht="12" x14ac:dyDescent="0.2">
      <c r="A80" s="4" t="s">
        <v>506</v>
      </c>
      <c r="C80" s="4" t="s">
        <v>56</v>
      </c>
      <c r="E80" s="43">
        <v>1186199</v>
      </c>
      <c r="F80" s="43"/>
      <c r="G80" s="43">
        <v>50354</v>
      </c>
      <c r="H80" s="43"/>
      <c r="I80" s="43">
        <v>4909</v>
      </c>
      <c r="J80" s="43"/>
      <c r="K80" s="43">
        <v>0</v>
      </c>
      <c r="L80" s="43"/>
      <c r="M80" s="43">
        <f t="shared" si="54"/>
        <v>-1130936</v>
      </c>
      <c r="N80" s="43"/>
      <c r="O80" s="43">
        <v>0</v>
      </c>
      <c r="P80" s="43"/>
      <c r="Q80" s="43">
        <v>1076088</v>
      </c>
      <c r="R80" s="43"/>
      <c r="S80" s="43">
        <v>0</v>
      </c>
      <c r="T80" s="43"/>
      <c r="U80" s="43">
        <v>15944</v>
      </c>
      <c r="V80" s="43"/>
      <c r="W80" s="43">
        <v>196</v>
      </c>
      <c r="X80" s="43"/>
      <c r="Y80" s="43">
        <v>0</v>
      </c>
      <c r="Z80" s="43"/>
      <c r="AA80" s="43">
        <v>0</v>
      </c>
      <c r="AB80" s="43"/>
      <c r="AC80" s="43">
        <f t="shared" si="56"/>
        <v>1092228</v>
      </c>
      <c r="AD80" s="43"/>
      <c r="AE80" s="43">
        <f t="shared" si="48"/>
        <v>-38708</v>
      </c>
      <c r="AF80" s="43"/>
      <c r="AG80" s="43">
        <v>3164889</v>
      </c>
      <c r="AH80" s="43"/>
      <c r="AI80" s="43">
        <f t="shared" si="55"/>
        <v>3126181</v>
      </c>
    </row>
    <row r="81" spans="1:35" s="4" customFormat="1" ht="12" x14ac:dyDescent="0.2">
      <c r="A81" s="12" t="s">
        <v>160</v>
      </c>
      <c r="B81" s="12"/>
      <c r="C81" s="12" t="s">
        <v>58</v>
      </c>
      <c r="D81" s="15"/>
      <c r="E81" s="43">
        <v>102830</v>
      </c>
      <c r="F81" s="43"/>
      <c r="G81" s="43">
        <v>156</v>
      </c>
      <c r="H81" s="43"/>
      <c r="I81" s="43">
        <v>1814</v>
      </c>
      <c r="J81" s="43"/>
      <c r="K81" s="43">
        <v>0</v>
      </c>
      <c r="L81" s="43"/>
      <c r="M81" s="43">
        <f t="shared" ref="M81" si="57">-E81+G81+I81+K81</f>
        <v>-100860</v>
      </c>
      <c r="N81" s="43"/>
      <c r="O81" s="43">
        <v>93470</v>
      </c>
      <c r="P81" s="43"/>
      <c r="Q81" s="43">
        <v>0</v>
      </c>
      <c r="R81" s="43"/>
      <c r="S81" s="43">
        <v>0</v>
      </c>
      <c r="T81" s="43"/>
      <c r="U81" s="43">
        <v>2043</v>
      </c>
      <c r="V81" s="43"/>
      <c r="W81" s="43">
        <v>0</v>
      </c>
      <c r="X81" s="43"/>
      <c r="Y81" s="43">
        <v>0</v>
      </c>
      <c r="Z81" s="43"/>
      <c r="AA81" s="43">
        <v>0</v>
      </c>
      <c r="AB81" s="43"/>
      <c r="AC81" s="43">
        <f>SUM(O81:AA81)</f>
        <v>95513</v>
      </c>
      <c r="AD81" s="43"/>
      <c r="AE81" s="43">
        <f>AC81+M81</f>
        <v>-5347</v>
      </c>
      <c r="AF81" s="43"/>
      <c r="AG81" s="43">
        <v>102830</v>
      </c>
      <c r="AH81" s="43"/>
      <c r="AI81" s="43">
        <f t="shared" ref="AI81" si="58">AE81+AG81</f>
        <v>97483</v>
      </c>
    </row>
    <row r="82" spans="1:35" s="4" customFormat="1" ht="12" hidden="1" x14ac:dyDescent="0.2">
      <c r="A82" s="4" t="s">
        <v>162</v>
      </c>
      <c r="B82" s="15"/>
      <c r="C82" s="4" t="s">
        <v>54</v>
      </c>
      <c r="D82" s="15"/>
      <c r="E82" s="43">
        <v>930734.68</v>
      </c>
      <c r="F82" s="43"/>
      <c r="G82" s="43">
        <v>23002.67</v>
      </c>
      <c r="H82" s="43"/>
      <c r="I82" s="43">
        <v>0</v>
      </c>
      <c r="J82" s="43"/>
      <c r="K82" s="43">
        <v>0</v>
      </c>
      <c r="L82" s="43"/>
      <c r="M82" s="43">
        <v>-907732.01</v>
      </c>
      <c r="N82" s="43"/>
      <c r="O82" s="43">
        <v>1059688.5</v>
      </c>
      <c r="P82" s="43"/>
      <c r="Q82" s="43">
        <v>14910.38</v>
      </c>
      <c r="R82" s="43"/>
      <c r="S82" s="43">
        <v>0</v>
      </c>
      <c r="T82" s="43"/>
      <c r="U82" s="43">
        <v>2564.11</v>
      </c>
      <c r="V82" s="43"/>
      <c r="W82" s="43">
        <v>1020.68</v>
      </c>
      <c r="X82" s="43"/>
      <c r="Y82" s="43">
        <v>0</v>
      </c>
      <c r="Z82" s="43"/>
      <c r="AA82" s="43">
        <v>0</v>
      </c>
      <c r="AB82" s="43"/>
      <c r="AC82" s="43">
        <f t="shared" si="56"/>
        <v>1078183.67</v>
      </c>
      <c r="AD82" s="43"/>
      <c r="AE82" s="43">
        <v>170451.66</v>
      </c>
      <c r="AF82" s="43"/>
      <c r="AG82" s="43">
        <v>543217.93999999994</v>
      </c>
      <c r="AH82" s="43"/>
      <c r="AI82" s="43">
        <v>713669.6</v>
      </c>
    </row>
    <row r="83" spans="1:35" s="4" customFormat="1" ht="12" x14ac:dyDescent="0.2">
      <c r="A83" s="12" t="s">
        <v>638</v>
      </c>
      <c r="B83" s="12"/>
      <c r="C83" s="12" t="s">
        <v>20</v>
      </c>
      <c r="D83" s="15"/>
      <c r="E83" s="43">
        <v>2637678</v>
      </c>
      <c r="F83" s="43"/>
      <c r="G83" s="43">
        <f>67455+10751</f>
        <v>78206</v>
      </c>
      <c r="H83" s="43"/>
      <c r="I83" s="43">
        <v>49627</v>
      </c>
      <c r="J83" s="43"/>
      <c r="K83" s="43">
        <v>0</v>
      </c>
      <c r="L83" s="43"/>
      <c r="M83" s="43">
        <f t="shared" ref="M83" si="59">-E83+G83+I83+K83</f>
        <v>-2509845</v>
      </c>
      <c r="N83" s="43"/>
      <c r="O83" s="43">
        <v>1691607</v>
      </c>
      <c r="P83" s="43"/>
      <c r="Q83" s="43">
        <f>869354+222934</f>
        <v>1092288</v>
      </c>
      <c r="R83" s="43"/>
      <c r="S83" s="43">
        <v>0</v>
      </c>
      <c r="T83" s="43"/>
      <c r="U83" s="43">
        <v>186848</v>
      </c>
      <c r="V83" s="43"/>
      <c r="W83" s="43">
        <v>681</v>
      </c>
      <c r="X83" s="43"/>
      <c r="Y83" s="43">
        <v>-13284</v>
      </c>
      <c r="Z83" s="43"/>
      <c r="AA83" s="43">
        <v>0</v>
      </c>
      <c r="AB83" s="43"/>
      <c r="AC83" s="43">
        <f>SUM(O83:AA83)</f>
        <v>2958140</v>
      </c>
      <c r="AD83" s="43"/>
      <c r="AE83" s="43">
        <f>AC83+M83</f>
        <v>448295</v>
      </c>
      <c r="AF83" s="43"/>
      <c r="AG83" s="43">
        <v>2640778</v>
      </c>
      <c r="AH83" s="43"/>
      <c r="AI83" s="43">
        <f t="shared" ref="AI83" si="60">AE83+AG83</f>
        <v>3089073</v>
      </c>
    </row>
    <row r="84" spans="1:35" s="4" customFormat="1" ht="12" hidden="1" x14ac:dyDescent="0.2">
      <c r="A84" s="4" t="s">
        <v>164</v>
      </c>
      <c r="B84" s="15"/>
      <c r="C84" s="4" t="s">
        <v>165</v>
      </c>
      <c r="D84" s="15"/>
      <c r="E84" s="43">
        <v>600557.21</v>
      </c>
      <c r="F84" s="43"/>
      <c r="G84" s="43">
        <v>27622.1</v>
      </c>
      <c r="H84" s="43"/>
      <c r="I84" s="43">
        <v>0</v>
      </c>
      <c r="J84" s="43"/>
      <c r="K84" s="43">
        <v>0</v>
      </c>
      <c r="L84" s="43"/>
      <c r="M84" s="43">
        <v>-572935.11</v>
      </c>
      <c r="N84" s="43"/>
      <c r="O84" s="43">
        <v>344762.6</v>
      </c>
      <c r="P84" s="43"/>
      <c r="Q84" s="43">
        <v>326844.28999999998</v>
      </c>
      <c r="R84" s="43"/>
      <c r="S84" s="43">
        <v>0</v>
      </c>
      <c r="T84" s="43"/>
      <c r="U84" s="43">
        <v>215.99</v>
      </c>
      <c r="V84" s="43"/>
      <c r="W84" s="43">
        <v>5817.16</v>
      </c>
      <c r="X84" s="43"/>
      <c r="Y84" s="43">
        <v>0</v>
      </c>
      <c r="Z84" s="43"/>
      <c r="AA84" s="43">
        <v>0</v>
      </c>
      <c r="AB84" s="43"/>
      <c r="AC84" s="43">
        <f t="shared" ref="AC84:AC87" si="61">SUM(O84:AA84)</f>
        <v>677640.03999999992</v>
      </c>
      <c r="AD84" s="43"/>
      <c r="AE84" s="43">
        <v>104704.93</v>
      </c>
      <c r="AF84" s="43"/>
      <c r="AG84" s="43">
        <v>465196.61</v>
      </c>
      <c r="AH84" s="43"/>
      <c r="AI84" s="43">
        <v>569901.54</v>
      </c>
    </row>
    <row r="85" spans="1:35" s="4" customFormat="1" ht="12" hidden="1" x14ac:dyDescent="0.2">
      <c r="A85" s="12" t="s">
        <v>35</v>
      </c>
      <c r="B85" s="15"/>
      <c r="C85" s="15" t="s">
        <v>10</v>
      </c>
      <c r="D85" s="15"/>
      <c r="E85" s="43">
        <v>511224.78</v>
      </c>
      <c r="F85" s="43"/>
      <c r="G85" s="43">
        <v>12073.89</v>
      </c>
      <c r="H85" s="43"/>
      <c r="I85" s="43">
        <v>5559</v>
      </c>
      <c r="J85" s="43"/>
      <c r="K85" s="43">
        <v>0</v>
      </c>
      <c r="L85" s="43"/>
      <c r="M85" s="43">
        <v>-493591.89</v>
      </c>
      <c r="N85" s="43"/>
      <c r="O85" s="43">
        <v>219456.54</v>
      </c>
      <c r="P85" s="43"/>
      <c r="Q85" s="43">
        <v>334399.24</v>
      </c>
      <c r="R85" s="43"/>
      <c r="S85" s="43">
        <v>0</v>
      </c>
      <c r="T85" s="43"/>
      <c r="U85" s="43">
        <v>434.24</v>
      </c>
      <c r="V85" s="43"/>
      <c r="W85" s="43">
        <v>2480.89</v>
      </c>
      <c r="X85" s="43"/>
      <c r="Y85" s="43">
        <v>0</v>
      </c>
      <c r="Z85" s="43"/>
      <c r="AA85" s="43">
        <v>0</v>
      </c>
      <c r="AB85" s="43"/>
      <c r="AC85" s="43">
        <f t="shared" si="61"/>
        <v>556770.91</v>
      </c>
      <c r="AD85" s="43"/>
      <c r="AE85" s="43">
        <v>63179.02</v>
      </c>
      <c r="AF85" s="43"/>
      <c r="AG85" s="43">
        <v>194027.62</v>
      </c>
      <c r="AH85" s="43"/>
      <c r="AI85" s="43">
        <v>257206.64</v>
      </c>
    </row>
    <row r="86" spans="1:35" s="4" customFormat="1" ht="12" x14ac:dyDescent="0.2">
      <c r="A86" s="12" t="s">
        <v>166</v>
      </c>
      <c r="B86" s="12"/>
      <c r="C86" s="12" t="s">
        <v>156</v>
      </c>
      <c r="D86" s="15"/>
      <c r="E86" s="43">
        <v>1059456</v>
      </c>
      <c r="F86" s="43"/>
      <c r="G86" s="43">
        <v>20959</v>
      </c>
      <c r="H86" s="43"/>
      <c r="I86" s="43">
        <v>29256</v>
      </c>
      <c r="J86" s="43"/>
      <c r="K86" s="43">
        <v>0</v>
      </c>
      <c r="L86" s="43"/>
      <c r="M86" s="43">
        <f t="shared" ref="M86" si="62">-E86+G86+I86+K86</f>
        <v>-1009241</v>
      </c>
      <c r="N86" s="43"/>
      <c r="O86" s="43">
        <v>1134065</v>
      </c>
      <c r="P86" s="43"/>
      <c r="Q86" s="43">
        <v>0</v>
      </c>
      <c r="R86" s="43"/>
      <c r="S86" s="43">
        <v>0</v>
      </c>
      <c r="T86" s="43"/>
      <c r="U86" s="43">
        <v>797</v>
      </c>
      <c r="V86" s="43"/>
      <c r="W86" s="43">
        <v>12607</v>
      </c>
      <c r="X86" s="43"/>
      <c r="Y86" s="43">
        <v>0</v>
      </c>
      <c r="Z86" s="43"/>
      <c r="AA86" s="43">
        <v>0</v>
      </c>
      <c r="AB86" s="43"/>
      <c r="AC86" s="43">
        <f>SUM(O86:AA86)</f>
        <v>1147469</v>
      </c>
      <c r="AD86" s="43"/>
      <c r="AE86" s="43">
        <f>AC86+M86</f>
        <v>138228</v>
      </c>
      <c r="AF86" s="43"/>
      <c r="AG86" s="43">
        <v>931090</v>
      </c>
      <c r="AH86" s="43"/>
      <c r="AI86" s="43">
        <f t="shared" ref="AI86" si="63">AE86+AG86</f>
        <v>1069318</v>
      </c>
    </row>
    <row r="87" spans="1:35" s="4" customFormat="1" ht="12" hidden="1" x14ac:dyDescent="0.2">
      <c r="A87" s="12" t="s">
        <v>555</v>
      </c>
      <c r="B87" s="15"/>
      <c r="C87" s="15" t="s">
        <v>57</v>
      </c>
      <c r="D87" s="15"/>
      <c r="E87" s="43">
        <v>601616.30000000005</v>
      </c>
      <c r="F87" s="43"/>
      <c r="G87" s="43">
        <v>17261.72</v>
      </c>
      <c r="H87" s="43"/>
      <c r="I87" s="43">
        <v>0</v>
      </c>
      <c r="J87" s="43"/>
      <c r="K87" s="43">
        <v>0</v>
      </c>
      <c r="L87" s="43"/>
      <c r="M87" s="43">
        <v>-584354.57999999996</v>
      </c>
      <c r="N87" s="43"/>
      <c r="O87" s="43">
        <v>273485.56</v>
      </c>
      <c r="P87" s="43"/>
      <c r="Q87" s="43">
        <v>440925.14</v>
      </c>
      <c r="R87" s="43"/>
      <c r="S87" s="43">
        <v>0</v>
      </c>
      <c r="T87" s="43"/>
      <c r="U87" s="43">
        <v>20550.16</v>
      </c>
      <c r="V87" s="43"/>
      <c r="W87" s="43">
        <v>10133.75</v>
      </c>
      <c r="X87" s="43"/>
      <c r="Y87" s="43">
        <v>0</v>
      </c>
      <c r="Z87" s="43"/>
      <c r="AA87" s="43">
        <v>0</v>
      </c>
      <c r="AB87" s="43"/>
      <c r="AC87" s="43">
        <f t="shared" si="61"/>
        <v>745094.61</v>
      </c>
      <c r="AD87" s="43"/>
      <c r="AE87" s="43">
        <v>160740.03</v>
      </c>
      <c r="AF87" s="43"/>
      <c r="AG87" s="43">
        <v>352126.97</v>
      </c>
      <c r="AH87" s="43"/>
      <c r="AI87" s="43">
        <v>512867</v>
      </c>
    </row>
    <row r="88" spans="1:35" s="4" customFormat="1" ht="12" x14ac:dyDescent="0.2">
      <c r="A88" s="12" t="s">
        <v>639</v>
      </c>
      <c r="B88" s="12"/>
      <c r="C88" s="12" t="s">
        <v>156</v>
      </c>
      <c r="D88" s="15"/>
      <c r="E88" s="43">
        <v>643007</v>
      </c>
      <c r="F88" s="43"/>
      <c r="G88" s="43">
        <v>8967.2000000000007</v>
      </c>
      <c r="H88" s="43"/>
      <c r="I88" s="43">
        <v>10409.81</v>
      </c>
      <c r="J88" s="43"/>
      <c r="K88" s="43">
        <v>0</v>
      </c>
      <c r="L88" s="43"/>
      <c r="M88" s="43">
        <f t="shared" ref="M88" si="64">-E88+G88+I88+K88</f>
        <v>-623629.99</v>
      </c>
      <c r="N88" s="43"/>
      <c r="O88" s="43">
        <v>751361.94</v>
      </c>
      <c r="P88" s="43"/>
      <c r="Q88" s="43">
        <v>30000</v>
      </c>
      <c r="R88" s="43"/>
      <c r="S88" s="43">
        <v>0</v>
      </c>
      <c r="T88" s="43"/>
      <c r="U88" s="43">
        <v>22260.49</v>
      </c>
      <c r="V88" s="43"/>
      <c r="W88" s="43">
        <v>21957.53</v>
      </c>
      <c r="X88" s="43"/>
      <c r="Y88" s="43">
        <v>0</v>
      </c>
      <c r="Z88" s="43"/>
      <c r="AA88" s="43">
        <v>0</v>
      </c>
      <c r="AB88" s="43"/>
      <c r="AC88" s="43">
        <f>SUM(O88:AA88)</f>
        <v>825579.96</v>
      </c>
      <c r="AD88" s="43"/>
      <c r="AE88" s="43">
        <f>AC88+M88</f>
        <v>201949.96999999997</v>
      </c>
      <c r="AF88" s="43"/>
      <c r="AG88" s="43">
        <v>1955029.56</v>
      </c>
      <c r="AH88" s="43"/>
      <c r="AI88" s="43">
        <f t="shared" ref="AI88" si="65">AE88+AG88</f>
        <v>2156979.5300000003</v>
      </c>
    </row>
    <row r="89" spans="1:35" s="4" customFormat="1" ht="12" x14ac:dyDescent="0.2">
      <c r="A89" s="3" t="s">
        <v>429</v>
      </c>
      <c r="B89" s="15"/>
      <c r="C89" s="4" t="s">
        <v>17</v>
      </c>
      <c r="D89" s="15"/>
      <c r="E89" s="43">
        <v>3750180</v>
      </c>
      <c r="F89" s="43"/>
      <c r="G89" s="43">
        <v>128170</v>
      </c>
      <c r="H89" s="43"/>
      <c r="I89" s="43">
        <v>3306</v>
      </c>
      <c r="J89" s="43"/>
      <c r="K89" s="43">
        <v>0</v>
      </c>
      <c r="L89" s="43"/>
      <c r="M89" s="43">
        <f t="shared" si="3"/>
        <v>-3618704</v>
      </c>
      <c r="N89" s="43"/>
      <c r="O89" s="43">
        <v>1911237</v>
      </c>
      <c r="P89" s="43"/>
      <c r="Q89" s="43">
        <v>1999543</v>
      </c>
      <c r="R89" s="43"/>
      <c r="S89" s="43">
        <v>0</v>
      </c>
      <c r="T89" s="43"/>
      <c r="U89" s="43">
        <v>14331</v>
      </c>
      <c r="V89" s="43"/>
      <c r="W89" s="43">
        <v>6718</v>
      </c>
      <c r="X89" s="43"/>
      <c r="Y89" s="43">
        <v>0</v>
      </c>
      <c r="Z89" s="43"/>
      <c r="AA89" s="43">
        <v>0</v>
      </c>
      <c r="AB89" s="43"/>
      <c r="AC89" s="43">
        <f t="shared" ref="AC89:AC100" si="66">SUM(O89:AA89)</f>
        <v>3931829</v>
      </c>
      <c r="AD89" s="43"/>
      <c r="AE89" s="43">
        <f t="shared" ref="AE89:AE100" si="67">AC89+M89</f>
        <v>313125</v>
      </c>
      <c r="AF89" s="43"/>
      <c r="AG89" s="43">
        <v>6239927</v>
      </c>
      <c r="AH89" s="43"/>
      <c r="AI89" s="43">
        <f t="shared" si="4"/>
        <v>6553052</v>
      </c>
    </row>
    <row r="90" spans="1:35" ht="12" customHeight="1" x14ac:dyDescent="0.2">
      <c r="A90" s="3" t="s">
        <v>7</v>
      </c>
      <c r="B90" s="15"/>
      <c r="C90" s="4" t="s">
        <v>8</v>
      </c>
      <c r="D90" s="15"/>
      <c r="E90" s="43">
        <v>5909604</v>
      </c>
      <c r="F90" s="43"/>
      <c r="G90" s="43">
        <v>193341</v>
      </c>
      <c r="H90" s="43"/>
      <c r="I90" s="43">
        <v>101529</v>
      </c>
      <c r="J90" s="43"/>
      <c r="K90" s="43">
        <v>0</v>
      </c>
      <c r="L90" s="43"/>
      <c r="M90" s="43">
        <f t="shared" si="3"/>
        <v>-5614734</v>
      </c>
      <c r="N90" s="43"/>
      <c r="O90" s="43">
        <v>2536653</v>
      </c>
      <c r="P90" s="43"/>
      <c r="Q90" s="43">
        <v>4451527</v>
      </c>
      <c r="R90" s="43"/>
      <c r="S90" s="43">
        <v>0</v>
      </c>
      <c r="T90" s="43"/>
      <c r="U90" s="43">
        <v>305852</v>
      </c>
      <c r="V90" s="43"/>
      <c r="W90" s="43">
        <v>49603</v>
      </c>
      <c r="X90" s="43"/>
      <c r="Y90" s="43">
        <v>0</v>
      </c>
      <c r="Z90" s="43"/>
      <c r="AA90" s="43">
        <v>0</v>
      </c>
      <c r="AB90" s="43"/>
      <c r="AC90" s="43">
        <f t="shared" si="66"/>
        <v>7343635</v>
      </c>
      <c r="AD90" s="43"/>
      <c r="AE90" s="43">
        <f t="shared" si="67"/>
        <v>1728901</v>
      </c>
      <c r="AF90" s="43"/>
      <c r="AG90" s="43">
        <v>14715177</v>
      </c>
      <c r="AH90" s="43"/>
      <c r="AI90" s="43">
        <f t="shared" si="4"/>
        <v>16444078</v>
      </c>
    </row>
    <row r="91" spans="1:35" s="4" customFormat="1" ht="12" hidden="1" x14ac:dyDescent="0.2">
      <c r="A91" s="15" t="s">
        <v>367</v>
      </c>
      <c r="C91" s="15" t="s">
        <v>52</v>
      </c>
      <c r="E91" s="43"/>
      <c r="F91" s="43"/>
      <c r="G91" s="43"/>
      <c r="H91" s="43"/>
      <c r="I91" s="43"/>
      <c r="J91" s="43"/>
      <c r="K91" s="43"/>
      <c r="L91" s="43"/>
      <c r="M91" s="43">
        <f t="shared" si="3"/>
        <v>0</v>
      </c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>
        <f t="shared" si="66"/>
        <v>0</v>
      </c>
      <c r="AD91" s="43"/>
      <c r="AE91" s="43">
        <f t="shared" si="67"/>
        <v>0</v>
      </c>
      <c r="AF91" s="43"/>
      <c r="AG91" s="43"/>
      <c r="AH91" s="43"/>
      <c r="AI91" s="43">
        <f t="shared" si="4"/>
        <v>0</v>
      </c>
    </row>
    <row r="92" spans="1:35" s="4" customFormat="1" ht="12" hidden="1" x14ac:dyDescent="0.2">
      <c r="A92" s="4" t="s">
        <v>507</v>
      </c>
      <c r="C92" s="4" t="s">
        <v>49</v>
      </c>
      <c r="E92" s="43"/>
      <c r="F92" s="43"/>
      <c r="G92" s="43"/>
      <c r="H92" s="43"/>
      <c r="I92" s="43"/>
      <c r="J92" s="43"/>
      <c r="K92" s="43"/>
      <c r="L92" s="43"/>
      <c r="M92" s="43">
        <f t="shared" si="3"/>
        <v>0</v>
      </c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>
        <f t="shared" si="66"/>
        <v>0</v>
      </c>
      <c r="AD92" s="43"/>
      <c r="AE92" s="43">
        <f t="shared" si="67"/>
        <v>0</v>
      </c>
      <c r="AF92" s="43"/>
      <c r="AG92" s="43"/>
      <c r="AH92" s="43"/>
      <c r="AI92" s="43">
        <f t="shared" si="4"/>
        <v>0</v>
      </c>
    </row>
    <row r="93" spans="1:35" ht="12" customHeight="1" x14ac:dyDescent="0.2">
      <c r="A93" s="3" t="s">
        <v>558</v>
      </c>
      <c r="B93" s="15"/>
      <c r="C93" s="4" t="s">
        <v>39</v>
      </c>
      <c r="D93" s="15"/>
      <c r="E93" s="43">
        <v>4435487</v>
      </c>
      <c r="F93" s="43"/>
      <c r="G93" s="43">
        <f>98611+822</f>
        <v>99433</v>
      </c>
      <c r="H93" s="43"/>
      <c r="I93" s="43">
        <v>10861</v>
      </c>
      <c r="J93" s="43"/>
      <c r="K93" s="43">
        <v>0</v>
      </c>
      <c r="L93" s="43"/>
      <c r="M93" s="43">
        <f t="shared" ref="M93" si="68">-E93+G93+I93+K93</f>
        <v>-4325193</v>
      </c>
      <c r="N93" s="43"/>
      <c r="O93" s="43">
        <v>2292378</v>
      </c>
      <c r="P93" s="43"/>
      <c r="Q93" s="43">
        <f>2385731+5292</f>
        <v>2391023</v>
      </c>
      <c r="R93" s="43"/>
      <c r="S93" s="43">
        <v>0</v>
      </c>
      <c r="T93" s="43"/>
      <c r="U93" s="43">
        <v>3728</v>
      </c>
      <c r="V93" s="43"/>
      <c r="W93" s="43">
        <v>62757</v>
      </c>
      <c r="X93" s="43"/>
      <c r="Y93" s="43">
        <v>0</v>
      </c>
      <c r="Z93" s="43"/>
      <c r="AA93" s="43">
        <v>0</v>
      </c>
      <c r="AB93" s="43"/>
      <c r="AC93" s="43">
        <f t="shared" ref="AC93" si="69">SUM(O93:AA93)</f>
        <v>4749886</v>
      </c>
      <c r="AD93" s="43"/>
      <c r="AE93" s="43">
        <f t="shared" ref="AE93" si="70">AC93+M93</f>
        <v>424693</v>
      </c>
      <c r="AF93" s="43"/>
      <c r="AG93" s="43">
        <v>1619756</v>
      </c>
      <c r="AH93" s="43"/>
      <c r="AI93" s="43">
        <f t="shared" ref="AI93" si="71">AE93+AG93</f>
        <v>2044449</v>
      </c>
    </row>
    <row r="94" spans="1:35" ht="12" customHeight="1" x14ac:dyDescent="0.2">
      <c r="A94" s="3" t="s">
        <v>178</v>
      </c>
      <c r="B94" s="15"/>
      <c r="C94" s="4" t="s">
        <v>95</v>
      </c>
      <c r="D94" s="15"/>
      <c r="E94" s="43">
        <v>2293133</v>
      </c>
      <c r="F94" s="43"/>
      <c r="G94" s="43">
        <f>56882+5790</f>
        <v>62672</v>
      </c>
      <c r="H94" s="43"/>
      <c r="I94" s="43">
        <v>19328</v>
      </c>
      <c r="J94" s="43"/>
      <c r="K94" s="43">
        <v>0</v>
      </c>
      <c r="L94" s="43"/>
      <c r="M94" s="43">
        <f t="shared" ref="M94" si="72">-E94+G94+I94+K94</f>
        <v>-2211133</v>
      </c>
      <c r="N94" s="43"/>
      <c r="O94" s="43">
        <v>0</v>
      </c>
      <c r="P94" s="43"/>
      <c r="Q94" s="43">
        <f>2757362+500</f>
        <v>2757862</v>
      </c>
      <c r="R94" s="43"/>
      <c r="S94" s="43">
        <v>0</v>
      </c>
      <c r="T94" s="43"/>
      <c r="U94" s="43">
        <v>12307</v>
      </c>
      <c r="V94" s="43"/>
      <c r="W94" s="43">
        <f>38616+9183</f>
        <v>47799</v>
      </c>
      <c r="X94" s="43"/>
      <c r="Y94" s="43">
        <v>0</v>
      </c>
      <c r="Z94" s="43"/>
      <c r="AA94" s="43">
        <v>0</v>
      </c>
      <c r="AB94" s="43"/>
      <c r="AC94" s="43">
        <f t="shared" ref="AC94" si="73">SUM(O94:AA94)</f>
        <v>2817968</v>
      </c>
      <c r="AD94" s="43"/>
      <c r="AE94" s="43">
        <f t="shared" ref="AE94" si="74">AC94+M94</f>
        <v>606835</v>
      </c>
      <c r="AF94" s="43"/>
      <c r="AG94" s="43">
        <v>2983814</v>
      </c>
      <c r="AH94" s="43"/>
      <c r="AI94" s="43">
        <f t="shared" ref="AI94" si="75">AE94+AG94</f>
        <v>3590649</v>
      </c>
    </row>
    <row r="95" spans="1:35" ht="12" customHeight="1" x14ac:dyDescent="0.2">
      <c r="A95" s="3" t="s">
        <v>640</v>
      </c>
      <c r="B95" s="15"/>
      <c r="C95" s="4" t="s">
        <v>95</v>
      </c>
      <c r="D95" s="15"/>
      <c r="E95" s="43">
        <v>262100.06</v>
      </c>
      <c r="F95" s="43"/>
      <c r="G95" s="43">
        <v>157713.01999999999</v>
      </c>
      <c r="H95" s="43"/>
      <c r="I95" s="43">
        <v>585</v>
      </c>
      <c r="J95" s="43"/>
      <c r="K95" s="43">
        <v>0</v>
      </c>
      <c r="L95" s="43"/>
      <c r="M95" s="43">
        <f t="shared" ref="M95" si="76">-E95+G95+I95+K95</f>
        <v>-103802.04000000001</v>
      </c>
      <c r="N95" s="43"/>
      <c r="O95" s="43">
        <v>0</v>
      </c>
      <c r="P95" s="43"/>
      <c r="Q95" s="43">
        <v>0</v>
      </c>
      <c r="R95" s="43"/>
      <c r="S95" s="43">
        <v>0</v>
      </c>
      <c r="T95" s="43"/>
      <c r="U95" s="43">
        <f>55202.94+26954.77+159575.93</f>
        <v>241733.64</v>
      </c>
      <c r="V95" s="43"/>
      <c r="W95" s="43">
        <v>0</v>
      </c>
      <c r="X95" s="43"/>
      <c r="Y95" s="43">
        <v>0</v>
      </c>
      <c r="Z95" s="43"/>
      <c r="AA95" s="43">
        <v>0</v>
      </c>
      <c r="AB95" s="43"/>
      <c r="AC95" s="43">
        <f t="shared" ref="AC95" si="77">SUM(O95:AA95)</f>
        <v>241733.64</v>
      </c>
      <c r="AD95" s="43"/>
      <c r="AE95" s="43">
        <f t="shared" ref="AE95" si="78">AC95+M95</f>
        <v>137931.6</v>
      </c>
      <c r="AF95" s="43"/>
      <c r="AG95" s="43">
        <v>3975795.8</v>
      </c>
      <c r="AH95" s="43"/>
      <c r="AI95" s="43">
        <f t="shared" ref="AI95" si="79">AE95+AG95</f>
        <v>4113727.4</v>
      </c>
    </row>
    <row r="96" spans="1:35" ht="12" customHeight="1" x14ac:dyDescent="0.2">
      <c r="A96" s="3" t="s">
        <v>644</v>
      </c>
      <c r="B96" s="15"/>
      <c r="C96" s="4" t="s">
        <v>85</v>
      </c>
      <c r="D96" s="15"/>
      <c r="E96" s="43">
        <v>1373098</v>
      </c>
      <c r="F96" s="43"/>
      <c r="G96" s="43">
        <v>15600</v>
      </c>
      <c r="H96" s="43"/>
      <c r="I96" s="43">
        <v>7634</v>
      </c>
      <c r="J96" s="43"/>
      <c r="K96" s="43">
        <v>0</v>
      </c>
      <c r="L96" s="43"/>
      <c r="M96" s="43">
        <f t="shared" ref="M96" si="80">-E96+G96+I96+K96</f>
        <v>-1349864</v>
      </c>
      <c r="N96" s="43"/>
      <c r="O96" s="43">
        <v>0</v>
      </c>
      <c r="P96" s="43"/>
      <c r="Q96" s="43">
        <f>1126594+27528</f>
        <v>1154122</v>
      </c>
      <c r="R96" s="43"/>
      <c r="S96" s="43">
        <v>0</v>
      </c>
      <c r="T96" s="43"/>
      <c r="U96" s="43">
        <v>5136</v>
      </c>
      <c r="V96" s="43"/>
      <c r="W96" s="43">
        <v>25472</v>
      </c>
      <c r="X96" s="43"/>
      <c r="Y96" s="43">
        <v>0</v>
      </c>
      <c r="Z96" s="43"/>
      <c r="AA96" s="43">
        <v>0</v>
      </c>
      <c r="AB96" s="43"/>
      <c r="AC96" s="43">
        <f t="shared" ref="AC96" si="81">SUM(O96:AA96)</f>
        <v>1184730</v>
      </c>
      <c r="AD96" s="43"/>
      <c r="AE96" s="43">
        <f t="shared" ref="AE96" si="82">AC96+M96</f>
        <v>-165134</v>
      </c>
      <c r="AF96" s="43"/>
      <c r="AG96" s="43">
        <v>1616346</v>
      </c>
      <c r="AH96" s="43"/>
      <c r="AI96" s="43">
        <f t="shared" ref="AI96" si="83">AE96+AG96</f>
        <v>1451212</v>
      </c>
    </row>
    <row r="97" spans="1:35" ht="12" customHeight="1" x14ac:dyDescent="0.2">
      <c r="A97" s="3" t="s">
        <v>559</v>
      </c>
      <c r="B97" s="15"/>
      <c r="C97" s="4" t="s">
        <v>179</v>
      </c>
      <c r="D97" s="15"/>
      <c r="E97" s="43">
        <v>799544</v>
      </c>
      <c r="F97" s="43"/>
      <c r="G97" s="43">
        <v>34400</v>
      </c>
      <c r="H97" s="43"/>
      <c r="I97" s="43">
        <v>710</v>
      </c>
      <c r="J97" s="43"/>
      <c r="K97" s="43">
        <v>0</v>
      </c>
      <c r="L97" s="43"/>
      <c r="M97" s="43">
        <f t="shared" ref="M97" si="84">-E97+G97+I97+K97</f>
        <v>-764434</v>
      </c>
      <c r="N97" s="43"/>
      <c r="O97" s="43">
        <v>0</v>
      </c>
      <c r="P97" s="43"/>
      <c r="Q97" s="43">
        <v>761167</v>
      </c>
      <c r="R97" s="43"/>
      <c r="S97" s="43">
        <v>0</v>
      </c>
      <c r="T97" s="43"/>
      <c r="U97" s="43">
        <v>6124</v>
      </c>
      <c r="V97" s="43"/>
      <c r="W97" s="43">
        <v>19040</v>
      </c>
      <c r="X97" s="43"/>
      <c r="Y97" s="43">
        <v>0</v>
      </c>
      <c r="Z97" s="43"/>
      <c r="AA97" s="43">
        <v>0</v>
      </c>
      <c r="AB97" s="43"/>
      <c r="AC97" s="43">
        <f t="shared" ref="AC97" si="85">SUM(O97:AA97)</f>
        <v>786331</v>
      </c>
      <c r="AD97" s="43"/>
      <c r="AE97" s="43">
        <f t="shared" ref="AE97" si="86">AC97+M97</f>
        <v>21897</v>
      </c>
      <c r="AF97" s="43"/>
      <c r="AG97" s="43">
        <v>1090880</v>
      </c>
      <c r="AH97" s="43"/>
      <c r="AI97" s="43">
        <f t="shared" ref="AI97" si="87">AE97+AG97</f>
        <v>1112777</v>
      </c>
    </row>
    <row r="98" spans="1:35" s="4" customFormat="1" ht="12" x14ac:dyDescent="0.2">
      <c r="A98" s="12" t="s">
        <v>9</v>
      </c>
      <c r="B98" s="12"/>
      <c r="C98" s="12" t="s">
        <v>10</v>
      </c>
      <c r="D98" s="15"/>
      <c r="E98" s="43">
        <v>791204</v>
      </c>
      <c r="F98" s="43"/>
      <c r="G98" s="43">
        <f>24705+1245</f>
        <v>25950</v>
      </c>
      <c r="H98" s="43"/>
      <c r="I98" s="43">
        <v>3982</v>
      </c>
      <c r="J98" s="43"/>
      <c r="K98" s="43">
        <v>0</v>
      </c>
      <c r="L98" s="43"/>
      <c r="M98" s="43">
        <f t="shared" si="3"/>
        <v>-761272</v>
      </c>
      <c r="N98" s="43"/>
      <c r="O98" s="43">
        <v>357881</v>
      </c>
      <c r="P98" s="43"/>
      <c r="Q98" s="43">
        <f>462479+16157</f>
        <v>478636</v>
      </c>
      <c r="R98" s="43"/>
      <c r="S98" s="43">
        <v>0</v>
      </c>
      <c r="T98" s="43"/>
      <c r="U98" s="43">
        <v>10735</v>
      </c>
      <c r="V98" s="43"/>
      <c r="W98" s="43">
        <v>3791</v>
      </c>
      <c r="X98" s="43"/>
      <c r="Y98" s="43">
        <v>0</v>
      </c>
      <c r="Z98" s="43"/>
      <c r="AA98" s="43">
        <v>0</v>
      </c>
      <c r="AB98" s="43"/>
      <c r="AC98" s="43">
        <f t="shared" si="66"/>
        <v>851043</v>
      </c>
      <c r="AD98" s="43"/>
      <c r="AE98" s="43">
        <f t="shared" si="67"/>
        <v>89771</v>
      </c>
      <c r="AF98" s="43"/>
      <c r="AG98" s="43">
        <v>1497056</v>
      </c>
      <c r="AH98" s="43"/>
      <c r="AI98" s="43">
        <f t="shared" si="4"/>
        <v>1586827</v>
      </c>
    </row>
    <row r="99" spans="1:35" ht="12" customHeight="1" x14ac:dyDescent="0.2">
      <c r="A99" s="15" t="s">
        <v>180</v>
      </c>
      <c r="B99" s="15"/>
      <c r="C99" s="15" t="s">
        <v>55</v>
      </c>
      <c r="D99" s="15"/>
      <c r="E99" s="43">
        <v>8195671</v>
      </c>
      <c r="F99" s="43"/>
      <c r="G99" s="43">
        <v>141119</v>
      </c>
      <c r="H99" s="43"/>
      <c r="I99" s="43">
        <v>97281</v>
      </c>
      <c r="J99" s="43"/>
      <c r="K99" s="43">
        <v>0</v>
      </c>
      <c r="L99" s="43"/>
      <c r="M99" s="43">
        <f t="shared" si="3"/>
        <v>-7957271</v>
      </c>
      <c r="N99" s="43"/>
      <c r="O99" s="43">
        <v>4175641</v>
      </c>
      <c r="P99" s="43"/>
      <c r="Q99" s="43">
        <v>4315326</v>
      </c>
      <c r="R99" s="43"/>
      <c r="S99" s="43">
        <v>493</v>
      </c>
      <c r="T99" s="43"/>
      <c r="U99" s="43">
        <v>19889</v>
      </c>
      <c r="V99" s="43"/>
      <c r="W99" s="43">
        <f>12494</f>
        <v>12494</v>
      </c>
      <c r="X99" s="43"/>
      <c r="Y99" s="43">
        <v>0</v>
      </c>
      <c r="Z99" s="43"/>
      <c r="AA99" s="43">
        <v>0</v>
      </c>
      <c r="AB99" s="43"/>
      <c r="AC99" s="43">
        <f t="shared" si="66"/>
        <v>8523843</v>
      </c>
      <c r="AD99" s="43"/>
      <c r="AE99" s="43">
        <f t="shared" si="67"/>
        <v>566572</v>
      </c>
      <c r="AF99" s="43"/>
      <c r="AG99" s="43">
        <v>8304543</v>
      </c>
      <c r="AH99" s="43"/>
      <c r="AI99" s="43">
        <f t="shared" si="4"/>
        <v>8871115</v>
      </c>
    </row>
    <row r="100" spans="1:35" ht="12" customHeight="1" x14ac:dyDescent="0.2">
      <c r="A100" s="15" t="s">
        <v>181</v>
      </c>
      <c r="B100" s="15"/>
      <c r="C100" s="15" t="s">
        <v>81</v>
      </c>
      <c r="D100" s="15"/>
      <c r="E100" s="43">
        <v>606022</v>
      </c>
      <c r="F100" s="43"/>
      <c r="G100" s="43">
        <f>12364+372</f>
        <v>12736</v>
      </c>
      <c r="H100" s="43"/>
      <c r="I100" s="43">
        <v>61925</v>
      </c>
      <c r="J100" s="43"/>
      <c r="K100" s="43">
        <v>0</v>
      </c>
      <c r="L100" s="43"/>
      <c r="M100" s="43">
        <f t="shared" si="3"/>
        <v>-531361</v>
      </c>
      <c r="N100" s="43"/>
      <c r="O100" s="43">
        <v>0</v>
      </c>
      <c r="P100" s="43"/>
      <c r="Q100" s="43">
        <f>526631+1134</f>
        <v>527765</v>
      </c>
      <c r="R100" s="43"/>
      <c r="S100" s="43">
        <v>0</v>
      </c>
      <c r="T100" s="43"/>
      <c r="U100" s="43">
        <v>1065</v>
      </c>
      <c r="V100" s="43"/>
      <c r="W100" s="43">
        <v>2274</v>
      </c>
      <c r="X100" s="43"/>
      <c r="Y100" s="43">
        <v>0</v>
      </c>
      <c r="Z100" s="43"/>
      <c r="AA100" s="43">
        <v>0</v>
      </c>
      <c r="AB100" s="43"/>
      <c r="AC100" s="43">
        <f t="shared" si="66"/>
        <v>531104</v>
      </c>
      <c r="AD100" s="43"/>
      <c r="AE100" s="43">
        <f t="shared" si="67"/>
        <v>-257</v>
      </c>
      <c r="AF100" s="43"/>
      <c r="AG100" s="43">
        <v>464630</v>
      </c>
      <c r="AH100" s="43"/>
      <c r="AI100" s="43">
        <f t="shared" si="4"/>
        <v>464373</v>
      </c>
    </row>
    <row r="101" spans="1:35" ht="12" hidden="1" customHeight="1" x14ac:dyDescent="0.2">
      <c r="A101" s="4" t="s">
        <v>510</v>
      </c>
      <c r="B101" s="4"/>
      <c r="C101" s="4" t="s">
        <v>23</v>
      </c>
      <c r="D101" s="4"/>
      <c r="E101" s="43">
        <v>766212.43</v>
      </c>
      <c r="F101" s="43"/>
      <c r="G101" s="43">
        <v>32362.66</v>
      </c>
      <c r="H101" s="43"/>
      <c r="I101" s="43">
        <v>0</v>
      </c>
      <c r="J101" s="43"/>
      <c r="K101" s="43">
        <v>4714.6000000000004</v>
      </c>
      <c r="L101" s="43"/>
      <c r="M101" s="43">
        <v>-729135.17</v>
      </c>
      <c r="N101" s="43"/>
      <c r="O101" s="43">
        <v>330856.45</v>
      </c>
      <c r="P101" s="43"/>
      <c r="Q101" s="43">
        <v>509179.92</v>
      </c>
      <c r="R101" s="43"/>
      <c r="S101" s="43">
        <v>0</v>
      </c>
      <c r="T101" s="43"/>
      <c r="U101" s="43">
        <v>501.23</v>
      </c>
      <c r="V101" s="43"/>
      <c r="W101" s="43">
        <v>8777.61</v>
      </c>
      <c r="X101" s="43"/>
      <c r="Y101" s="43">
        <v>0</v>
      </c>
      <c r="Z101" s="43"/>
      <c r="AA101" s="43">
        <v>0</v>
      </c>
      <c r="AB101" s="43"/>
      <c r="AC101" s="43">
        <f t="shared" ref="AC101:AC105" si="88">SUM(O101:AA101)</f>
        <v>849315.21</v>
      </c>
      <c r="AD101" s="43"/>
      <c r="AE101" s="43">
        <v>120180.04</v>
      </c>
      <c r="AF101" s="43"/>
      <c r="AG101" s="43">
        <v>542017.13</v>
      </c>
      <c r="AH101" s="43"/>
      <c r="AI101" s="43">
        <v>662197.17000000004</v>
      </c>
    </row>
    <row r="102" spans="1:35" ht="12" customHeight="1" x14ac:dyDescent="0.2">
      <c r="A102" s="15" t="s">
        <v>182</v>
      </c>
      <c r="B102" s="15"/>
      <c r="C102" s="15" t="s">
        <v>13</v>
      </c>
      <c r="D102" s="15"/>
      <c r="E102" s="43">
        <v>1215754</v>
      </c>
      <c r="F102" s="43"/>
      <c r="G102" s="43">
        <v>41264</v>
      </c>
      <c r="H102" s="43"/>
      <c r="I102" s="43">
        <v>7229</v>
      </c>
      <c r="J102" s="43"/>
      <c r="K102" s="43">
        <v>0</v>
      </c>
      <c r="L102" s="43"/>
      <c r="M102" s="43">
        <f t="shared" ref="M102" si="89">-E102+G102+I102+K102</f>
        <v>-1167261</v>
      </c>
      <c r="N102" s="43"/>
      <c r="O102" s="43">
        <v>688539</v>
      </c>
      <c r="P102" s="43"/>
      <c r="Q102" s="43">
        <f>558433+103732</f>
        <v>662165</v>
      </c>
      <c r="R102" s="43"/>
      <c r="S102" s="43">
        <v>0</v>
      </c>
      <c r="T102" s="43"/>
      <c r="U102" s="43">
        <v>2121</v>
      </c>
      <c r="V102" s="43"/>
      <c r="W102" s="43">
        <v>8143</v>
      </c>
      <c r="X102" s="43"/>
      <c r="Y102" s="43">
        <v>0</v>
      </c>
      <c r="Z102" s="43"/>
      <c r="AA102" s="43">
        <v>0</v>
      </c>
      <c r="AB102" s="43"/>
      <c r="AC102" s="43">
        <f t="shared" ref="AC102" si="90">SUM(O102:AA102)</f>
        <v>1360968</v>
      </c>
      <c r="AD102" s="43"/>
      <c r="AE102" s="43">
        <f t="shared" ref="AE102" si="91">AC102+M102</f>
        <v>193707</v>
      </c>
      <c r="AF102" s="43"/>
      <c r="AG102" s="43">
        <v>1022890</v>
      </c>
      <c r="AH102" s="43"/>
      <c r="AI102" s="43">
        <f t="shared" ref="AI102" si="92">AE102+AG102</f>
        <v>1216597</v>
      </c>
    </row>
    <row r="103" spans="1:35" ht="12" customHeight="1" x14ac:dyDescent="0.2">
      <c r="A103" s="15" t="s">
        <v>645</v>
      </c>
      <c r="B103" s="15"/>
      <c r="C103" s="15" t="s">
        <v>183</v>
      </c>
      <c r="D103" s="15"/>
      <c r="E103" s="43">
        <v>7396709</v>
      </c>
      <c r="F103" s="43"/>
      <c r="G103" s="43">
        <f>214019+20000</f>
        <v>234019</v>
      </c>
      <c r="H103" s="43"/>
      <c r="I103" s="43">
        <v>32855</v>
      </c>
      <c r="J103" s="43"/>
      <c r="K103" s="43">
        <v>0</v>
      </c>
      <c r="L103" s="43"/>
      <c r="M103" s="43">
        <f t="shared" ref="M103" si="93">-E103+G103+I103+K103</f>
        <v>-7129835</v>
      </c>
      <c r="N103" s="43"/>
      <c r="O103" s="43">
        <v>3195888</v>
      </c>
      <c r="P103" s="43"/>
      <c r="Q103" s="43">
        <f>3339802+438610</f>
        <v>3778412</v>
      </c>
      <c r="R103" s="43"/>
      <c r="S103" s="43">
        <v>0</v>
      </c>
      <c r="T103" s="43"/>
      <c r="U103" s="43">
        <v>17293</v>
      </c>
      <c r="V103" s="43"/>
      <c r="W103" s="43">
        <v>151700</v>
      </c>
      <c r="X103" s="43"/>
      <c r="Y103" s="43">
        <v>0</v>
      </c>
      <c r="Z103" s="43"/>
      <c r="AA103" s="43">
        <v>0</v>
      </c>
      <c r="AB103" s="43"/>
      <c r="AC103" s="43">
        <f t="shared" ref="AC103" si="94">SUM(O103:AA103)</f>
        <v>7143293</v>
      </c>
      <c r="AD103" s="43"/>
      <c r="AE103" s="43">
        <f t="shared" ref="AE103" si="95">AC103+M103</f>
        <v>13458</v>
      </c>
      <c r="AF103" s="43"/>
      <c r="AG103" s="43">
        <v>4831616</v>
      </c>
      <c r="AH103" s="43"/>
      <c r="AI103" s="43">
        <f t="shared" ref="AI103" si="96">AE103+AG103</f>
        <v>4845074</v>
      </c>
    </row>
    <row r="104" spans="1:35" ht="12" customHeight="1" x14ac:dyDescent="0.2">
      <c r="A104" s="15" t="s">
        <v>185</v>
      </c>
      <c r="B104" s="15"/>
      <c r="C104" s="15" t="s">
        <v>186</v>
      </c>
      <c r="D104" s="15"/>
      <c r="E104" s="43">
        <f>1726505+222723+131279</f>
        <v>2080507</v>
      </c>
      <c r="F104" s="43"/>
      <c r="G104" s="43">
        <v>38977</v>
      </c>
      <c r="H104" s="43"/>
      <c r="I104" s="43">
        <v>9804</v>
      </c>
      <c r="J104" s="43"/>
      <c r="K104" s="43">
        <v>0</v>
      </c>
      <c r="L104" s="43"/>
      <c r="M104" s="43">
        <f t="shared" ref="M104" si="97">-E104+G104+I104+K104</f>
        <v>-2031726</v>
      </c>
      <c r="N104" s="43"/>
      <c r="O104" s="43">
        <v>0</v>
      </c>
      <c r="P104" s="43"/>
      <c r="Q104" s="43">
        <f>1843987+12438</f>
        <v>1856425</v>
      </c>
      <c r="R104" s="43"/>
      <c r="S104" s="43">
        <v>0</v>
      </c>
      <c r="T104" s="43"/>
      <c r="U104" s="43">
        <v>144669</v>
      </c>
      <c r="V104" s="43"/>
      <c r="W104" s="43">
        <v>12060</v>
      </c>
      <c r="X104" s="43"/>
      <c r="Y104" s="43">
        <v>0</v>
      </c>
      <c r="Z104" s="43"/>
      <c r="AA104" s="43">
        <v>0</v>
      </c>
      <c r="AB104" s="43"/>
      <c r="AC104" s="43">
        <f t="shared" ref="AC104" si="98">SUM(O104:AA104)</f>
        <v>2013154</v>
      </c>
      <c r="AD104" s="43"/>
      <c r="AE104" s="43">
        <f t="shared" ref="AE104" si="99">AC104+M104</f>
        <v>-18572</v>
      </c>
      <c r="AF104" s="43"/>
      <c r="AG104" s="43">
        <v>2447149</v>
      </c>
      <c r="AH104" s="43"/>
      <c r="AI104" s="43">
        <f t="shared" ref="AI104" si="100">AE104+AG104</f>
        <v>2428577</v>
      </c>
    </row>
    <row r="105" spans="1:35" ht="12" hidden="1" customHeight="1" x14ac:dyDescent="0.2">
      <c r="A105" s="4" t="s">
        <v>430</v>
      </c>
      <c r="B105" s="4"/>
      <c r="C105" s="4" t="s">
        <v>11</v>
      </c>
      <c r="D105" s="4"/>
      <c r="E105" s="43">
        <v>1213985.99</v>
      </c>
      <c r="F105" s="43"/>
      <c r="G105" s="43">
        <v>28547.69</v>
      </c>
      <c r="H105" s="43"/>
      <c r="I105" s="43">
        <v>0</v>
      </c>
      <c r="J105" s="43"/>
      <c r="K105" s="43">
        <v>0</v>
      </c>
      <c r="L105" s="43"/>
      <c r="M105" s="43">
        <v>-1185438.3</v>
      </c>
      <c r="N105" s="43"/>
      <c r="O105" s="43">
        <v>0</v>
      </c>
      <c r="P105" s="43"/>
      <c r="Q105" s="43">
        <v>957123.79</v>
      </c>
      <c r="R105" s="43"/>
      <c r="S105" s="43">
        <v>0</v>
      </c>
      <c r="T105" s="43"/>
      <c r="U105" s="43">
        <v>3539.42</v>
      </c>
      <c r="V105" s="43"/>
      <c r="W105" s="43">
        <v>11177.9</v>
      </c>
      <c r="X105" s="43"/>
      <c r="Y105" s="43">
        <v>-30.8</v>
      </c>
      <c r="Z105" s="43"/>
      <c r="AA105" s="43">
        <v>13609.25</v>
      </c>
      <c r="AB105" s="43"/>
      <c r="AC105" s="43">
        <f t="shared" si="88"/>
        <v>985419.56</v>
      </c>
      <c r="AD105" s="43"/>
      <c r="AE105" s="43">
        <v>-200018.74</v>
      </c>
      <c r="AF105" s="43"/>
      <c r="AG105" s="43">
        <v>546953.48</v>
      </c>
      <c r="AH105" s="43"/>
      <c r="AI105" s="43">
        <v>346934.74</v>
      </c>
    </row>
    <row r="106" spans="1:35" ht="12" hidden="1" customHeight="1" x14ac:dyDescent="0.2">
      <c r="A106" s="15" t="s">
        <v>380</v>
      </c>
      <c r="B106" s="15"/>
      <c r="C106" s="15" t="s">
        <v>183</v>
      </c>
      <c r="D106" s="15"/>
      <c r="E106" s="43"/>
      <c r="F106" s="43"/>
      <c r="G106" s="43"/>
      <c r="H106" s="43"/>
      <c r="I106" s="43"/>
      <c r="J106" s="43"/>
      <c r="K106" s="43"/>
      <c r="L106" s="43"/>
      <c r="M106" s="43">
        <f t="shared" si="3"/>
        <v>0</v>
      </c>
      <c r="N106" s="43"/>
      <c r="O106" s="43"/>
      <c r="P106" s="43"/>
      <c r="Q106" s="43"/>
      <c r="R106" s="43"/>
      <c r="S106" s="43">
        <v>0</v>
      </c>
      <c r="T106" s="43"/>
      <c r="U106" s="43"/>
      <c r="V106" s="43"/>
      <c r="W106" s="43"/>
      <c r="X106" s="43"/>
      <c r="Y106" s="43"/>
      <c r="Z106" s="43"/>
      <c r="AA106" s="43"/>
      <c r="AB106" s="43"/>
      <c r="AC106" s="43">
        <f>SUM(O106:AA106)</f>
        <v>0</v>
      </c>
      <c r="AD106" s="43"/>
      <c r="AE106" s="43">
        <f>AC106+M106</f>
        <v>0</v>
      </c>
      <c r="AF106" s="43"/>
      <c r="AG106" s="43"/>
      <c r="AH106" s="43"/>
      <c r="AI106" s="43">
        <f t="shared" si="4"/>
        <v>0</v>
      </c>
    </row>
    <row r="107" spans="1:35" ht="12" hidden="1" customHeight="1" x14ac:dyDescent="0.2">
      <c r="A107" s="4" t="s">
        <v>371</v>
      </c>
      <c r="B107" s="4"/>
      <c r="C107" s="4" t="s">
        <v>52</v>
      </c>
      <c r="D107" s="4"/>
      <c r="E107" s="43">
        <v>830008.22</v>
      </c>
      <c r="F107" s="43"/>
      <c r="G107" s="43">
        <v>19439.41</v>
      </c>
      <c r="H107" s="43"/>
      <c r="I107" s="43">
        <v>0</v>
      </c>
      <c r="J107" s="43"/>
      <c r="K107" s="43">
        <v>0</v>
      </c>
      <c r="L107" s="43"/>
      <c r="M107" s="43">
        <v>-810568.81</v>
      </c>
      <c r="N107" s="43"/>
      <c r="O107" s="43">
        <v>558106.30000000005</v>
      </c>
      <c r="P107" s="43"/>
      <c r="Q107" s="43">
        <v>634906.11</v>
      </c>
      <c r="R107" s="43"/>
      <c r="S107" s="43">
        <v>0</v>
      </c>
      <c r="T107" s="43"/>
      <c r="U107" s="43">
        <v>10478.030000000001</v>
      </c>
      <c r="V107" s="43"/>
      <c r="W107" s="43">
        <v>1899.44</v>
      </c>
      <c r="X107" s="43"/>
      <c r="Y107" s="43">
        <v>0</v>
      </c>
      <c r="Z107" s="43"/>
      <c r="AA107" s="43">
        <v>200</v>
      </c>
      <c r="AB107" s="43"/>
      <c r="AC107" s="43">
        <f t="shared" ref="AC107:AC109" si="101">SUM(O107:AA107)</f>
        <v>1205589.8800000001</v>
      </c>
      <c r="AD107" s="43"/>
      <c r="AE107" s="43">
        <v>395021.07</v>
      </c>
      <c r="AF107" s="43"/>
      <c r="AG107" s="43">
        <v>947639.76</v>
      </c>
      <c r="AH107" s="43"/>
      <c r="AI107" s="43">
        <v>1342660.83</v>
      </c>
    </row>
    <row r="108" spans="1:35" ht="12" customHeight="1" x14ac:dyDescent="0.2">
      <c r="A108" s="15" t="s">
        <v>190</v>
      </c>
      <c r="B108" s="15"/>
      <c r="C108" s="15" t="s">
        <v>186</v>
      </c>
      <c r="D108" s="15"/>
      <c r="E108" s="43">
        <v>1708283</v>
      </c>
      <c r="F108" s="43"/>
      <c r="G108" s="43">
        <v>63454</v>
      </c>
      <c r="H108" s="43"/>
      <c r="I108" s="43">
        <v>13643</v>
      </c>
      <c r="J108" s="43"/>
      <c r="K108" s="43">
        <v>0</v>
      </c>
      <c r="L108" s="43"/>
      <c r="M108" s="43">
        <f t="shared" ref="M108" si="102">-E108+G108+I108+K108</f>
        <v>-1631186</v>
      </c>
      <c r="N108" s="43"/>
      <c r="O108" s="43">
        <v>605713</v>
      </c>
      <c r="P108" s="43"/>
      <c r="Q108" s="43">
        <f>617541+239834</f>
        <v>857375</v>
      </c>
      <c r="R108" s="43"/>
      <c r="S108" s="43">
        <v>0</v>
      </c>
      <c r="T108" s="43"/>
      <c r="U108" s="43">
        <v>776</v>
      </c>
      <c r="V108" s="43"/>
      <c r="W108" s="43">
        <v>0</v>
      </c>
      <c r="X108" s="43"/>
      <c r="Y108" s="43">
        <v>0</v>
      </c>
      <c r="Z108" s="43"/>
      <c r="AA108" s="43">
        <v>0</v>
      </c>
      <c r="AB108" s="43"/>
      <c r="AC108" s="43">
        <f t="shared" si="101"/>
        <v>1463864</v>
      </c>
      <c r="AD108" s="43"/>
      <c r="AE108" s="43">
        <f t="shared" ref="AE108" si="103">AC108+M108</f>
        <v>-167322</v>
      </c>
      <c r="AF108" s="43"/>
      <c r="AG108" s="43">
        <v>648306</v>
      </c>
      <c r="AH108" s="43"/>
      <c r="AI108" s="43">
        <f t="shared" ref="AI108" si="104">AE108+AG108</f>
        <v>480984</v>
      </c>
    </row>
    <row r="109" spans="1:35" ht="12" hidden="1" customHeight="1" x14ac:dyDescent="0.2">
      <c r="A109" s="4" t="s">
        <v>373</v>
      </c>
      <c r="B109" s="4"/>
      <c r="C109" s="4" t="s">
        <v>52</v>
      </c>
      <c r="D109" s="4"/>
      <c r="E109" s="43">
        <v>1372394.5</v>
      </c>
      <c r="F109" s="43"/>
      <c r="G109" s="43">
        <v>59064.24</v>
      </c>
      <c r="H109" s="43"/>
      <c r="I109" s="43">
        <v>161178.6</v>
      </c>
      <c r="J109" s="43"/>
      <c r="K109" s="43">
        <v>0</v>
      </c>
      <c r="L109" s="43"/>
      <c r="M109" s="43">
        <v>-1152151.6599999999</v>
      </c>
      <c r="N109" s="43"/>
      <c r="O109" s="43">
        <v>1336756.25</v>
      </c>
      <c r="P109" s="43"/>
      <c r="Q109" s="43">
        <v>1139615.2699999998</v>
      </c>
      <c r="R109" s="43"/>
      <c r="S109" s="43">
        <v>0</v>
      </c>
      <c r="T109" s="43"/>
      <c r="U109" s="43">
        <v>5987.33</v>
      </c>
      <c r="V109" s="43"/>
      <c r="W109" s="43">
        <v>2628.81</v>
      </c>
      <c r="X109" s="43"/>
      <c r="Y109" s="43">
        <v>0</v>
      </c>
      <c r="Z109" s="43"/>
      <c r="AA109" s="43">
        <v>0</v>
      </c>
      <c r="AB109" s="43"/>
      <c r="AC109" s="43">
        <f t="shared" si="101"/>
        <v>2484987.6599999997</v>
      </c>
      <c r="AD109" s="43"/>
      <c r="AE109" s="43">
        <v>1332836</v>
      </c>
      <c r="AF109" s="43"/>
      <c r="AG109" s="43">
        <v>1670842.01</v>
      </c>
      <c r="AH109" s="43"/>
      <c r="AI109" s="43">
        <v>3003678.01</v>
      </c>
    </row>
    <row r="110" spans="1:35" ht="12" customHeight="1" x14ac:dyDescent="0.2">
      <c r="A110" s="4" t="s">
        <v>193</v>
      </c>
      <c r="B110" s="4"/>
      <c r="C110" s="4" t="s">
        <v>23</v>
      </c>
      <c r="D110" s="4"/>
      <c r="E110" s="43">
        <v>2290193</v>
      </c>
      <c r="F110" s="43"/>
      <c r="G110" s="43">
        <v>44469</v>
      </c>
      <c r="H110" s="43"/>
      <c r="I110" s="43">
        <v>11406</v>
      </c>
      <c r="J110" s="43"/>
      <c r="K110" s="43">
        <v>0</v>
      </c>
      <c r="L110" s="43"/>
      <c r="M110" s="43">
        <f t="shared" si="3"/>
        <v>-2234318</v>
      </c>
      <c r="N110" s="43"/>
      <c r="O110" s="43">
        <v>799227</v>
      </c>
      <c r="P110" s="43"/>
      <c r="Q110" s="43">
        <f>1241060+124343</f>
        <v>1365403</v>
      </c>
      <c r="R110" s="43"/>
      <c r="S110" s="43">
        <v>0</v>
      </c>
      <c r="T110" s="43"/>
      <c r="U110" s="43">
        <v>892</v>
      </c>
      <c r="V110" s="43"/>
      <c r="W110" s="43">
        <v>17452</v>
      </c>
      <c r="X110" s="43"/>
      <c r="Y110" s="43">
        <v>0</v>
      </c>
      <c r="Z110" s="43"/>
      <c r="AA110" s="43">
        <v>0</v>
      </c>
      <c r="AB110" s="43"/>
      <c r="AC110" s="43">
        <f t="shared" ref="AC110:AC117" si="105">SUM(O110:AA110)</f>
        <v>2182974</v>
      </c>
      <c r="AD110" s="43"/>
      <c r="AE110" s="43">
        <f t="shared" ref="AE110:AE115" si="106">AC110+M110</f>
        <v>-51344</v>
      </c>
      <c r="AF110" s="43"/>
      <c r="AG110" s="43">
        <v>1326793</v>
      </c>
      <c r="AH110" s="43"/>
      <c r="AI110" s="43">
        <f t="shared" si="4"/>
        <v>1275449</v>
      </c>
    </row>
    <row r="111" spans="1:35" ht="12" customHeight="1" x14ac:dyDescent="0.2">
      <c r="A111" s="4" t="s">
        <v>431</v>
      </c>
      <c r="B111" s="4"/>
      <c r="C111" s="4" t="s">
        <v>23</v>
      </c>
      <c r="D111" s="4"/>
      <c r="E111" s="43">
        <v>1223475</v>
      </c>
      <c r="F111" s="43"/>
      <c r="G111" s="43">
        <v>20872</v>
      </c>
      <c r="H111" s="43"/>
      <c r="I111" s="43">
        <v>2747</v>
      </c>
      <c r="J111" s="43"/>
      <c r="K111" s="43">
        <v>0</v>
      </c>
      <c r="L111" s="43"/>
      <c r="M111" s="43">
        <f t="shared" ref="M111" si="107">-E111+G111+I111+K111</f>
        <v>-1199856</v>
      </c>
      <c r="N111" s="43"/>
      <c r="O111" s="43">
        <v>300672</v>
      </c>
      <c r="P111" s="43"/>
      <c r="Q111" s="43">
        <f>812363+59515</f>
        <v>871878</v>
      </c>
      <c r="R111" s="43"/>
      <c r="S111" s="43">
        <v>0</v>
      </c>
      <c r="T111" s="43"/>
      <c r="U111" s="43">
        <v>4259</v>
      </c>
      <c r="V111" s="43"/>
      <c r="W111" s="43">
        <v>16172</v>
      </c>
      <c r="X111" s="43"/>
      <c r="Y111" s="43">
        <v>0</v>
      </c>
      <c r="Z111" s="43"/>
      <c r="AA111" s="43">
        <v>0</v>
      </c>
      <c r="AB111" s="43"/>
      <c r="AC111" s="43">
        <f t="shared" ref="AC111" si="108">SUM(O111:AA111)</f>
        <v>1192981</v>
      </c>
      <c r="AD111" s="43"/>
      <c r="AE111" s="43">
        <f t="shared" si="106"/>
        <v>-6875</v>
      </c>
      <c r="AF111" s="43"/>
      <c r="AG111" s="43">
        <v>931325</v>
      </c>
      <c r="AH111" s="43"/>
      <c r="AI111" s="43">
        <f t="shared" ref="AI111" si="109">AE111+AG111</f>
        <v>924450</v>
      </c>
    </row>
    <row r="112" spans="1:35" ht="12" customHeight="1" x14ac:dyDescent="0.2">
      <c r="A112" s="4" t="s">
        <v>587</v>
      </c>
      <c r="B112" s="4"/>
      <c r="C112" s="4" t="s">
        <v>18</v>
      </c>
      <c r="D112" s="4"/>
      <c r="E112" s="43">
        <v>11150163</v>
      </c>
      <c r="F112" s="43"/>
      <c r="G112" s="43">
        <v>311013</v>
      </c>
      <c r="H112" s="43"/>
      <c r="I112" s="43">
        <v>38638</v>
      </c>
      <c r="J112" s="43"/>
      <c r="K112" s="43">
        <v>0</v>
      </c>
      <c r="L112" s="43"/>
      <c r="M112" s="43">
        <f t="shared" si="3"/>
        <v>-10800512</v>
      </c>
      <c r="N112" s="43"/>
      <c r="O112" s="43">
        <v>7058409</v>
      </c>
      <c r="P112" s="43"/>
      <c r="Q112" s="43">
        <f>3039678+962624+3934</f>
        <v>4006236</v>
      </c>
      <c r="R112" s="43"/>
      <c r="S112" s="43">
        <v>0</v>
      </c>
      <c r="T112" s="43"/>
      <c r="U112" s="43">
        <v>30629</v>
      </c>
      <c r="V112" s="43"/>
      <c r="W112" s="43">
        <v>58062</v>
      </c>
      <c r="X112" s="43"/>
      <c r="Y112" s="43">
        <v>0</v>
      </c>
      <c r="Z112" s="43"/>
      <c r="AA112" s="43">
        <v>0</v>
      </c>
      <c r="AB112" s="43"/>
      <c r="AC112" s="43">
        <f t="shared" si="105"/>
        <v>11153336</v>
      </c>
      <c r="AD112" s="43"/>
      <c r="AE112" s="43">
        <f t="shared" si="106"/>
        <v>352824</v>
      </c>
      <c r="AF112" s="43"/>
      <c r="AG112" s="43">
        <v>12258924</v>
      </c>
      <c r="AH112" s="43"/>
      <c r="AI112" s="43">
        <f t="shared" si="4"/>
        <v>12611748</v>
      </c>
    </row>
    <row r="113" spans="1:35" ht="12" customHeight="1" x14ac:dyDescent="0.2">
      <c r="A113" s="12" t="s">
        <v>12</v>
      </c>
      <c r="B113" s="12"/>
      <c r="C113" s="12" t="s">
        <v>13</v>
      </c>
      <c r="D113" s="15"/>
      <c r="E113" s="43">
        <v>3659346</v>
      </c>
      <c r="F113" s="43"/>
      <c r="G113" s="43">
        <v>118199</v>
      </c>
      <c r="H113" s="43"/>
      <c r="I113" s="43">
        <v>3070</v>
      </c>
      <c r="J113" s="43"/>
      <c r="K113" s="43">
        <v>0</v>
      </c>
      <c r="L113" s="43"/>
      <c r="M113" s="43">
        <f t="shared" si="3"/>
        <v>-3538077</v>
      </c>
      <c r="N113" s="43"/>
      <c r="O113" s="43">
        <v>2047953</v>
      </c>
      <c r="P113" s="43"/>
      <c r="Q113" s="43">
        <f>1479778+1458</f>
        <v>1481236</v>
      </c>
      <c r="R113" s="43"/>
      <c r="S113" s="43">
        <v>0</v>
      </c>
      <c r="T113" s="43"/>
      <c r="U113" s="43">
        <v>2044</v>
      </c>
      <c r="V113" s="43"/>
      <c r="W113" s="43">
        <v>33961</v>
      </c>
      <c r="X113" s="43"/>
      <c r="Y113" s="43">
        <v>0</v>
      </c>
      <c r="Z113" s="43"/>
      <c r="AA113" s="43">
        <v>0</v>
      </c>
      <c r="AB113" s="43"/>
      <c r="AC113" s="43">
        <f t="shared" si="105"/>
        <v>3565194</v>
      </c>
      <c r="AD113" s="43"/>
      <c r="AE113" s="43">
        <f t="shared" si="106"/>
        <v>27117</v>
      </c>
      <c r="AF113" s="43"/>
      <c r="AG113" s="43">
        <v>2553767</v>
      </c>
      <c r="AH113" s="43"/>
      <c r="AI113" s="43">
        <f t="shared" si="4"/>
        <v>2580884</v>
      </c>
    </row>
    <row r="114" spans="1:35" ht="12" hidden="1" customHeight="1" x14ac:dyDescent="0.2">
      <c r="A114" s="12" t="s">
        <v>195</v>
      </c>
      <c r="B114" s="12"/>
      <c r="C114" s="12" t="s">
        <v>8</v>
      </c>
      <c r="D114" s="15"/>
      <c r="E114" s="43">
        <v>5619615</v>
      </c>
      <c r="F114" s="43"/>
      <c r="G114" s="43">
        <v>252122</v>
      </c>
      <c r="H114" s="43"/>
      <c r="I114" s="43">
        <v>0</v>
      </c>
      <c r="J114" s="43"/>
      <c r="K114" s="43">
        <v>0</v>
      </c>
      <c r="L114" s="43"/>
      <c r="M114" s="43">
        <f t="shared" si="3"/>
        <v>-5367493</v>
      </c>
      <c r="N114" s="43"/>
      <c r="O114" s="43">
        <v>3108970</v>
      </c>
      <c r="P114" s="43"/>
      <c r="Q114" s="43">
        <v>17678</v>
      </c>
      <c r="R114" s="43"/>
      <c r="S114" s="43">
        <v>24453</v>
      </c>
      <c r="T114" s="43"/>
      <c r="U114" s="43">
        <v>8867</v>
      </c>
      <c r="V114" s="43"/>
      <c r="W114" s="43">
        <f>4549772+43704</f>
        <v>4593476</v>
      </c>
      <c r="X114" s="43"/>
      <c r="Y114" s="43">
        <v>250000</v>
      </c>
      <c r="Z114" s="43"/>
      <c r="AA114" s="43">
        <v>0</v>
      </c>
      <c r="AB114" s="43"/>
      <c r="AC114" s="43">
        <f t="shared" si="105"/>
        <v>8003444</v>
      </c>
      <c r="AD114" s="43"/>
      <c r="AE114" s="43">
        <f t="shared" si="106"/>
        <v>2635951</v>
      </c>
      <c r="AF114" s="43"/>
      <c r="AG114" s="43">
        <v>4568782</v>
      </c>
      <c r="AH114" s="43"/>
      <c r="AI114" s="43">
        <f t="shared" si="4"/>
        <v>7204733</v>
      </c>
    </row>
    <row r="115" spans="1:35" ht="12" customHeight="1" x14ac:dyDescent="0.2">
      <c r="A115" s="12" t="s">
        <v>652</v>
      </c>
      <c r="B115" s="12"/>
      <c r="C115" s="12" t="s">
        <v>8</v>
      </c>
      <c r="D115" s="15"/>
      <c r="E115" s="43">
        <v>6499718</v>
      </c>
      <c r="F115" s="43"/>
      <c r="G115" s="43">
        <v>256122</v>
      </c>
      <c r="H115" s="43"/>
      <c r="I115" s="43">
        <v>543741</v>
      </c>
      <c r="J115" s="43"/>
      <c r="K115" s="43">
        <v>0</v>
      </c>
      <c r="L115" s="43"/>
      <c r="M115" s="43">
        <f t="shared" ref="M115" si="110">-E115+G115+I115+K115</f>
        <v>-5699855</v>
      </c>
      <c r="N115" s="43"/>
      <c r="O115" s="43">
        <v>2971372</v>
      </c>
      <c r="P115" s="43"/>
      <c r="Q115" s="43">
        <v>4405470</v>
      </c>
      <c r="R115" s="43"/>
      <c r="S115" s="43">
        <v>0</v>
      </c>
      <c r="T115" s="43"/>
      <c r="U115" s="43">
        <v>17585</v>
      </c>
      <c r="V115" s="43"/>
      <c r="W115" s="43">
        <v>42865</v>
      </c>
      <c r="X115" s="43"/>
      <c r="Y115" s="43">
        <v>0</v>
      </c>
      <c r="Z115" s="43"/>
      <c r="AA115" s="43">
        <v>0</v>
      </c>
      <c r="AB115" s="43"/>
      <c r="AC115" s="43">
        <f t="shared" ref="AC115" si="111">SUM(O115:AA115)</f>
        <v>7437292</v>
      </c>
      <c r="AD115" s="43"/>
      <c r="AE115" s="43">
        <f t="shared" si="106"/>
        <v>1737437</v>
      </c>
      <c r="AF115" s="43"/>
      <c r="AG115" s="43">
        <v>7204733</v>
      </c>
      <c r="AH115" s="43"/>
      <c r="AI115" s="43">
        <f t="shared" ref="AI115" si="112">AE115+AG115</f>
        <v>8942170</v>
      </c>
    </row>
    <row r="116" spans="1:35" ht="12" hidden="1" customHeight="1" x14ac:dyDescent="0.2">
      <c r="A116" s="4" t="s">
        <v>375</v>
      </c>
      <c r="B116" s="4"/>
      <c r="C116" s="4" t="s">
        <v>23</v>
      </c>
      <c r="D116" s="4"/>
      <c r="E116" s="43">
        <v>652896.13</v>
      </c>
      <c r="F116" s="43"/>
      <c r="G116" s="43">
        <v>20057.580000000002</v>
      </c>
      <c r="H116" s="43"/>
      <c r="I116" s="43">
        <v>1265</v>
      </c>
      <c r="J116" s="43"/>
      <c r="K116" s="43">
        <v>0</v>
      </c>
      <c r="L116" s="43"/>
      <c r="M116" s="43">
        <v>-631573.55000000005</v>
      </c>
      <c r="N116" s="43"/>
      <c r="O116" s="43">
        <v>6.25</v>
      </c>
      <c r="P116" s="43"/>
      <c r="Q116" s="43">
        <v>685554.4</v>
      </c>
      <c r="R116" s="43"/>
      <c r="S116" s="43">
        <v>0</v>
      </c>
      <c r="T116" s="43"/>
      <c r="U116" s="43">
        <v>270.45999999999998</v>
      </c>
      <c r="V116" s="43"/>
      <c r="W116" s="43">
        <v>2708.95</v>
      </c>
      <c r="X116" s="43"/>
      <c r="Y116" s="43">
        <v>0</v>
      </c>
      <c r="Z116" s="43"/>
      <c r="AA116" s="43">
        <v>0</v>
      </c>
      <c r="AB116" s="43"/>
      <c r="AC116" s="43">
        <f t="shared" si="105"/>
        <v>688540.05999999994</v>
      </c>
      <c r="AD116" s="43"/>
      <c r="AE116" s="43">
        <v>56966.51</v>
      </c>
      <c r="AF116" s="43"/>
      <c r="AG116" s="43">
        <v>279248.40999999997</v>
      </c>
      <c r="AH116" s="43"/>
      <c r="AI116" s="43">
        <v>336214.92</v>
      </c>
    </row>
    <row r="117" spans="1:35" ht="12" hidden="1" customHeight="1" x14ac:dyDescent="0.2">
      <c r="A117" s="4" t="s">
        <v>509</v>
      </c>
      <c r="B117" s="4"/>
      <c r="C117" s="4" t="s">
        <v>62</v>
      </c>
      <c r="D117" s="4"/>
      <c r="E117" s="43"/>
      <c r="F117" s="43"/>
      <c r="G117" s="43"/>
      <c r="H117" s="43"/>
      <c r="I117" s="43"/>
      <c r="J117" s="43"/>
      <c r="K117" s="43"/>
      <c r="L117" s="43"/>
      <c r="M117" s="43">
        <f t="shared" si="3"/>
        <v>0</v>
      </c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>
        <v>0</v>
      </c>
      <c r="AB117" s="43"/>
      <c r="AC117" s="43">
        <f t="shared" si="105"/>
        <v>0</v>
      </c>
      <c r="AD117" s="43"/>
      <c r="AE117" s="43">
        <f t="shared" ref="AE117:AE119" si="113">AC117+M117</f>
        <v>0</v>
      </c>
      <c r="AF117" s="43"/>
      <c r="AG117" s="43"/>
      <c r="AH117" s="43"/>
      <c r="AI117" s="43">
        <f t="shared" si="4"/>
        <v>0</v>
      </c>
    </row>
    <row r="118" spans="1:35" ht="12" customHeight="1" x14ac:dyDescent="0.2">
      <c r="A118" s="12" t="s">
        <v>200</v>
      </c>
      <c r="B118" s="12"/>
      <c r="C118" s="12" t="s">
        <v>87</v>
      </c>
      <c r="D118" s="15"/>
      <c r="E118" s="43">
        <v>143965</v>
      </c>
      <c r="F118" s="43"/>
      <c r="G118" s="43">
        <v>4245</v>
      </c>
      <c r="H118" s="43"/>
      <c r="I118" s="43">
        <v>4158</v>
      </c>
      <c r="J118" s="43"/>
      <c r="K118" s="43">
        <v>0</v>
      </c>
      <c r="L118" s="43"/>
      <c r="M118" s="43">
        <f t="shared" ref="M118" si="114">-E118+G118+I118+K118</f>
        <v>-135562</v>
      </c>
      <c r="N118" s="43"/>
      <c r="O118" s="43">
        <v>92080</v>
      </c>
      <c r="P118" s="43"/>
      <c r="Q118" s="43">
        <v>0</v>
      </c>
      <c r="R118" s="43"/>
      <c r="S118" s="43">
        <v>0</v>
      </c>
      <c r="T118" s="43"/>
      <c r="U118" s="43">
        <v>891</v>
      </c>
      <c r="V118" s="43"/>
      <c r="W118" s="43">
        <v>2330</v>
      </c>
      <c r="X118" s="43"/>
      <c r="Y118" s="43">
        <v>0</v>
      </c>
      <c r="Z118" s="43"/>
      <c r="AA118" s="43">
        <v>0</v>
      </c>
      <c r="AB118" s="43"/>
      <c r="AC118" s="43">
        <f t="shared" ref="AC118" si="115">SUM(O118:AA118)</f>
        <v>95301</v>
      </c>
      <c r="AD118" s="43"/>
      <c r="AE118" s="43">
        <f t="shared" si="113"/>
        <v>-40261</v>
      </c>
      <c r="AF118" s="43"/>
      <c r="AG118" s="43">
        <v>230121</v>
      </c>
      <c r="AH118" s="43"/>
      <c r="AI118" s="43">
        <f t="shared" ref="AI118" si="116">AE118+AG118</f>
        <v>189860</v>
      </c>
    </row>
    <row r="119" spans="1:35" ht="12" customHeight="1" x14ac:dyDescent="0.2">
      <c r="A119" s="12" t="s">
        <v>201</v>
      </c>
      <c r="B119" s="12"/>
      <c r="C119" s="12" t="s">
        <v>202</v>
      </c>
      <c r="D119" s="15"/>
      <c r="E119" s="43">
        <v>199277</v>
      </c>
      <c r="F119" s="43"/>
      <c r="G119" s="43">
        <v>10490</v>
      </c>
      <c r="H119" s="43"/>
      <c r="I119" s="43">
        <v>3892</v>
      </c>
      <c r="J119" s="43"/>
      <c r="K119" s="43">
        <v>0</v>
      </c>
      <c r="L119" s="43"/>
      <c r="M119" s="43">
        <f t="shared" ref="M119" si="117">-E119+G119+I119+K119</f>
        <v>-184895</v>
      </c>
      <c r="N119" s="43"/>
      <c r="O119" s="43">
        <v>0</v>
      </c>
      <c r="P119" s="43"/>
      <c r="Q119" s="43">
        <v>203850</v>
      </c>
      <c r="R119" s="43"/>
      <c r="S119" s="43">
        <v>0</v>
      </c>
      <c r="T119" s="43"/>
      <c r="U119" s="43">
        <v>3982</v>
      </c>
      <c r="V119" s="43"/>
      <c r="W119" s="43">
        <v>4021</v>
      </c>
      <c r="X119" s="43"/>
      <c r="Y119" s="43">
        <v>0</v>
      </c>
      <c r="Z119" s="43"/>
      <c r="AA119" s="43">
        <v>0</v>
      </c>
      <c r="AB119" s="43"/>
      <c r="AC119" s="43">
        <f t="shared" ref="AC119" si="118">SUM(O119:AA119)</f>
        <v>211853</v>
      </c>
      <c r="AD119" s="43"/>
      <c r="AE119" s="43">
        <f t="shared" si="113"/>
        <v>26958</v>
      </c>
      <c r="AF119" s="43"/>
      <c r="AG119" s="43">
        <v>397118</v>
      </c>
      <c r="AH119" s="43"/>
      <c r="AI119" s="43">
        <f t="shared" ref="AI119" si="119">AE119+AG119</f>
        <v>424076</v>
      </c>
    </row>
    <row r="120" spans="1:35" ht="12" hidden="1" customHeight="1" x14ac:dyDescent="0.2">
      <c r="A120" s="12" t="s">
        <v>629</v>
      </c>
      <c r="B120" s="15"/>
      <c r="C120" s="15" t="s">
        <v>65</v>
      </c>
      <c r="D120" s="15"/>
      <c r="E120" s="43">
        <v>1286887.68</v>
      </c>
      <c r="F120" s="43"/>
      <c r="G120" s="43">
        <v>52873</v>
      </c>
      <c r="H120" s="43"/>
      <c r="I120" s="43">
        <v>820.26</v>
      </c>
      <c r="J120" s="43"/>
      <c r="K120" s="43">
        <v>0</v>
      </c>
      <c r="L120" s="43"/>
      <c r="M120" s="43">
        <v>-1233194.42</v>
      </c>
      <c r="N120" s="43"/>
      <c r="O120" s="43">
        <v>844423.76</v>
      </c>
      <c r="P120" s="43"/>
      <c r="Q120" s="43">
        <v>872247.59</v>
      </c>
      <c r="R120" s="43"/>
      <c r="S120" s="43">
        <v>0</v>
      </c>
      <c r="T120" s="43"/>
      <c r="U120" s="43">
        <v>3399.52</v>
      </c>
      <c r="V120" s="43"/>
      <c r="W120" s="43">
        <v>10412.459999999999</v>
      </c>
      <c r="X120" s="43"/>
      <c r="Y120" s="43">
        <v>0</v>
      </c>
      <c r="Z120" s="43"/>
      <c r="AA120" s="43">
        <v>0</v>
      </c>
      <c r="AB120" s="43"/>
      <c r="AC120" s="43">
        <f>SUM(O120:AA120)</f>
        <v>1730483.33</v>
      </c>
      <c r="AD120" s="43"/>
      <c r="AE120" s="43">
        <v>497288.91</v>
      </c>
      <c r="AF120" s="43"/>
      <c r="AG120" s="43">
        <v>1448548.17</v>
      </c>
      <c r="AH120" s="43"/>
      <c r="AI120" s="43">
        <v>1945837.08</v>
      </c>
    </row>
    <row r="121" spans="1:35" ht="12" hidden="1" customHeight="1" x14ac:dyDescent="0.2">
      <c r="A121" s="4" t="s">
        <v>570</v>
      </c>
      <c r="B121" s="15"/>
      <c r="C121" s="15" t="s">
        <v>51</v>
      </c>
      <c r="D121" s="15"/>
      <c r="E121" s="43">
        <v>1109637.72</v>
      </c>
      <c r="F121" s="43"/>
      <c r="G121" s="43">
        <v>18673.509999999998</v>
      </c>
      <c r="H121" s="43"/>
      <c r="I121" s="43">
        <v>0</v>
      </c>
      <c r="J121" s="43"/>
      <c r="K121" s="43">
        <v>0</v>
      </c>
      <c r="L121" s="43"/>
      <c r="M121" s="43">
        <v>-1090964.21</v>
      </c>
      <c r="N121" s="43"/>
      <c r="O121" s="43">
        <v>0</v>
      </c>
      <c r="P121" s="43"/>
      <c r="Q121" s="43">
        <v>1091615.08</v>
      </c>
      <c r="R121" s="43"/>
      <c r="S121" s="43">
        <v>0</v>
      </c>
      <c r="T121" s="43"/>
      <c r="U121" s="43">
        <v>163.91</v>
      </c>
      <c r="V121" s="43"/>
      <c r="W121" s="43">
        <v>19805.060000000001</v>
      </c>
      <c r="X121" s="43"/>
      <c r="Y121" s="43">
        <v>0</v>
      </c>
      <c r="Z121" s="43"/>
      <c r="AA121" s="43">
        <v>13000</v>
      </c>
      <c r="AB121" s="43"/>
      <c r="AC121" s="43">
        <f t="shared" ref="AC121" si="120">SUM(O121:AA121)</f>
        <v>1124584.05</v>
      </c>
      <c r="AD121" s="43"/>
      <c r="AE121" s="43">
        <v>33619.839999999997</v>
      </c>
      <c r="AF121" s="43"/>
      <c r="AG121" s="43">
        <v>354529.34</v>
      </c>
      <c r="AH121" s="43"/>
      <c r="AI121" s="43">
        <v>388149.18</v>
      </c>
    </row>
    <row r="122" spans="1:35" ht="12" customHeight="1" x14ac:dyDescent="0.2">
      <c r="A122" s="4"/>
      <c r="B122" s="15"/>
      <c r="C122" s="15"/>
      <c r="D122" s="15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 t="s">
        <v>576</v>
      </c>
    </row>
    <row r="123" spans="1:35" ht="12" hidden="1" customHeight="1" x14ac:dyDescent="0.2">
      <c r="A123" s="4"/>
      <c r="B123" s="15"/>
      <c r="C123" s="15"/>
      <c r="D123" s="15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53"/>
    </row>
    <row r="124" spans="1:35" ht="12" customHeight="1" x14ac:dyDescent="0.2">
      <c r="A124" s="95" t="s">
        <v>517</v>
      </c>
      <c r="B124" s="95"/>
      <c r="C124" s="95"/>
      <c r="D124" s="95"/>
      <c r="E124" s="95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</row>
    <row r="125" spans="1:35" ht="12" customHeight="1" x14ac:dyDescent="0.2">
      <c r="A125" s="15" t="s">
        <v>394</v>
      </c>
      <c r="B125" s="15"/>
      <c r="C125" s="15"/>
      <c r="D125" s="15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</row>
    <row r="126" spans="1:35" ht="12" customHeight="1" x14ac:dyDescent="0.2">
      <c r="A126" s="15" t="s">
        <v>632</v>
      </c>
      <c r="B126" s="15"/>
      <c r="C126" s="15"/>
      <c r="D126" s="15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</row>
    <row r="127" spans="1:35" ht="12" customHeight="1" x14ac:dyDescent="0.2">
      <c r="A127" s="15" t="s">
        <v>5</v>
      </c>
      <c r="B127" s="15"/>
      <c r="C127" s="15"/>
      <c r="D127" s="15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</row>
    <row r="128" spans="1:35" ht="12" customHeight="1" x14ac:dyDescent="0.2">
      <c r="B128" s="15"/>
      <c r="C128" s="15"/>
      <c r="D128" s="15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</row>
    <row r="129" spans="1:35" ht="12" customHeight="1" x14ac:dyDescent="0.2">
      <c r="A129" s="12" t="s">
        <v>395</v>
      </c>
      <c r="B129" s="15"/>
      <c r="C129" s="15"/>
      <c r="D129" s="15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</row>
    <row r="130" spans="1:35" ht="12" customHeight="1" x14ac:dyDescent="0.2">
      <c r="A130" s="15"/>
      <c r="B130" s="15"/>
      <c r="C130" s="15"/>
      <c r="D130" s="15"/>
      <c r="E130" s="55"/>
      <c r="F130" s="55"/>
      <c r="G130" s="96" t="s">
        <v>346</v>
      </c>
      <c r="H130" s="96"/>
      <c r="I130" s="96"/>
      <c r="J130" s="96"/>
      <c r="K130" s="96"/>
      <c r="L130" s="23"/>
      <c r="M130" s="23"/>
      <c r="N130" s="23"/>
      <c r="O130" s="96" t="s">
        <v>347</v>
      </c>
      <c r="P130" s="96"/>
      <c r="Q130" s="96"/>
      <c r="R130" s="96"/>
      <c r="S130" s="96"/>
      <c r="T130" s="96"/>
      <c r="U130" s="96"/>
      <c r="V130" s="96"/>
      <c r="W130" s="96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</row>
    <row r="131" spans="1:35" ht="12" customHeight="1" x14ac:dyDescent="0.2">
      <c r="A131" s="15"/>
      <c r="B131" s="15"/>
      <c r="C131" s="15"/>
      <c r="D131" s="15"/>
      <c r="E131" s="55"/>
      <c r="F131" s="55"/>
      <c r="G131" s="55"/>
      <c r="H131" s="55"/>
      <c r="I131" s="56" t="s">
        <v>396</v>
      </c>
      <c r="J131" s="55"/>
      <c r="K131" s="55"/>
      <c r="L131" s="23"/>
      <c r="M131" s="23"/>
      <c r="N131" s="23"/>
      <c r="O131" s="23"/>
      <c r="P131" s="23"/>
      <c r="Q131" s="27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</row>
    <row r="132" spans="1:35" ht="12" customHeight="1" x14ac:dyDescent="0.2">
      <c r="D132" s="15"/>
      <c r="E132" s="55"/>
      <c r="F132" s="55"/>
      <c r="G132" s="55"/>
      <c r="H132" s="55"/>
      <c r="I132" s="56" t="s">
        <v>397</v>
      </c>
      <c r="J132" s="55"/>
      <c r="K132" s="55"/>
      <c r="L132" s="23"/>
      <c r="M132" s="56" t="s">
        <v>402</v>
      </c>
      <c r="N132" s="55"/>
      <c r="O132" s="56" t="s">
        <v>29</v>
      </c>
      <c r="P132" s="56"/>
      <c r="Q132" s="56" t="s">
        <v>397</v>
      </c>
      <c r="R132" s="55"/>
      <c r="S132" s="56" t="s">
        <v>407</v>
      </c>
      <c r="T132" s="55"/>
      <c r="U132" s="55"/>
      <c r="V132" s="55"/>
      <c r="W132" s="55"/>
      <c r="X132" s="55"/>
      <c r="Y132" s="56" t="s">
        <v>409</v>
      </c>
      <c r="Z132" s="23"/>
      <c r="AA132" s="56" t="s">
        <v>403</v>
      </c>
      <c r="AB132" s="23"/>
      <c r="AC132" s="56"/>
      <c r="AD132" s="55"/>
      <c r="AE132" s="56" t="s">
        <v>404</v>
      </c>
      <c r="AF132" s="55"/>
      <c r="AG132" s="56" t="s">
        <v>655</v>
      </c>
      <c r="AH132" s="55"/>
      <c r="AI132" s="56" t="s">
        <v>402</v>
      </c>
    </row>
    <row r="133" spans="1:35" ht="12" customHeight="1" x14ac:dyDescent="0.2">
      <c r="A133" s="57"/>
      <c r="B133" s="57"/>
      <c r="C133" s="15"/>
      <c r="D133" s="15"/>
      <c r="E133" s="56" t="s">
        <v>398</v>
      </c>
      <c r="F133" s="55"/>
      <c r="G133" s="56" t="s">
        <v>399</v>
      </c>
      <c r="H133" s="55"/>
      <c r="I133" s="56" t="s">
        <v>400</v>
      </c>
      <c r="J133" s="55"/>
      <c r="K133" s="56" t="s">
        <v>28</v>
      </c>
      <c r="L133" s="23"/>
      <c r="M133" s="56" t="s">
        <v>512</v>
      </c>
      <c r="N133" s="55"/>
      <c r="O133" s="56" t="s">
        <v>406</v>
      </c>
      <c r="P133" s="56"/>
      <c r="Q133" s="56" t="s">
        <v>540</v>
      </c>
      <c r="R133" s="55"/>
      <c r="S133" s="56" t="s">
        <v>539</v>
      </c>
      <c r="T133" s="55"/>
      <c r="U133" s="56" t="s">
        <v>408</v>
      </c>
      <c r="V133" s="55"/>
      <c r="W133" s="55"/>
      <c r="X133" s="55"/>
      <c r="Y133" s="56" t="s">
        <v>573</v>
      </c>
      <c r="Z133" s="23"/>
      <c r="AA133" s="56" t="s">
        <v>410</v>
      </c>
      <c r="AB133" s="23"/>
      <c r="AC133" s="56" t="s">
        <v>26</v>
      </c>
      <c r="AD133" s="55"/>
      <c r="AE133" s="56" t="s">
        <v>411</v>
      </c>
      <c r="AF133" s="55"/>
      <c r="AG133" s="56" t="s">
        <v>412</v>
      </c>
      <c r="AH133" s="55"/>
      <c r="AI133" s="56" t="s">
        <v>654</v>
      </c>
    </row>
    <row r="134" spans="1:35" s="4" customFormat="1" ht="12" x14ac:dyDescent="0.2">
      <c r="A134" s="45" t="s">
        <v>6</v>
      </c>
      <c r="B134" s="57"/>
      <c r="C134" s="85" t="s">
        <v>4</v>
      </c>
      <c r="D134" s="57"/>
      <c r="E134" s="84" t="s">
        <v>575</v>
      </c>
      <c r="F134" s="57"/>
      <c r="G134" s="59" t="s">
        <v>27</v>
      </c>
      <c r="H134" s="57"/>
      <c r="I134" s="59" t="s">
        <v>401</v>
      </c>
      <c r="J134" s="57"/>
      <c r="K134" s="59" t="s">
        <v>397</v>
      </c>
      <c r="L134" s="57"/>
      <c r="M134" s="59" t="s">
        <v>413</v>
      </c>
      <c r="N134" s="57"/>
      <c r="O134" s="59" t="s">
        <v>414</v>
      </c>
      <c r="P134" s="59"/>
      <c r="Q134" s="59" t="s">
        <v>541</v>
      </c>
      <c r="R134" s="57"/>
      <c r="S134" s="59" t="s">
        <v>400</v>
      </c>
      <c r="T134" s="57"/>
      <c r="U134" s="59" t="s">
        <v>415</v>
      </c>
      <c r="V134" s="57"/>
      <c r="W134" s="59" t="s">
        <v>0</v>
      </c>
      <c r="X134" s="57"/>
      <c r="Y134" s="59" t="s">
        <v>574</v>
      </c>
      <c r="Z134" s="57"/>
      <c r="AA134" s="59" t="s">
        <v>416</v>
      </c>
      <c r="AB134" s="57"/>
      <c r="AC134" s="59" t="s">
        <v>547</v>
      </c>
      <c r="AD134" s="57"/>
      <c r="AE134" s="59" t="s">
        <v>654</v>
      </c>
      <c r="AF134" s="57"/>
      <c r="AG134" s="59" t="s">
        <v>417</v>
      </c>
      <c r="AH134" s="57"/>
      <c r="AI134" s="59" t="s">
        <v>418</v>
      </c>
    </row>
    <row r="135" spans="1:35" s="4" customFormat="1" ht="12" x14ac:dyDescent="0.2">
      <c r="A135" s="57"/>
      <c r="B135" s="57"/>
      <c r="C135" s="27"/>
      <c r="D135" s="57"/>
      <c r="E135" s="56"/>
      <c r="F135" s="57"/>
      <c r="G135" s="89"/>
      <c r="H135" s="57"/>
      <c r="I135" s="89"/>
      <c r="J135" s="57"/>
      <c r="K135" s="89"/>
      <c r="L135" s="57"/>
      <c r="M135" s="89"/>
      <c r="N135" s="57"/>
      <c r="O135" s="89"/>
      <c r="P135" s="89"/>
      <c r="Q135" s="89"/>
      <c r="R135" s="57"/>
      <c r="S135" s="89"/>
      <c r="T135" s="57"/>
      <c r="U135" s="89"/>
      <c r="V135" s="57"/>
      <c r="W135" s="89"/>
      <c r="X135" s="57"/>
      <c r="Y135" s="89"/>
      <c r="Z135" s="57"/>
      <c r="AA135" s="89"/>
      <c r="AB135" s="57"/>
      <c r="AC135" s="89"/>
      <c r="AD135" s="57"/>
      <c r="AE135" s="89"/>
      <c r="AF135" s="57"/>
      <c r="AG135" s="89"/>
      <c r="AH135" s="57"/>
      <c r="AI135" s="89"/>
    </row>
    <row r="136" spans="1:35" ht="12" customHeight="1" x14ac:dyDescent="0.2">
      <c r="A136" s="12" t="s">
        <v>646</v>
      </c>
      <c r="B136" s="12"/>
      <c r="C136" s="12" t="s">
        <v>13</v>
      </c>
      <c r="D136" s="15"/>
      <c r="E136" s="93">
        <v>9856870</v>
      </c>
      <c r="F136" s="93"/>
      <c r="G136" s="93">
        <v>83766</v>
      </c>
      <c r="H136" s="93"/>
      <c r="I136" s="93">
        <v>31925</v>
      </c>
      <c r="J136" s="93"/>
      <c r="K136" s="93">
        <v>0</v>
      </c>
      <c r="L136" s="93"/>
      <c r="M136" s="93">
        <f t="shared" ref="M136" si="121">-E136+G136+I136+K136</f>
        <v>-9741179</v>
      </c>
      <c r="N136" s="93"/>
      <c r="O136" s="93">
        <v>1815347</v>
      </c>
      <c r="P136" s="93"/>
      <c r="Q136" s="93">
        <f>1262490+307490</f>
        <v>1569980</v>
      </c>
      <c r="R136" s="93"/>
      <c r="S136" s="93">
        <v>0</v>
      </c>
      <c r="T136" s="93"/>
      <c r="U136" s="93">
        <v>160313</v>
      </c>
      <c r="V136" s="93"/>
      <c r="W136" s="93">
        <f>11651+6453696</f>
        <v>6465347</v>
      </c>
      <c r="X136" s="93"/>
      <c r="Y136" s="93">
        <v>0</v>
      </c>
      <c r="Z136" s="93"/>
      <c r="AA136" s="93">
        <v>0</v>
      </c>
      <c r="AB136" s="93"/>
      <c r="AC136" s="93">
        <f t="shared" ref="AC136" si="122">SUM(O136:AA136)</f>
        <v>10010987</v>
      </c>
      <c r="AD136" s="93"/>
      <c r="AE136" s="93">
        <f>AC136+M136</f>
        <v>269808</v>
      </c>
      <c r="AF136" s="93"/>
      <c r="AG136" s="93">
        <v>9071785</v>
      </c>
      <c r="AH136" s="93"/>
      <c r="AI136" s="93">
        <f t="shared" ref="AI136" si="123">AE136+AG136</f>
        <v>9341593</v>
      </c>
    </row>
    <row r="137" spans="1:35" ht="12" hidden="1" customHeight="1" x14ac:dyDescent="0.2">
      <c r="A137" s="12" t="s">
        <v>423</v>
      </c>
      <c r="B137" s="12"/>
      <c r="C137" s="12" t="s">
        <v>14</v>
      </c>
      <c r="D137" s="15"/>
      <c r="E137" s="43">
        <v>2860817</v>
      </c>
      <c r="F137" s="43"/>
      <c r="G137" s="43">
        <v>32016</v>
      </c>
      <c r="H137" s="43"/>
      <c r="I137" s="43">
        <v>51982</v>
      </c>
      <c r="J137" s="43"/>
      <c r="K137" s="43">
        <v>0</v>
      </c>
      <c r="L137" s="43"/>
      <c r="M137" s="43">
        <f>-E137+G137+I137+K137</f>
        <v>-2776819</v>
      </c>
      <c r="N137" s="43"/>
      <c r="O137" s="43">
        <v>1063476</v>
      </c>
      <c r="P137" s="43"/>
      <c r="Q137" s="43">
        <f>1231187+157042</f>
        <v>1388229</v>
      </c>
      <c r="R137" s="43"/>
      <c r="S137" s="43">
        <v>0</v>
      </c>
      <c r="T137" s="43"/>
      <c r="U137" s="43">
        <v>947</v>
      </c>
      <c r="V137" s="43"/>
      <c r="W137" s="43">
        <v>68968</v>
      </c>
      <c r="X137" s="43"/>
      <c r="Y137" s="43"/>
      <c r="Z137" s="43"/>
      <c r="AA137" s="43">
        <v>0</v>
      </c>
      <c r="AB137" s="43"/>
      <c r="AC137" s="43">
        <f>SUM(O137:AA137)</f>
        <v>2521620</v>
      </c>
      <c r="AD137" s="43"/>
      <c r="AE137" s="43">
        <f>AC137+M137</f>
        <v>-255199</v>
      </c>
      <c r="AF137" s="43"/>
      <c r="AG137" s="43">
        <v>940932</v>
      </c>
      <c r="AH137" s="43"/>
      <c r="AI137" s="43">
        <f>AE137+AG137</f>
        <v>685733</v>
      </c>
    </row>
    <row r="138" spans="1:35" ht="12" customHeight="1" x14ac:dyDescent="0.2">
      <c r="A138" s="15" t="s">
        <v>206</v>
      </c>
      <c r="B138" s="15"/>
      <c r="C138" s="15" t="s">
        <v>207</v>
      </c>
      <c r="D138" s="15"/>
      <c r="E138" s="43">
        <v>3695169</v>
      </c>
      <c r="F138" s="43"/>
      <c r="G138" s="43">
        <f>84448+23434</f>
        <v>107882</v>
      </c>
      <c r="H138" s="43"/>
      <c r="I138" s="43">
        <v>22109</v>
      </c>
      <c r="J138" s="43"/>
      <c r="K138" s="43">
        <v>0</v>
      </c>
      <c r="L138" s="43"/>
      <c r="M138" s="43">
        <f>-E138+G138+I138+K138</f>
        <v>-3565178</v>
      </c>
      <c r="N138" s="43"/>
      <c r="O138" s="43">
        <v>1658673</v>
      </c>
      <c r="P138" s="43"/>
      <c r="Q138" s="43">
        <v>2373877</v>
      </c>
      <c r="R138" s="43"/>
      <c r="S138" s="43">
        <v>0</v>
      </c>
      <c r="T138" s="43"/>
      <c r="U138" s="43">
        <v>54825</v>
      </c>
      <c r="V138" s="43"/>
      <c r="W138" s="43">
        <v>46630</v>
      </c>
      <c r="X138" s="43"/>
      <c r="Y138" s="43">
        <v>0</v>
      </c>
      <c r="Z138" s="43"/>
      <c r="AA138" s="43">
        <v>0</v>
      </c>
      <c r="AB138" s="43"/>
      <c r="AC138" s="43">
        <f>SUM(O138:AA138)</f>
        <v>4134005</v>
      </c>
      <c r="AD138" s="43"/>
      <c r="AE138" s="43">
        <f>AC138+M138</f>
        <v>568827</v>
      </c>
      <c r="AF138" s="43"/>
      <c r="AG138" s="43">
        <v>5251856</v>
      </c>
      <c r="AH138" s="43"/>
      <c r="AI138" s="43">
        <f>AE138+AG138</f>
        <v>5820683</v>
      </c>
    </row>
    <row r="139" spans="1:35" ht="12" hidden="1" customHeight="1" x14ac:dyDescent="0.2">
      <c r="A139" s="4" t="s">
        <v>620</v>
      </c>
      <c r="B139" s="4"/>
      <c r="C139" s="4" t="s">
        <v>208</v>
      </c>
      <c r="D139" s="4"/>
      <c r="E139" s="43"/>
      <c r="F139" s="43"/>
      <c r="G139" s="43"/>
      <c r="H139" s="43"/>
      <c r="I139" s="43"/>
      <c r="J139" s="43"/>
      <c r="K139" s="43"/>
      <c r="L139" s="43"/>
      <c r="M139" s="43">
        <f>-E139+G139+I139+K139</f>
        <v>0</v>
      </c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>
        <f t="shared" ref="AC139:AC141" si="124">SUM(O139:AA139)</f>
        <v>0</v>
      </c>
      <c r="AD139" s="43"/>
      <c r="AE139" s="43">
        <f>AC139+M139</f>
        <v>0</v>
      </c>
      <c r="AF139" s="43"/>
      <c r="AG139" s="43"/>
      <c r="AH139" s="43"/>
      <c r="AI139" s="43">
        <f>AE139+AG139</f>
        <v>0</v>
      </c>
    </row>
    <row r="140" spans="1:35" ht="12" customHeight="1" x14ac:dyDescent="0.2">
      <c r="A140" s="4" t="s">
        <v>337</v>
      </c>
      <c r="B140" s="4"/>
      <c r="C140" s="4" t="s">
        <v>87</v>
      </c>
      <c r="D140" s="4"/>
      <c r="E140" s="43">
        <v>258557.57</v>
      </c>
      <c r="F140" s="43"/>
      <c r="G140" s="43">
        <v>8243</v>
      </c>
      <c r="H140" s="43"/>
      <c r="I140" s="43">
        <v>1043.72</v>
      </c>
      <c r="J140" s="43"/>
      <c r="K140" s="43">
        <v>0</v>
      </c>
      <c r="L140" s="43"/>
      <c r="M140" s="43">
        <f t="shared" ref="M140" si="125">-E140+G140+I140+K140</f>
        <v>-249270.85</v>
      </c>
      <c r="N140" s="43"/>
      <c r="O140" s="43">
        <v>199447.92</v>
      </c>
      <c r="P140" s="43"/>
      <c r="Q140" s="43">
        <v>3000</v>
      </c>
      <c r="R140" s="43"/>
      <c r="S140" s="43">
        <v>0</v>
      </c>
      <c r="T140" s="43"/>
      <c r="U140" s="43">
        <v>3479.64</v>
      </c>
      <c r="V140" s="43"/>
      <c r="W140" s="43">
        <v>75.510000000000005</v>
      </c>
      <c r="X140" s="43"/>
      <c r="Y140" s="43">
        <v>-6316.3</v>
      </c>
      <c r="Z140" s="43"/>
      <c r="AA140" s="43">
        <v>0</v>
      </c>
      <c r="AB140" s="43"/>
      <c r="AC140" s="43">
        <f t="shared" ref="AC140" si="126">SUM(O140:AA140)</f>
        <v>199686.77000000005</v>
      </c>
      <c r="AD140" s="43"/>
      <c r="AE140" s="43">
        <f t="shared" ref="AE140" si="127">AC140+M140</f>
        <v>-49584.079999999958</v>
      </c>
      <c r="AF140" s="43"/>
      <c r="AG140" s="43">
        <v>305504.33</v>
      </c>
      <c r="AH140" s="43"/>
      <c r="AI140" s="43">
        <f t="shared" ref="AI140" si="128">AE140+AG140</f>
        <v>255920.25000000006</v>
      </c>
    </row>
    <row r="141" spans="1:35" ht="12" customHeight="1" x14ac:dyDescent="0.2">
      <c r="A141" s="4" t="s">
        <v>211</v>
      </c>
      <c r="B141" s="4"/>
      <c r="C141" s="4" t="s">
        <v>54</v>
      </c>
      <c r="D141" s="4"/>
      <c r="E141" s="43">
        <v>686094</v>
      </c>
      <c r="F141" s="43"/>
      <c r="G141" s="43">
        <f>10285</f>
        <v>10285</v>
      </c>
      <c r="H141" s="43"/>
      <c r="I141" s="43">
        <v>6455</v>
      </c>
      <c r="J141" s="43"/>
      <c r="K141" s="43">
        <v>0</v>
      </c>
      <c r="L141" s="43"/>
      <c r="M141" s="43">
        <f>-E141+G141+I141+K141</f>
        <v>-669354</v>
      </c>
      <c r="N141" s="43"/>
      <c r="O141" s="43">
        <v>253675</v>
      </c>
      <c r="P141" s="43"/>
      <c r="Q141" s="43">
        <v>481580</v>
      </c>
      <c r="R141" s="43"/>
      <c r="S141" s="43">
        <v>0</v>
      </c>
      <c r="T141" s="43"/>
      <c r="U141" s="43">
        <v>2064</v>
      </c>
      <c r="V141" s="43"/>
      <c r="W141" s="43">
        <v>1901</v>
      </c>
      <c r="X141" s="43"/>
      <c r="Y141" s="43">
        <v>0</v>
      </c>
      <c r="Z141" s="43"/>
      <c r="AA141" s="43">
        <v>0</v>
      </c>
      <c r="AB141" s="43"/>
      <c r="AC141" s="43">
        <f t="shared" si="124"/>
        <v>739220</v>
      </c>
      <c r="AD141" s="43"/>
      <c r="AE141" s="43">
        <f>AC141+M141</f>
        <v>69866</v>
      </c>
      <c r="AF141" s="43"/>
      <c r="AG141" s="43">
        <v>623924</v>
      </c>
      <c r="AH141" s="43"/>
      <c r="AI141" s="43">
        <f>AE141+AG141</f>
        <v>693790</v>
      </c>
    </row>
    <row r="142" spans="1:35" ht="12" hidden="1" customHeight="1" x14ac:dyDescent="0.2">
      <c r="A142" s="4" t="s">
        <v>376</v>
      </c>
      <c r="B142" s="4"/>
      <c r="C142" s="4" t="s">
        <v>63</v>
      </c>
      <c r="D142" s="4"/>
      <c r="E142" s="43">
        <v>366389.38</v>
      </c>
      <c r="F142" s="43"/>
      <c r="G142" s="43">
        <v>11024.81</v>
      </c>
      <c r="H142" s="43"/>
      <c r="I142" s="43">
        <v>0</v>
      </c>
      <c r="J142" s="43"/>
      <c r="K142" s="43">
        <v>0</v>
      </c>
      <c r="L142" s="43"/>
      <c r="M142" s="43">
        <v>-355364.57</v>
      </c>
      <c r="N142" s="43"/>
      <c r="O142" s="43">
        <v>124758.03</v>
      </c>
      <c r="P142" s="43"/>
      <c r="Q142" s="43">
        <v>329658.85000000003</v>
      </c>
      <c r="R142" s="43"/>
      <c r="S142" s="43">
        <v>0</v>
      </c>
      <c r="T142" s="43"/>
      <c r="U142" s="43">
        <v>894.74</v>
      </c>
      <c r="V142" s="43"/>
      <c r="W142" s="43">
        <f>424.1+180</f>
        <v>604.1</v>
      </c>
      <c r="X142" s="43"/>
      <c r="Y142" s="43">
        <v>0</v>
      </c>
      <c r="Z142" s="43"/>
      <c r="AA142" s="43">
        <v>1300</v>
      </c>
      <c r="AB142" s="43"/>
      <c r="AC142" s="43">
        <f>SUM(O142:AA142)</f>
        <v>457215.72</v>
      </c>
      <c r="AD142" s="43"/>
      <c r="AE142" s="43">
        <v>101851.15</v>
      </c>
      <c r="AF142" s="43"/>
      <c r="AG142" s="43">
        <v>255117.01</v>
      </c>
      <c r="AH142" s="43"/>
      <c r="AI142" s="43">
        <v>356968.16</v>
      </c>
    </row>
    <row r="143" spans="1:35" ht="12" hidden="1" customHeight="1" x14ac:dyDescent="0.2">
      <c r="A143" s="12" t="s">
        <v>216</v>
      </c>
      <c r="B143" s="15"/>
      <c r="C143" s="15" t="s">
        <v>23</v>
      </c>
      <c r="D143" s="15"/>
      <c r="E143" s="43">
        <v>1620907</v>
      </c>
      <c r="F143" s="43"/>
      <c r="G143" s="43">
        <v>82738</v>
      </c>
      <c r="H143" s="43"/>
      <c r="I143" s="43">
        <v>14208</v>
      </c>
      <c r="J143" s="43"/>
      <c r="K143" s="43">
        <v>51907</v>
      </c>
      <c r="L143" s="43"/>
      <c r="M143" s="43">
        <f>-E143+G143+I143+K143</f>
        <v>-1472054</v>
      </c>
      <c r="N143" s="43"/>
      <c r="O143" s="43">
        <v>737338</v>
      </c>
      <c r="P143" s="43"/>
      <c r="Q143" s="43">
        <v>1350529</v>
      </c>
      <c r="R143" s="43"/>
      <c r="S143" s="43">
        <v>208</v>
      </c>
      <c r="T143" s="43"/>
      <c r="U143" s="43">
        <v>659</v>
      </c>
      <c r="V143" s="43"/>
      <c r="W143" s="43">
        <v>606</v>
      </c>
      <c r="X143" s="43"/>
      <c r="Y143" s="43">
        <v>0</v>
      </c>
      <c r="Z143" s="43"/>
      <c r="AA143" s="43">
        <v>0</v>
      </c>
      <c r="AB143" s="43"/>
      <c r="AC143" s="43">
        <f>SUM(O143:AA143)</f>
        <v>2089340</v>
      </c>
      <c r="AD143" s="43"/>
      <c r="AE143" s="43">
        <f>AC143+M143</f>
        <v>617286</v>
      </c>
      <c r="AF143" s="43"/>
      <c r="AG143" s="43">
        <v>625858</v>
      </c>
      <c r="AH143" s="43"/>
      <c r="AI143" s="43">
        <f>AE143+AG143</f>
        <v>1243144</v>
      </c>
    </row>
    <row r="144" spans="1:35" ht="12" customHeight="1" x14ac:dyDescent="0.2">
      <c r="A144" s="4" t="s">
        <v>603</v>
      </c>
      <c r="B144" s="4"/>
      <c r="C144" s="4" t="s">
        <v>54</v>
      </c>
      <c r="D144" s="4"/>
      <c r="E144" s="43">
        <f>506932+557089</f>
        <v>1064021</v>
      </c>
      <c r="F144" s="43"/>
      <c r="G144" s="43">
        <v>228312</v>
      </c>
      <c r="H144" s="43"/>
      <c r="I144" s="43">
        <v>0</v>
      </c>
      <c r="J144" s="43"/>
      <c r="K144" s="43">
        <v>0</v>
      </c>
      <c r="L144" s="43"/>
      <c r="M144" s="43">
        <f t="shared" ref="M144" si="129">-E144+G144+I144+K144</f>
        <v>-835709</v>
      </c>
      <c r="N144" s="43"/>
      <c r="O144" s="43">
        <v>0</v>
      </c>
      <c r="P144" s="43"/>
      <c r="Q144" s="43">
        <v>688262</v>
      </c>
      <c r="R144" s="43"/>
      <c r="S144" s="43">
        <v>0</v>
      </c>
      <c r="T144" s="43"/>
      <c r="U144" s="43">
        <v>2055</v>
      </c>
      <c r="V144" s="43"/>
      <c r="W144" s="43">
        <v>88989</v>
      </c>
      <c r="X144" s="43"/>
      <c r="Y144" s="43">
        <v>0</v>
      </c>
      <c r="Z144" s="43"/>
      <c r="AA144" s="43">
        <v>0</v>
      </c>
      <c r="AB144" s="43"/>
      <c r="AC144" s="43">
        <f t="shared" ref="AC144" si="130">SUM(O144:AA144)</f>
        <v>779306</v>
      </c>
      <c r="AD144" s="43"/>
      <c r="AE144" s="43">
        <f t="shared" ref="AE144" si="131">AC144+M144</f>
        <v>-56403</v>
      </c>
      <c r="AF144" s="43"/>
      <c r="AG144" s="43">
        <v>1636029</v>
      </c>
      <c r="AH144" s="43"/>
      <c r="AI144" s="43">
        <f t="shared" ref="AI144" si="132">AE144+AG144</f>
        <v>1579626</v>
      </c>
    </row>
    <row r="145" spans="1:35" ht="12" customHeight="1" x14ac:dyDescent="0.2">
      <c r="A145" s="4" t="s">
        <v>434</v>
      </c>
      <c r="B145" s="4"/>
      <c r="C145" s="4" t="s">
        <v>63</v>
      </c>
      <c r="D145" s="4"/>
      <c r="E145" s="43">
        <v>280573</v>
      </c>
      <c r="F145" s="43"/>
      <c r="G145" s="43">
        <v>133456</v>
      </c>
      <c r="H145" s="43"/>
      <c r="I145" s="43">
        <v>0</v>
      </c>
      <c r="J145" s="43"/>
      <c r="K145" s="43">
        <v>0</v>
      </c>
      <c r="L145" s="43"/>
      <c r="M145" s="43">
        <f t="shared" ref="M145" si="133">-E145+G145+I145+K145</f>
        <v>-147117</v>
      </c>
      <c r="N145" s="43"/>
      <c r="O145" s="43">
        <v>0</v>
      </c>
      <c r="P145" s="43"/>
      <c r="Q145" s="43">
        <v>145617</v>
      </c>
      <c r="R145" s="43"/>
      <c r="S145" s="43">
        <v>0</v>
      </c>
      <c r="T145" s="43"/>
      <c r="U145" s="43">
        <v>46</v>
      </c>
      <c r="V145" s="43"/>
      <c r="W145" s="43">
        <v>0</v>
      </c>
      <c r="X145" s="43"/>
      <c r="Y145" s="43">
        <v>0</v>
      </c>
      <c r="Z145" s="43"/>
      <c r="AA145" s="43">
        <v>0</v>
      </c>
      <c r="AB145" s="43"/>
      <c r="AC145" s="43">
        <f t="shared" ref="AC145" si="134">SUM(O145:AA145)</f>
        <v>145663</v>
      </c>
      <c r="AD145" s="43"/>
      <c r="AE145" s="43">
        <f t="shared" ref="AE145" si="135">AC145+M145</f>
        <v>-1454</v>
      </c>
      <c r="AF145" s="43"/>
      <c r="AG145" s="43">
        <v>160090</v>
      </c>
      <c r="AH145" s="43"/>
      <c r="AI145" s="43">
        <f t="shared" ref="AI145" si="136">AE145+AG145</f>
        <v>158636</v>
      </c>
    </row>
    <row r="146" spans="1:35" ht="12" customHeight="1" x14ac:dyDescent="0.2">
      <c r="A146" s="4" t="s">
        <v>218</v>
      </c>
      <c r="B146" s="4"/>
      <c r="C146" s="4" t="s">
        <v>156</v>
      </c>
      <c r="D146" s="4"/>
      <c r="E146" s="43">
        <v>259372</v>
      </c>
      <c r="F146" s="43"/>
      <c r="G146" s="43">
        <v>10542</v>
      </c>
      <c r="H146" s="43"/>
      <c r="I146" s="43">
        <v>15896</v>
      </c>
      <c r="J146" s="43"/>
      <c r="K146" s="43">
        <v>0</v>
      </c>
      <c r="L146" s="43"/>
      <c r="M146" s="43">
        <f t="shared" ref="M146" si="137">-E146+G146+I146+K146</f>
        <v>-232934</v>
      </c>
      <c r="N146" s="43"/>
      <c r="O146" s="43">
        <v>235626</v>
      </c>
      <c r="P146" s="43"/>
      <c r="Q146" s="43">
        <v>0</v>
      </c>
      <c r="R146" s="43"/>
      <c r="S146" s="43">
        <v>0</v>
      </c>
      <c r="T146" s="43"/>
      <c r="U146" s="43">
        <v>622</v>
      </c>
      <c r="V146" s="43"/>
      <c r="W146" s="43">
        <v>4211</v>
      </c>
      <c r="X146" s="43"/>
      <c r="Y146" s="43">
        <v>0</v>
      </c>
      <c r="Z146" s="43"/>
      <c r="AA146" s="43">
        <v>0</v>
      </c>
      <c r="AB146" s="43"/>
      <c r="AC146" s="43">
        <f t="shared" ref="AC146" si="138">SUM(O146:AA146)</f>
        <v>240459</v>
      </c>
      <c r="AD146" s="43"/>
      <c r="AE146" s="43">
        <f t="shared" ref="AE146" si="139">AC146+M146</f>
        <v>7525</v>
      </c>
      <c r="AF146" s="43"/>
      <c r="AG146" s="43">
        <v>328544</v>
      </c>
      <c r="AH146" s="43"/>
      <c r="AI146" s="43">
        <f t="shared" ref="AI146" si="140">AE146+AG146</f>
        <v>336069</v>
      </c>
    </row>
    <row r="147" spans="1:35" ht="12" customHeight="1" x14ac:dyDescent="0.2">
      <c r="A147" s="4" t="s">
        <v>219</v>
      </c>
      <c r="B147" s="4"/>
      <c r="C147" s="4" t="s">
        <v>168</v>
      </c>
      <c r="D147" s="4"/>
      <c r="E147" s="43">
        <v>262378</v>
      </c>
      <c r="F147" s="43"/>
      <c r="G147" s="43">
        <v>9188</v>
      </c>
      <c r="H147" s="43"/>
      <c r="I147" s="43">
        <v>1818</v>
      </c>
      <c r="J147" s="43"/>
      <c r="K147" s="43">
        <v>0</v>
      </c>
      <c r="L147" s="43"/>
      <c r="M147" s="43">
        <f t="shared" ref="M147" si="141">-E147+G147+I147+K147</f>
        <v>-251372</v>
      </c>
      <c r="N147" s="43"/>
      <c r="O147" s="43">
        <v>0</v>
      </c>
      <c r="P147" s="43"/>
      <c r="Q147" s="43">
        <v>199023</v>
      </c>
      <c r="R147" s="43"/>
      <c r="S147" s="43">
        <v>0</v>
      </c>
      <c r="T147" s="43"/>
      <c r="U147" s="43">
        <v>9153</v>
      </c>
      <c r="V147" s="43"/>
      <c r="W147" s="43">
        <v>23774</v>
      </c>
      <c r="X147" s="43"/>
      <c r="Y147" s="43">
        <v>0</v>
      </c>
      <c r="Z147" s="43"/>
      <c r="AA147" s="43">
        <v>0</v>
      </c>
      <c r="AB147" s="43"/>
      <c r="AC147" s="43">
        <f t="shared" ref="AC147" si="142">SUM(O147:AA147)</f>
        <v>231950</v>
      </c>
      <c r="AD147" s="43"/>
      <c r="AE147" s="43">
        <f t="shared" ref="AE147" si="143">AC147+M147</f>
        <v>-19422</v>
      </c>
      <c r="AF147" s="43"/>
      <c r="AG147" s="43">
        <v>517007</v>
      </c>
      <c r="AH147" s="43"/>
      <c r="AI147" s="43">
        <f t="shared" ref="AI147" si="144">AE147+AG147</f>
        <v>497585</v>
      </c>
    </row>
    <row r="148" spans="1:35" ht="12" customHeight="1" x14ac:dyDescent="0.2">
      <c r="A148" s="12" t="s">
        <v>222</v>
      </c>
      <c r="B148" s="15"/>
      <c r="C148" s="15" t="s">
        <v>223</v>
      </c>
      <c r="D148" s="15"/>
      <c r="E148" s="43">
        <v>863428</v>
      </c>
      <c r="F148" s="43"/>
      <c r="G148" s="43">
        <v>40776</v>
      </c>
      <c r="H148" s="43"/>
      <c r="I148" s="43">
        <v>22125</v>
      </c>
      <c r="J148" s="43"/>
      <c r="K148" s="43">
        <v>0</v>
      </c>
      <c r="L148" s="43"/>
      <c r="M148" s="43">
        <f>-E148+G148+I148+K148</f>
        <v>-800527</v>
      </c>
      <c r="N148" s="43"/>
      <c r="O148" s="43">
        <v>331366</v>
      </c>
      <c r="P148" s="43"/>
      <c r="Q148" s="43">
        <f>508123+28890</f>
        <v>537013</v>
      </c>
      <c r="R148" s="43"/>
      <c r="S148" s="43">
        <v>0</v>
      </c>
      <c r="T148" s="43"/>
      <c r="U148" s="43">
        <v>5116</v>
      </c>
      <c r="V148" s="43"/>
      <c r="W148" s="43">
        <v>120</v>
      </c>
      <c r="X148" s="43"/>
      <c r="Y148" s="43">
        <v>0</v>
      </c>
      <c r="Z148" s="43"/>
      <c r="AA148" s="43">
        <v>0</v>
      </c>
      <c r="AB148" s="43"/>
      <c r="AC148" s="43">
        <f>SUM(O148:AA148)</f>
        <v>873615</v>
      </c>
      <c r="AD148" s="43"/>
      <c r="AE148" s="43">
        <f>AC148+M148</f>
        <v>73088</v>
      </c>
      <c r="AF148" s="43"/>
      <c r="AG148" s="43">
        <v>763464</v>
      </c>
      <c r="AH148" s="43"/>
      <c r="AI148" s="43">
        <f>AE148+AG148</f>
        <v>836552</v>
      </c>
    </row>
    <row r="149" spans="1:35" ht="12" hidden="1" customHeight="1" x14ac:dyDescent="0.2">
      <c r="A149" s="12" t="s">
        <v>225</v>
      </c>
      <c r="B149" s="15"/>
      <c r="C149" s="15" t="s">
        <v>58</v>
      </c>
      <c r="D149" s="15"/>
      <c r="E149" s="43">
        <v>204889.64</v>
      </c>
      <c r="F149" s="43"/>
      <c r="G149" s="43">
        <v>3052.24</v>
      </c>
      <c r="H149" s="43"/>
      <c r="I149" s="43">
        <v>0</v>
      </c>
      <c r="J149" s="43"/>
      <c r="K149" s="43">
        <v>0</v>
      </c>
      <c r="L149" s="43"/>
      <c r="M149" s="43">
        <v>-201837.4</v>
      </c>
      <c r="N149" s="43"/>
      <c r="O149" s="43">
        <v>26547.51</v>
      </c>
      <c r="P149" s="43"/>
      <c r="Q149" s="43">
        <v>192283.37</v>
      </c>
      <c r="R149" s="43"/>
      <c r="S149" s="43">
        <v>0</v>
      </c>
      <c r="T149" s="43"/>
      <c r="U149" s="43">
        <v>3038.28</v>
      </c>
      <c r="V149" s="43"/>
      <c r="W149" s="43">
        <v>2348.94</v>
      </c>
      <c r="X149" s="43"/>
      <c r="Y149" s="43">
        <v>0</v>
      </c>
      <c r="Z149" s="43"/>
      <c r="AA149" s="43">
        <v>0</v>
      </c>
      <c r="AB149" s="43"/>
      <c r="AC149" s="43">
        <f>SUM(O149:AA149)</f>
        <v>224218.1</v>
      </c>
      <c r="AD149" s="43"/>
      <c r="AE149" s="43">
        <v>22380.7</v>
      </c>
      <c r="AF149" s="43"/>
      <c r="AG149" s="43">
        <v>471683.78</v>
      </c>
      <c r="AH149" s="43"/>
      <c r="AI149" s="43">
        <v>494064.48</v>
      </c>
    </row>
    <row r="150" spans="1:35" ht="12" hidden="1" customHeight="1" x14ac:dyDescent="0.2">
      <c r="A150" s="12" t="s">
        <v>229</v>
      </c>
      <c r="B150" s="15"/>
      <c r="C150" s="15" t="s">
        <v>63</v>
      </c>
      <c r="D150" s="15"/>
      <c r="E150" s="43">
        <v>324324.38</v>
      </c>
      <c r="F150" s="43"/>
      <c r="G150" s="43">
        <v>9551.7000000000007</v>
      </c>
      <c r="H150" s="43"/>
      <c r="I150" s="43">
        <v>0</v>
      </c>
      <c r="J150" s="43"/>
      <c r="K150" s="43">
        <v>0</v>
      </c>
      <c r="L150" s="43"/>
      <c r="M150" s="43">
        <v>-314772.68</v>
      </c>
      <c r="N150" s="43"/>
      <c r="O150" s="43">
        <v>0</v>
      </c>
      <c r="P150" s="43"/>
      <c r="Q150" s="43">
        <v>312443.51</v>
      </c>
      <c r="R150" s="43"/>
      <c r="S150" s="43">
        <v>0</v>
      </c>
      <c r="T150" s="43"/>
      <c r="U150" s="43">
        <v>14637.85</v>
      </c>
      <c r="V150" s="43"/>
      <c r="W150" s="43">
        <v>2832.75</v>
      </c>
      <c r="X150" s="43"/>
      <c r="Y150" s="43">
        <v>0</v>
      </c>
      <c r="Z150" s="43"/>
      <c r="AA150" s="43">
        <v>0</v>
      </c>
      <c r="AB150" s="43"/>
      <c r="AC150" s="43">
        <f>SUM(O150:AA150)</f>
        <v>329914.11</v>
      </c>
      <c r="AD150" s="43"/>
      <c r="AE150" s="43">
        <v>15141.43</v>
      </c>
      <c r="AF150" s="43"/>
      <c r="AG150" s="43">
        <v>579588.97</v>
      </c>
      <c r="AH150" s="43"/>
      <c r="AI150" s="43">
        <v>594730.4</v>
      </c>
    </row>
    <row r="151" spans="1:35" ht="12" hidden="1" customHeight="1" x14ac:dyDescent="0.2">
      <c r="A151" s="12" t="s">
        <v>377</v>
      </c>
      <c r="B151" s="15"/>
      <c r="C151" s="15" t="s">
        <v>20</v>
      </c>
      <c r="D151" s="15"/>
      <c r="E151" s="43">
        <v>370767.67</v>
      </c>
      <c r="F151" s="43"/>
      <c r="G151" s="43">
        <v>4424.68</v>
      </c>
      <c r="H151" s="43"/>
      <c r="I151" s="43">
        <v>0</v>
      </c>
      <c r="J151" s="43"/>
      <c r="K151" s="43">
        <v>0</v>
      </c>
      <c r="L151" s="43"/>
      <c r="M151" s="43">
        <v>-366342.99</v>
      </c>
      <c r="N151" s="43"/>
      <c r="O151" s="43">
        <v>86824.04</v>
      </c>
      <c r="P151" s="43"/>
      <c r="Q151" s="43">
        <v>308115.48</v>
      </c>
      <c r="R151" s="43"/>
      <c r="S151" s="43">
        <v>0</v>
      </c>
      <c r="T151" s="43"/>
      <c r="U151" s="43">
        <v>54.85</v>
      </c>
      <c r="V151" s="43"/>
      <c r="W151" s="43">
        <v>3695.3</v>
      </c>
      <c r="X151" s="43"/>
      <c r="Y151" s="43">
        <v>0</v>
      </c>
      <c r="Z151" s="43"/>
      <c r="AA151" s="43">
        <v>0</v>
      </c>
      <c r="AB151" s="43"/>
      <c r="AC151" s="43">
        <f t="shared" ref="AC151:AC155" si="145">SUM(O151:AA151)</f>
        <v>398689.66999999993</v>
      </c>
      <c r="AD151" s="43"/>
      <c r="AE151" s="43">
        <v>32346.68</v>
      </c>
      <c r="AF151" s="43"/>
      <c r="AG151" s="43">
        <v>240184.9</v>
      </c>
      <c r="AH151" s="43"/>
      <c r="AI151" s="43">
        <v>272531.58</v>
      </c>
    </row>
    <row r="152" spans="1:35" ht="12" hidden="1" customHeight="1" x14ac:dyDescent="0.2">
      <c r="A152" s="4" t="s">
        <v>551</v>
      </c>
      <c r="B152" s="4"/>
      <c r="C152" s="4" t="s">
        <v>64</v>
      </c>
      <c r="D152" s="4"/>
      <c r="E152" s="43">
        <v>1417021.31</v>
      </c>
      <c r="F152" s="43"/>
      <c r="G152" s="43">
        <v>34497.46</v>
      </c>
      <c r="H152" s="43"/>
      <c r="I152" s="43">
        <v>10784.77</v>
      </c>
      <c r="J152" s="43"/>
      <c r="K152" s="43">
        <v>0</v>
      </c>
      <c r="L152" s="43"/>
      <c r="M152" s="43">
        <v>-1371739.08</v>
      </c>
      <c r="N152" s="43"/>
      <c r="O152" s="43">
        <v>707938.85</v>
      </c>
      <c r="P152" s="43"/>
      <c r="Q152" s="43">
        <v>884612.77</v>
      </c>
      <c r="R152" s="43"/>
      <c r="S152" s="43">
        <v>0</v>
      </c>
      <c r="T152" s="43"/>
      <c r="U152" s="43">
        <v>1283.69</v>
      </c>
      <c r="V152" s="43"/>
      <c r="W152" s="43">
        <v>44141.45</v>
      </c>
      <c r="X152" s="43"/>
      <c r="Y152" s="43">
        <v>0</v>
      </c>
      <c r="Z152" s="43"/>
      <c r="AA152" s="43">
        <v>0</v>
      </c>
      <c r="AB152" s="43"/>
      <c r="AC152" s="43">
        <f t="shared" si="145"/>
        <v>1637976.76</v>
      </c>
      <c r="AD152" s="43"/>
      <c r="AE152" s="43">
        <v>266237.68</v>
      </c>
      <c r="AF152" s="43"/>
      <c r="AG152" s="43">
        <v>656466.22</v>
      </c>
      <c r="AH152" s="43"/>
      <c r="AI152" s="43">
        <v>922703.9</v>
      </c>
    </row>
    <row r="153" spans="1:35" ht="12" customHeight="1" x14ac:dyDescent="0.2">
      <c r="A153" s="12" t="s">
        <v>647</v>
      </c>
      <c r="B153" s="15"/>
      <c r="C153" s="15" t="s">
        <v>66</v>
      </c>
      <c r="D153" s="15"/>
      <c r="E153" s="43">
        <v>213300</v>
      </c>
      <c r="F153" s="43"/>
      <c r="G153" s="43">
        <v>1931</v>
      </c>
      <c r="H153" s="43"/>
      <c r="I153" s="43">
        <v>20</v>
      </c>
      <c r="J153" s="43"/>
      <c r="K153" s="43">
        <v>0</v>
      </c>
      <c r="L153" s="43"/>
      <c r="M153" s="43">
        <f>-E153+G153+I153+K153</f>
        <v>-211349</v>
      </c>
      <c r="N153" s="43"/>
      <c r="O153" s="43">
        <v>0</v>
      </c>
      <c r="P153" s="43"/>
      <c r="Q153" s="43">
        <v>206482</v>
      </c>
      <c r="R153" s="43"/>
      <c r="S153" s="43">
        <v>0</v>
      </c>
      <c r="T153" s="43"/>
      <c r="U153" s="43">
        <v>393</v>
      </c>
      <c r="V153" s="43"/>
      <c r="W153" s="43">
        <v>121</v>
      </c>
      <c r="X153" s="43"/>
      <c r="Y153" s="43">
        <v>0</v>
      </c>
      <c r="Z153" s="43"/>
      <c r="AA153" s="43">
        <v>0</v>
      </c>
      <c r="AB153" s="43"/>
      <c r="AC153" s="43">
        <f t="shared" ref="AC153" si="146">SUM(O153:AA153)</f>
        <v>206996</v>
      </c>
      <c r="AD153" s="43"/>
      <c r="AE153" s="43">
        <f>AC153+M153</f>
        <v>-4353</v>
      </c>
      <c r="AF153" s="43"/>
      <c r="AG153" s="43">
        <v>533300</v>
      </c>
      <c r="AH153" s="43"/>
      <c r="AI153" s="43">
        <f>AE153+AG153</f>
        <v>528947</v>
      </c>
    </row>
    <row r="154" spans="1:35" ht="12" customHeight="1" x14ac:dyDescent="0.2">
      <c r="A154" s="12" t="s">
        <v>648</v>
      </c>
      <c r="B154" s="15"/>
      <c r="C154" s="15" t="s">
        <v>13</v>
      </c>
      <c r="D154" s="15"/>
      <c r="E154" s="43">
        <f>772943.55+1140+110101.96</f>
        <v>884185.51</v>
      </c>
      <c r="F154" s="43"/>
      <c r="G154" s="43">
        <v>0</v>
      </c>
      <c r="H154" s="43"/>
      <c r="I154" s="43">
        <v>0</v>
      </c>
      <c r="J154" s="43"/>
      <c r="K154" s="43">
        <v>0</v>
      </c>
      <c r="L154" s="43"/>
      <c r="M154" s="43">
        <f>-E154+G154+I154+K154</f>
        <v>-884185.51</v>
      </c>
      <c r="N154" s="43"/>
      <c r="O154" s="43">
        <v>882638.22</v>
      </c>
      <c r="P154" s="43"/>
      <c r="Q154" s="43">
        <v>0</v>
      </c>
      <c r="R154" s="43"/>
      <c r="S154" s="43">
        <v>0</v>
      </c>
      <c r="T154" s="43"/>
      <c r="U154" s="43">
        <v>0</v>
      </c>
      <c r="V154" s="43"/>
      <c r="W154" s="43">
        <v>0</v>
      </c>
      <c r="X154" s="43"/>
      <c r="Y154" s="43">
        <v>0</v>
      </c>
      <c r="Z154" s="43"/>
      <c r="AA154" s="43">
        <v>0</v>
      </c>
      <c r="AB154" s="43"/>
      <c r="AC154" s="43">
        <f t="shared" ref="AC154" si="147">SUM(O154:AA154)</f>
        <v>882638.22</v>
      </c>
      <c r="AD154" s="43"/>
      <c r="AE154" s="43">
        <f>AC154+M154</f>
        <v>-1547.2900000000373</v>
      </c>
      <c r="AF154" s="43"/>
      <c r="AG154" s="43">
        <v>606163.88</v>
      </c>
      <c r="AH154" s="43"/>
      <c r="AI154" s="43">
        <f>AE154+AG154</f>
        <v>604616.59</v>
      </c>
    </row>
    <row r="155" spans="1:35" ht="12" customHeight="1" x14ac:dyDescent="0.2">
      <c r="A155" s="12" t="s">
        <v>435</v>
      </c>
      <c r="B155" s="15"/>
      <c r="C155" s="15" t="s">
        <v>234</v>
      </c>
      <c r="D155" s="15"/>
      <c r="E155" s="43">
        <v>1750482</v>
      </c>
      <c r="F155" s="43"/>
      <c r="G155" s="43">
        <v>59934</v>
      </c>
      <c r="H155" s="43"/>
      <c r="I155" s="43">
        <v>15831</v>
      </c>
      <c r="J155" s="43"/>
      <c r="K155" s="43">
        <v>0</v>
      </c>
      <c r="L155" s="43"/>
      <c r="M155" s="43">
        <f>-E155+G155+I155+K155</f>
        <v>-1674717</v>
      </c>
      <c r="N155" s="43"/>
      <c r="O155" s="43">
        <v>0</v>
      </c>
      <c r="P155" s="43"/>
      <c r="Q155" s="43">
        <v>1410767</v>
      </c>
      <c r="R155" s="43"/>
      <c r="S155" s="43">
        <v>0</v>
      </c>
      <c r="T155" s="43"/>
      <c r="U155" s="43">
        <v>45691</v>
      </c>
      <c r="V155" s="43"/>
      <c r="W155" s="43">
        <v>9737</v>
      </c>
      <c r="X155" s="43"/>
      <c r="Y155" s="43">
        <v>0</v>
      </c>
      <c r="Z155" s="43"/>
      <c r="AA155" s="43">
        <v>0</v>
      </c>
      <c r="AB155" s="43"/>
      <c r="AC155" s="43">
        <f t="shared" si="145"/>
        <v>1466195</v>
      </c>
      <c r="AD155" s="43"/>
      <c r="AE155" s="43">
        <f>AC155+M155</f>
        <v>-208522</v>
      </c>
      <c r="AF155" s="43"/>
      <c r="AG155" s="43">
        <v>11844747</v>
      </c>
      <c r="AH155" s="43"/>
      <c r="AI155" s="43">
        <f>AE155+AG155</f>
        <v>11636225</v>
      </c>
    </row>
    <row r="156" spans="1:35" ht="12" customHeight="1" x14ac:dyDescent="0.2">
      <c r="A156" s="7" t="s">
        <v>591</v>
      </c>
      <c r="B156" s="42"/>
      <c r="C156" s="7" t="s">
        <v>171</v>
      </c>
      <c r="D156" s="42"/>
      <c r="E156" s="88">
        <v>1908770</v>
      </c>
      <c r="F156" s="88"/>
      <c r="G156" s="88">
        <f>32102+18927</f>
        <v>51029</v>
      </c>
      <c r="H156" s="88"/>
      <c r="I156" s="88">
        <v>19412</v>
      </c>
      <c r="J156" s="88"/>
      <c r="K156" s="88">
        <v>0</v>
      </c>
      <c r="L156" s="88"/>
      <c r="M156" s="88">
        <f t="shared" ref="M156" si="148">-E156+G156+I156+K156</f>
        <v>-1838329</v>
      </c>
      <c r="N156" s="88"/>
      <c r="O156" s="88">
        <v>0</v>
      </c>
      <c r="P156" s="88"/>
      <c r="Q156" s="88">
        <f>1942374+2784</f>
        <v>1945158</v>
      </c>
      <c r="R156" s="88"/>
      <c r="S156" s="88">
        <v>0</v>
      </c>
      <c r="T156" s="88"/>
      <c r="U156" s="88">
        <v>3382</v>
      </c>
      <c r="V156" s="88"/>
      <c r="W156" s="88">
        <v>25407</v>
      </c>
      <c r="X156" s="88"/>
      <c r="Y156" s="88">
        <v>0</v>
      </c>
      <c r="Z156" s="88"/>
      <c r="AA156" s="88">
        <v>0</v>
      </c>
      <c r="AB156" s="88"/>
      <c r="AC156" s="88">
        <f t="shared" ref="AC156" si="149">SUM(O156:AA156)</f>
        <v>1973947</v>
      </c>
      <c r="AD156" s="88"/>
      <c r="AE156" s="88">
        <f>AC156+M156</f>
        <v>135618</v>
      </c>
      <c r="AF156" s="88"/>
      <c r="AG156" s="88">
        <v>1221547</v>
      </c>
      <c r="AH156" s="88"/>
      <c r="AI156" s="88">
        <f t="shared" ref="AI156" si="150">AE156+AG156</f>
        <v>1357165</v>
      </c>
    </row>
    <row r="157" spans="1:35" ht="12" customHeight="1" x14ac:dyDescent="0.2">
      <c r="A157" s="12" t="s">
        <v>436</v>
      </c>
      <c r="B157" s="15"/>
      <c r="C157" s="15" t="s">
        <v>17</v>
      </c>
      <c r="D157" s="15"/>
      <c r="E157" s="43">
        <v>4692898</v>
      </c>
      <c r="F157" s="43"/>
      <c r="G157" s="43">
        <v>90727</v>
      </c>
      <c r="H157" s="43"/>
      <c r="I157" s="43">
        <v>61523</v>
      </c>
      <c r="J157" s="43"/>
      <c r="K157" s="43">
        <v>0</v>
      </c>
      <c r="L157" s="43"/>
      <c r="M157" s="43">
        <f t="shared" ref="M157" si="151">-E157+G157+I157+K157</f>
        <v>-4540648</v>
      </c>
      <c r="N157" s="43"/>
      <c r="O157" s="43">
        <v>3325662</v>
      </c>
      <c r="P157" s="43"/>
      <c r="Q157" s="43">
        <f>1032295+389915</f>
        <v>1422210</v>
      </c>
      <c r="R157" s="43"/>
      <c r="S157" s="43">
        <v>0</v>
      </c>
      <c r="T157" s="43"/>
      <c r="U157" s="43">
        <v>14187</v>
      </c>
      <c r="V157" s="43"/>
      <c r="W157" s="43">
        <v>27196</v>
      </c>
      <c r="X157" s="43"/>
      <c r="Y157" s="43">
        <v>0</v>
      </c>
      <c r="Z157" s="43"/>
      <c r="AA157" s="43">
        <v>0</v>
      </c>
      <c r="AB157" s="43"/>
      <c r="AC157" s="43">
        <f t="shared" ref="AC157" si="152">SUM(O157:AA157)</f>
        <v>4789255</v>
      </c>
      <c r="AD157" s="43"/>
      <c r="AE157" s="43">
        <f>AC157+M157</f>
        <v>248607</v>
      </c>
      <c r="AF157" s="43"/>
      <c r="AG157" s="43">
        <v>5125337</v>
      </c>
      <c r="AH157" s="43"/>
      <c r="AI157" s="43">
        <f t="shared" ref="AI157" si="153">AE157+AG157</f>
        <v>5373944</v>
      </c>
    </row>
    <row r="158" spans="1:35" ht="12" customHeight="1" x14ac:dyDescent="0.2">
      <c r="A158" s="4" t="s">
        <v>21</v>
      </c>
      <c r="B158" s="15"/>
      <c r="C158" s="15" t="s">
        <v>22</v>
      </c>
      <c r="D158" s="15"/>
      <c r="E158" s="43">
        <v>2830440</v>
      </c>
      <c r="F158" s="43"/>
      <c r="G158" s="43">
        <v>51835</v>
      </c>
      <c r="H158" s="43"/>
      <c r="I158" s="43">
        <v>45979</v>
      </c>
      <c r="J158" s="43"/>
      <c r="K158" s="43">
        <v>0</v>
      </c>
      <c r="L158" s="43"/>
      <c r="M158" s="43">
        <f>-E158+G158+I158+K158</f>
        <v>-2732626</v>
      </c>
      <c r="N158" s="43"/>
      <c r="O158" s="43">
        <v>914870</v>
      </c>
      <c r="P158" s="43"/>
      <c r="Q158" s="43">
        <v>2251512</v>
      </c>
      <c r="R158" s="43"/>
      <c r="S158" s="43">
        <v>0</v>
      </c>
      <c r="T158" s="43"/>
      <c r="U158" s="43">
        <v>1264</v>
      </c>
      <c r="V158" s="43"/>
      <c r="W158" s="43">
        <v>39287</v>
      </c>
      <c r="X158" s="43"/>
      <c r="Y158" s="43">
        <v>0</v>
      </c>
      <c r="Z158" s="43"/>
      <c r="AA158" s="43">
        <v>0</v>
      </c>
      <c r="AB158" s="43"/>
      <c r="AC158" s="43">
        <f>SUM(O158:AA158)</f>
        <v>3206933</v>
      </c>
      <c r="AD158" s="43"/>
      <c r="AE158" s="43">
        <f>AC158+M158</f>
        <v>474307</v>
      </c>
      <c r="AF158" s="43"/>
      <c r="AG158" s="43">
        <v>1866567</v>
      </c>
      <c r="AH158" s="43"/>
      <c r="AI158" s="43">
        <f>AE158+AG158</f>
        <v>2340874</v>
      </c>
    </row>
    <row r="159" spans="1:35" ht="12" customHeight="1" x14ac:dyDescent="0.2">
      <c r="A159" s="4" t="s">
        <v>592</v>
      </c>
      <c r="B159" s="15"/>
      <c r="C159" s="15" t="s">
        <v>100</v>
      </c>
      <c r="D159" s="15"/>
      <c r="E159" s="88">
        <v>1729299</v>
      </c>
      <c r="F159" s="88">
        <v>0</v>
      </c>
      <c r="G159" s="88">
        <v>13401</v>
      </c>
      <c r="H159" s="88"/>
      <c r="I159" s="88">
        <v>1913</v>
      </c>
      <c r="J159" s="88"/>
      <c r="K159" s="88">
        <v>0</v>
      </c>
      <c r="L159" s="88"/>
      <c r="M159" s="88">
        <f t="shared" ref="M159" si="154">-E159+G159+I159+K159</f>
        <v>-1713985</v>
      </c>
      <c r="N159" s="88"/>
      <c r="O159" s="88">
        <v>751586</v>
      </c>
      <c r="P159" s="88"/>
      <c r="Q159" s="88">
        <v>1016141</v>
      </c>
      <c r="R159" s="88"/>
      <c r="S159" s="88">
        <v>0</v>
      </c>
      <c r="T159" s="88"/>
      <c r="U159" s="88">
        <v>1110</v>
      </c>
      <c r="V159" s="88"/>
      <c r="W159" s="88">
        <f>17555+14209</f>
        <v>31764</v>
      </c>
      <c r="X159" s="88"/>
      <c r="Y159" s="88">
        <v>0</v>
      </c>
      <c r="Z159" s="88"/>
      <c r="AA159" s="88">
        <v>0</v>
      </c>
      <c r="AB159" s="88"/>
      <c r="AC159" s="88">
        <f t="shared" ref="AC159" si="155">SUM(O159:AA159)</f>
        <v>1800601</v>
      </c>
      <c r="AD159" s="88"/>
      <c r="AE159" s="88">
        <f t="shared" ref="AE159:AE164" si="156">AC159+M159</f>
        <v>86616</v>
      </c>
      <c r="AF159" s="88"/>
      <c r="AG159" s="88">
        <v>538234</v>
      </c>
      <c r="AH159" s="88"/>
      <c r="AI159" s="88">
        <f t="shared" ref="AI159" si="157">AE159+AG159</f>
        <v>624850</v>
      </c>
    </row>
    <row r="160" spans="1:35" ht="12" customHeight="1" x14ac:dyDescent="0.2">
      <c r="A160" s="4" t="s">
        <v>605</v>
      </c>
      <c r="B160" s="15"/>
      <c r="C160" s="15" t="s">
        <v>565</v>
      </c>
      <c r="D160" s="15"/>
      <c r="E160" s="43">
        <v>54567735</v>
      </c>
      <c r="F160" s="43"/>
      <c r="G160" s="43">
        <f>1836534+270</f>
        <v>1836804</v>
      </c>
      <c r="H160" s="43"/>
      <c r="I160" s="43">
        <v>276749</v>
      </c>
      <c r="J160" s="43"/>
      <c r="K160" s="43">
        <v>0</v>
      </c>
      <c r="L160" s="43"/>
      <c r="M160" s="43">
        <f t="shared" ref="M160:M172" si="158">-E160+G160+I160+K160</f>
        <v>-52454182</v>
      </c>
      <c r="N160" s="43"/>
      <c r="O160" s="43">
        <v>15948657</v>
      </c>
      <c r="P160" s="43"/>
      <c r="Q160" s="43">
        <v>37445155</v>
      </c>
      <c r="R160" s="43"/>
      <c r="S160" s="43">
        <v>0</v>
      </c>
      <c r="T160" s="43"/>
      <c r="U160" s="43">
        <v>144720</v>
      </c>
      <c r="V160" s="43"/>
      <c r="W160" s="43">
        <f>1120893+320000</f>
        <v>1440893</v>
      </c>
      <c r="X160" s="43"/>
      <c r="Y160" s="43">
        <v>0</v>
      </c>
      <c r="Z160" s="43"/>
      <c r="AA160" s="43">
        <v>0</v>
      </c>
      <c r="AB160" s="43"/>
      <c r="AC160" s="43">
        <f t="shared" ref="AC160:AC172" si="159">SUM(O160:AA160)</f>
        <v>54979425</v>
      </c>
      <c r="AD160" s="43"/>
      <c r="AE160" s="43">
        <f t="shared" si="156"/>
        <v>2525243</v>
      </c>
      <c r="AF160" s="43"/>
      <c r="AG160" s="43">
        <v>28075547</v>
      </c>
      <c r="AH160" s="43"/>
      <c r="AI160" s="43">
        <f t="shared" ref="AI160:AI172" si="160">AE160+AG160</f>
        <v>30600790</v>
      </c>
    </row>
    <row r="161" spans="1:35" ht="12" hidden="1" customHeight="1" x14ac:dyDescent="0.2">
      <c r="A161" s="4" t="s">
        <v>382</v>
      </c>
      <c r="B161" s="4"/>
      <c r="C161" s="4" t="s">
        <v>44</v>
      </c>
      <c r="D161" s="4"/>
      <c r="E161" s="43"/>
      <c r="F161" s="43"/>
      <c r="G161" s="43"/>
      <c r="H161" s="43"/>
      <c r="I161" s="43"/>
      <c r="J161" s="43"/>
      <c r="K161" s="43"/>
      <c r="L161" s="43"/>
      <c r="M161" s="43">
        <f t="shared" si="158"/>
        <v>0</v>
      </c>
      <c r="N161" s="43"/>
      <c r="O161" s="43"/>
      <c r="P161" s="43"/>
      <c r="Q161" s="43"/>
      <c r="R161" s="43"/>
      <c r="S161" s="43">
        <v>0</v>
      </c>
      <c r="T161" s="43"/>
      <c r="U161" s="43"/>
      <c r="V161" s="43"/>
      <c r="W161" s="43"/>
      <c r="X161" s="43"/>
      <c r="Y161" s="43"/>
      <c r="Z161" s="43"/>
      <c r="AA161" s="43"/>
      <c r="AB161" s="43"/>
      <c r="AC161" s="43">
        <f t="shared" si="159"/>
        <v>0</v>
      </c>
      <c r="AD161" s="43"/>
      <c r="AE161" s="43">
        <f t="shared" si="156"/>
        <v>0</v>
      </c>
      <c r="AF161" s="43"/>
      <c r="AG161" s="43"/>
      <c r="AH161" s="43"/>
      <c r="AI161" s="43">
        <f t="shared" si="160"/>
        <v>0</v>
      </c>
    </row>
    <row r="162" spans="1:35" ht="12" customHeight="1" x14ac:dyDescent="0.2">
      <c r="A162" s="4" t="s">
        <v>649</v>
      </c>
      <c r="B162" s="15"/>
      <c r="C162" s="15" t="s">
        <v>213</v>
      </c>
      <c r="D162" s="15"/>
      <c r="E162" s="43">
        <v>13054881</v>
      </c>
      <c r="F162" s="43"/>
      <c r="G162" s="43">
        <v>225512</v>
      </c>
      <c r="H162" s="43"/>
      <c r="I162" s="43">
        <v>8426</v>
      </c>
      <c r="J162" s="43"/>
      <c r="K162" s="43">
        <v>0</v>
      </c>
      <c r="L162" s="43"/>
      <c r="M162" s="43">
        <f t="shared" ref="M162" si="161">-E162+G162+I162+K162</f>
        <v>-12820943</v>
      </c>
      <c r="N162" s="43"/>
      <c r="O162" s="43">
        <v>10566490</v>
      </c>
      <c r="P162" s="43"/>
      <c r="Q162" s="43">
        <f>7409066+103715</f>
        <v>7512781</v>
      </c>
      <c r="R162" s="43"/>
      <c r="S162" s="43">
        <v>0</v>
      </c>
      <c r="T162" s="43"/>
      <c r="U162" s="43">
        <v>86570</v>
      </c>
      <c r="V162" s="43"/>
      <c r="W162" s="43">
        <v>84893</v>
      </c>
      <c r="X162" s="43"/>
      <c r="Y162" s="43">
        <v>0</v>
      </c>
      <c r="Z162" s="43"/>
      <c r="AA162" s="43">
        <v>0</v>
      </c>
      <c r="AB162" s="43"/>
      <c r="AC162" s="43">
        <f t="shared" ref="AC162" si="162">SUM(O162:AA162)</f>
        <v>18250734</v>
      </c>
      <c r="AD162" s="43"/>
      <c r="AE162" s="43">
        <f t="shared" si="156"/>
        <v>5429791</v>
      </c>
      <c r="AF162" s="43"/>
      <c r="AG162" s="43">
        <v>19118919</v>
      </c>
      <c r="AH162" s="43"/>
      <c r="AI162" s="43">
        <f t="shared" ref="AI162" si="163">AE162+AG162</f>
        <v>24548710</v>
      </c>
    </row>
    <row r="163" spans="1:35" ht="12" customHeight="1" x14ac:dyDescent="0.2">
      <c r="A163" s="4" t="s">
        <v>239</v>
      </c>
      <c r="B163" s="15"/>
      <c r="C163" s="15" t="s">
        <v>191</v>
      </c>
      <c r="D163" s="15"/>
      <c r="E163" s="43">
        <v>338222.18</v>
      </c>
      <c r="F163" s="43"/>
      <c r="G163" s="43">
        <v>4966.1000000000004</v>
      </c>
      <c r="H163" s="43"/>
      <c r="I163" s="43">
        <v>575</v>
      </c>
      <c r="J163" s="43"/>
      <c r="K163" s="43">
        <v>0</v>
      </c>
      <c r="L163" s="43"/>
      <c r="M163" s="43">
        <f t="shared" ref="M163" si="164">-E163+G163+I163+K163</f>
        <v>-332681.08</v>
      </c>
      <c r="N163" s="43"/>
      <c r="O163" s="43">
        <v>0</v>
      </c>
      <c r="P163" s="43"/>
      <c r="Q163" s="43">
        <f>273062.27+10527</f>
        <v>283589.27</v>
      </c>
      <c r="R163" s="43"/>
      <c r="S163" s="43">
        <v>0</v>
      </c>
      <c r="T163" s="43"/>
      <c r="U163" s="43">
        <v>292.41000000000003</v>
      </c>
      <c r="V163" s="43"/>
      <c r="W163" s="43">
        <f>12385.87-10527</f>
        <v>1858.8700000000008</v>
      </c>
      <c r="X163" s="43"/>
      <c r="Y163" s="43">
        <v>0</v>
      </c>
      <c r="Z163" s="43"/>
      <c r="AA163" s="43">
        <v>0</v>
      </c>
      <c r="AB163" s="43"/>
      <c r="AC163" s="43">
        <f t="shared" ref="AC163" si="165">SUM(O163:AA163)</f>
        <v>285740.55</v>
      </c>
      <c r="AD163" s="43"/>
      <c r="AE163" s="43">
        <f t="shared" si="156"/>
        <v>-46940.530000000028</v>
      </c>
      <c r="AF163" s="43"/>
      <c r="AG163" s="43">
        <v>267076.18</v>
      </c>
      <c r="AH163" s="43"/>
      <c r="AI163" s="43">
        <f t="shared" ref="AI163" si="166">AE163+AG163</f>
        <v>220135.64999999997</v>
      </c>
    </row>
    <row r="164" spans="1:35" ht="12" hidden="1" customHeight="1" x14ac:dyDescent="0.2">
      <c r="A164" s="4" t="s">
        <v>383</v>
      </c>
      <c r="B164" s="4"/>
      <c r="C164" s="4" t="s">
        <v>59</v>
      </c>
      <c r="D164" s="4"/>
      <c r="E164" s="43"/>
      <c r="F164" s="43"/>
      <c r="G164" s="43"/>
      <c r="H164" s="43"/>
      <c r="I164" s="43"/>
      <c r="J164" s="43"/>
      <c r="K164" s="43"/>
      <c r="L164" s="43"/>
      <c r="M164" s="43">
        <f t="shared" si="158"/>
        <v>0</v>
      </c>
      <c r="N164" s="43"/>
      <c r="O164" s="43"/>
      <c r="P164" s="43"/>
      <c r="Q164" s="43"/>
      <c r="R164" s="43"/>
      <c r="S164" s="43">
        <v>0</v>
      </c>
      <c r="T164" s="43"/>
      <c r="U164" s="43"/>
      <c r="V164" s="43"/>
      <c r="W164" s="43"/>
      <c r="X164" s="43"/>
      <c r="Y164" s="43"/>
      <c r="Z164" s="43"/>
      <c r="AA164" s="43"/>
      <c r="AB164" s="43"/>
      <c r="AC164" s="43">
        <f t="shared" si="159"/>
        <v>0</v>
      </c>
      <c r="AD164" s="43"/>
      <c r="AE164" s="43">
        <f t="shared" si="156"/>
        <v>0</v>
      </c>
      <c r="AF164" s="43"/>
      <c r="AG164" s="43"/>
      <c r="AH164" s="43"/>
      <c r="AI164" s="43">
        <f t="shared" si="160"/>
        <v>0</v>
      </c>
    </row>
    <row r="165" spans="1:35" ht="12" hidden="1" customHeight="1" x14ac:dyDescent="0.2">
      <c r="A165" s="4" t="s">
        <v>240</v>
      </c>
      <c r="B165" s="4"/>
      <c r="C165" s="4" t="s">
        <v>165</v>
      </c>
      <c r="D165" s="4"/>
      <c r="E165" s="43">
        <v>1154587.8700000001</v>
      </c>
      <c r="F165" s="43"/>
      <c r="G165" s="43">
        <v>32807.58</v>
      </c>
      <c r="H165" s="43"/>
      <c r="I165" s="43">
        <v>8862.44</v>
      </c>
      <c r="J165" s="43"/>
      <c r="K165" s="43">
        <v>1300</v>
      </c>
      <c r="L165" s="43"/>
      <c r="M165" s="43">
        <v>-1111617.8500000001</v>
      </c>
      <c r="N165" s="43"/>
      <c r="O165" s="43">
        <v>531216.28</v>
      </c>
      <c r="P165" s="43"/>
      <c r="Q165" s="43">
        <v>569048.6</v>
      </c>
      <c r="R165" s="43"/>
      <c r="S165" s="43">
        <v>0</v>
      </c>
      <c r="T165" s="43"/>
      <c r="U165" s="43">
        <v>4461.7299999999996</v>
      </c>
      <c r="V165" s="43"/>
      <c r="W165" s="43">
        <v>4192.8</v>
      </c>
      <c r="X165" s="43"/>
      <c r="Y165" s="43">
        <v>0</v>
      </c>
      <c r="Z165" s="43"/>
      <c r="AA165" s="43">
        <v>0</v>
      </c>
      <c r="AB165" s="43"/>
      <c r="AC165" s="43">
        <f t="shared" ref="AC165:AC167" si="167">SUM(O165:AA165)</f>
        <v>1108919.4099999999</v>
      </c>
      <c r="AD165" s="43"/>
      <c r="AE165" s="43">
        <v>-2698.44</v>
      </c>
      <c r="AF165" s="43"/>
      <c r="AG165" s="43">
        <v>951986.3</v>
      </c>
      <c r="AH165" s="43"/>
      <c r="AI165" s="43">
        <v>949287.86</v>
      </c>
    </row>
    <row r="166" spans="1:35" ht="12" hidden="1" customHeight="1" x14ac:dyDescent="0.2">
      <c r="A166" s="4" t="s">
        <v>384</v>
      </c>
      <c r="B166" s="4"/>
      <c r="C166" s="15" t="s">
        <v>41</v>
      </c>
      <c r="D166" s="4"/>
      <c r="E166" s="43">
        <v>147068.13</v>
      </c>
      <c r="F166" s="43"/>
      <c r="G166" s="43">
        <v>7053.33</v>
      </c>
      <c r="H166" s="43"/>
      <c r="I166" s="43">
        <v>0</v>
      </c>
      <c r="J166" s="43"/>
      <c r="K166" s="43">
        <v>0</v>
      </c>
      <c r="L166" s="43"/>
      <c r="M166" s="43">
        <v>-140014.79999999999</v>
      </c>
      <c r="N166" s="43"/>
      <c r="O166" s="43">
        <v>0</v>
      </c>
      <c r="P166" s="43"/>
      <c r="Q166" s="43">
        <v>159302.48000000001</v>
      </c>
      <c r="R166" s="43"/>
      <c r="S166" s="43">
        <v>0</v>
      </c>
      <c r="T166" s="43"/>
      <c r="U166" s="43">
        <v>302.3</v>
      </c>
      <c r="V166" s="43"/>
      <c r="W166" s="43">
        <v>154.21</v>
      </c>
      <c r="X166" s="43"/>
      <c r="Y166" s="43">
        <v>0</v>
      </c>
      <c r="Z166" s="43"/>
      <c r="AA166" s="43">
        <v>0</v>
      </c>
      <c r="AB166" s="43"/>
      <c r="AC166" s="43">
        <f t="shared" si="167"/>
        <v>159758.99</v>
      </c>
      <c r="AD166" s="43"/>
      <c r="AE166" s="43">
        <v>19744.189999999999</v>
      </c>
      <c r="AF166" s="43"/>
      <c r="AG166" s="43">
        <v>186774.98</v>
      </c>
      <c r="AH166" s="43"/>
      <c r="AI166" s="43">
        <v>206519.17</v>
      </c>
    </row>
    <row r="167" spans="1:35" ht="12" hidden="1" customHeight="1" x14ac:dyDescent="0.2">
      <c r="A167" s="7" t="s">
        <v>508</v>
      </c>
      <c r="B167" s="7"/>
      <c r="C167" s="7" t="s">
        <v>48</v>
      </c>
      <c r="D167" s="7"/>
      <c r="E167" s="43">
        <v>210333.66</v>
      </c>
      <c r="F167" s="43"/>
      <c r="G167" s="43">
        <v>1666.71</v>
      </c>
      <c r="H167" s="43"/>
      <c r="I167" s="43">
        <v>9423.18</v>
      </c>
      <c r="J167" s="43"/>
      <c r="K167" s="43">
        <v>0</v>
      </c>
      <c r="L167" s="43"/>
      <c r="M167" s="43">
        <v>-199243.77</v>
      </c>
      <c r="N167" s="43"/>
      <c r="O167" s="43">
        <v>60659.519999999997</v>
      </c>
      <c r="P167" s="43"/>
      <c r="Q167" s="43">
        <v>166163.49</v>
      </c>
      <c r="R167" s="43"/>
      <c r="S167" s="43">
        <v>0</v>
      </c>
      <c r="T167" s="43"/>
      <c r="U167" s="43">
        <v>120.36</v>
      </c>
      <c r="V167" s="43"/>
      <c r="W167" s="43">
        <v>752.8</v>
      </c>
      <c r="X167" s="43"/>
      <c r="Y167" s="43">
        <v>0</v>
      </c>
      <c r="Z167" s="43"/>
      <c r="AA167" s="43">
        <v>0</v>
      </c>
      <c r="AB167" s="43"/>
      <c r="AC167" s="43">
        <f t="shared" si="167"/>
        <v>227696.16999999995</v>
      </c>
      <c r="AD167" s="43"/>
      <c r="AE167" s="43">
        <v>28452.400000000001</v>
      </c>
      <c r="AF167" s="43"/>
      <c r="AG167" s="43">
        <v>24390.959999999999</v>
      </c>
      <c r="AH167" s="43"/>
      <c r="AI167" s="43">
        <v>52843.360000000001</v>
      </c>
    </row>
    <row r="168" spans="1:35" s="4" customFormat="1" ht="12" x14ac:dyDescent="0.2">
      <c r="A168" s="4" t="s">
        <v>242</v>
      </c>
      <c r="C168" s="4" t="s">
        <v>17</v>
      </c>
      <c r="E168" s="43">
        <v>4266733</v>
      </c>
      <c r="F168" s="43"/>
      <c r="G168" s="43">
        <v>70815</v>
      </c>
      <c r="H168" s="43"/>
      <c r="I168" s="43">
        <v>21270</v>
      </c>
      <c r="J168" s="43"/>
      <c r="K168" s="43">
        <v>0</v>
      </c>
      <c r="L168" s="43"/>
      <c r="M168" s="43">
        <f t="shared" si="158"/>
        <v>-4174648</v>
      </c>
      <c r="N168" s="43"/>
      <c r="O168" s="43">
        <v>3144400</v>
      </c>
      <c r="P168" s="43"/>
      <c r="Q168" s="43">
        <f>602441+471703</f>
        <v>1074144</v>
      </c>
      <c r="R168" s="43"/>
      <c r="S168" s="43">
        <v>0</v>
      </c>
      <c r="T168" s="43"/>
      <c r="U168" s="43">
        <v>5943</v>
      </c>
      <c r="V168" s="43"/>
      <c r="W168" s="43">
        <v>6402</v>
      </c>
      <c r="X168" s="43"/>
      <c r="Y168" s="43">
        <v>0</v>
      </c>
      <c r="Z168" s="43"/>
      <c r="AA168" s="43">
        <v>0</v>
      </c>
      <c r="AB168" s="43"/>
      <c r="AC168" s="43">
        <f t="shared" si="159"/>
        <v>4230889</v>
      </c>
      <c r="AD168" s="43"/>
      <c r="AE168" s="43">
        <f t="shared" ref="AE168:AE177" si="168">AC168+M168</f>
        <v>56241</v>
      </c>
      <c r="AF168" s="43"/>
      <c r="AG168" s="43">
        <v>5812307</v>
      </c>
      <c r="AH168" s="43"/>
      <c r="AI168" s="43">
        <f t="shared" si="160"/>
        <v>5868548</v>
      </c>
    </row>
    <row r="169" spans="1:35" s="74" customFormat="1" ht="12" hidden="1" x14ac:dyDescent="0.2">
      <c r="A169" s="74" t="s">
        <v>243</v>
      </c>
      <c r="C169" s="74" t="s">
        <v>23</v>
      </c>
      <c r="E169" s="43">
        <v>2144761</v>
      </c>
      <c r="F169" s="43"/>
      <c r="G169" s="43">
        <v>27371</v>
      </c>
      <c r="H169" s="43"/>
      <c r="I169" s="43">
        <v>0</v>
      </c>
      <c r="J169" s="43"/>
      <c r="K169" s="43">
        <v>0</v>
      </c>
      <c r="L169" s="43"/>
      <c r="M169" s="43">
        <f t="shared" ref="M169" si="169">-E169+G169+I169+K169</f>
        <v>-2117390</v>
      </c>
      <c r="N169" s="43"/>
      <c r="O169" s="43">
        <f>1217523+844464</f>
        <v>2061987</v>
      </c>
      <c r="P169" s="43"/>
      <c r="Q169" s="43">
        <v>6500</v>
      </c>
      <c r="R169" s="43"/>
      <c r="S169" s="43">
        <v>19801</v>
      </c>
      <c r="T169" s="43"/>
      <c r="U169" s="43">
        <v>1705</v>
      </c>
      <c r="V169" s="43"/>
      <c r="W169" s="43">
        <f>31265+642+100</f>
        <v>32007</v>
      </c>
      <c r="X169" s="43"/>
      <c r="Y169" s="43">
        <v>0</v>
      </c>
      <c r="Z169" s="43"/>
      <c r="AA169" s="43">
        <v>0</v>
      </c>
      <c r="AB169" s="43"/>
      <c r="AC169" s="43">
        <f>SUM(O169:AA169)</f>
        <v>2122000</v>
      </c>
      <c r="AD169" s="43"/>
      <c r="AE169" s="43">
        <f t="shared" si="168"/>
        <v>4610</v>
      </c>
      <c r="AF169" s="43"/>
      <c r="AG169" s="43">
        <f>1394861</f>
        <v>1394861</v>
      </c>
      <c r="AH169" s="43"/>
      <c r="AI169" s="43">
        <f t="shared" ref="AI169" si="170">AE169+AG169</f>
        <v>1399471</v>
      </c>
    </row>
    <row r="170" spans="1:35" s="4" customFormat="1" ht="12" x14ac:dyDescent="0.2">
      <c r="A170" s="4" t="s">
        <v>244</v>
      </c>
      <c r="C170" s="4" t="s">
        <v>63</v>
      </c>
      <c r="E170" s="43">
        <v>853898</v>
      </c>
      <c r="F170" s="43"/>
      <c r="G170" s="43">
        <v>23935</v>
      </c>
      <c r="H170" s="43"/>
      <c r="I170" s="43">
        <v>6042</v>
      </c>
      <c r="J170" s="43"/>
      <c r="K170" s="43">
        <v>0</v>
      </c>
      <c r="L170" s="43"/>
      <c r="M170" s="43">
        <f t="shared" ref="M170" si="171">-E170+G170+I170+K170</f>
        <v>-823921</v>
      </c>
      <c r="N170" s="43"/>
      <c r="O170" s="43">
        <v>294279</v>
      </c>
      <c r="P170" s="43"/>
      <c r="Q170" s="43">
        <f>471732+118349</f>
        <v>590081</v>
      </c>
      <c r="R170" s="43"/>
      <c r="S170" s="43">
        <v>0</v>
      </c>
      <c r="T170" s="43"/>
      <c r="U170" s="43">
        <v>2626</v>
      </c>
      <c r="V170" s="43"/>
      <c r="W170" s="43">
        <v>9376</v>
      </c>
      <c r="X170" s="43"/>
      <c r="Y170" s="43">
        <v>0</v>
      </c>
      <c r="Z170" s="43"/>
      <c r="AA170" s="43">
        <v>0</v>
      </c>
      <c r="AB170" s="43"/>
      <c r="AC170" s="43">
        <f t="shared" ref="AC170" si="172">SUM(O170:AA170)</f>
        <v>896362</v>
      </c>
      <c r="AD170" s="43"/>
      <c r="AE170" s="43">
        <f t="shared" si="168"/>
        <v>72441</v>
      </c>
      <c r="AF170" s="43"/>
      <c r="AG170" s="43">
        <v>1109984</v>
      </c>
      <c r="AH170" s="43"/>
      <c r="AI170" s="43">
        <f t="shared" ref="AI170" si="173">AE170+AG170</f>
        <v>1182425</v>
      </c>
    </row>
    <row r="171" spans="1:35" s="4" customFormat="1" ht="12" hidden="1" x14ac:dyDescent="0.2">
      <c r="A171" s="4" t="s">
        <v>511</v>
      </c>
      <c r="C171" s="4" t="s">
        <v>60</v>
      </c>
      <c r="E171" s="43"/>
      <c r="F171" s="43"/>
      <c r="G171" s="43"/>
      <c r="H171" s="43"/>
      <c r="I171" s="43"/>
      <c r="J171" s="43"/>
      <c r="K171" s="43"/>
      <c r="L171" s="43"/>
      <c r="M171" s="43">
        <f t="shared" si="158"/>
        <v>0</v>
      </c>
      <c r="N171" s="43"/>
      <c r="O171" s="43"/>
      <c r="P171" s="43"/>
      <c r="Q171" s="43"/>
      <c r="R171" s="43"/>
      <c r="S171" s="43">
        <v>0</v>
      </c>
      <c r="T171" s="43"/>
      <c r="U171" s="43"/>
      <c r="V171" s="43"/>
      <c r="W171" s="43"/>
      <c r="X171" s="43"/>
      <c r="Y171" s="43"/>
      <c r="Z171" s="43"/>
      <c r="AA171" s="43"/>
      <c r="AB171" s="43"/>
      <c r="AC171" s="43">
        <f t="shared" si="159"/>
        <v>0</v>
      </c>
      <c r="AD171" s="43"/>
      <c r="AE171" s="43">
        <f t="shared" si="168"/>
        <v>0</v>
      </c>
      <c r="AF171" s="43"/>
      <c r="AG171" s="43"/>
      <c r="AH171" s="43"/>
      <c r="AI171" s="43">
        <f t="shared" si="160"/>
        <v>0</v>
      </c>
    </row>
    <row r="172" spans="1:35" s="4" customFormat="1" ht="12" x14ac:dyDescent="0.2">
      <c r="A172" s="4" t="s">
        <v>246</v>
      </c>
      <c r="C172" s="4" t="s">
        <v>49</v>
      </c>
      <c r="E172" s="43">
        <v>1046224</v>
      </c>
      <c r="F172" s="43"/>
      <c r="G172" s="43">
        <v>32747</v>
      </c>
      <c r="H172" s="43"/>
      <c r="I172" s="43">
        <v>23336</v>
      </c>
      <c r="J172" s="43"/>
      <c r="K172" s="43">
        <v>0</v>
      </c>
      <c r="L172" s="43"/>
      <c r="M172" s="43">
        <f t="shared" si="158"/>
        <v>-990141</v>
      </c>
      <c r="N172" s="43"/>
      <c r="O172" s="43">
        <v>327302</v>
      </c>
      <c r="P172" s="43"/>
      <c r="Q172" s="43">
        <f>696724+52207</f>
        <v>748931</v>
      </c>
      <c r="R172" s="43"/>
      <c r="S172" s="43">
        <v>0</v>
      </c>
      <c r="T172" s="43"/>
      <c r="U172" s="43">
        <v>1340</v>
      </c>
      <c r="V172" s="43"/>
      <c r="W172" s="43">
        <v>569</v>
      </c>
      <c r="X172" s="43"/>
      <c r="Y172" s="43">
        <v>0</v>
      </c>
      <c r="Z172" s="43"/>
      <c r="AA172" s="43">
        <v>0</v>
      </c>
      <c r="AB172" s="43"/>
      <c r="AC172" s="43">
        <f t="shared" si="159"/>
        <v>1078142</v>
      </c>
      <c r="AD172" s="43"/>
      <c r="AE172" s="43">
        <f t="shared" si="168"/>
        <v>88001</v>
      </c>
      <c r="AF172" s="43"/>
      <c r="AG172" s="43">
        <v>909861</v>
      </c>
      <c r="AH172" s="43"/>
      <c r="AI172" s="43">
        <f t="shared" si="160"/>
        <v>997862</v>
      </c>
    </row>
    <row r="173" spans="1:35" s="4" customFormat="1" ht="12" x14ac:dyDescent="0.2">
      <c r="A173" s="4" t="s">
        <v>247</v>
      </c>
      <c r="C173" s="4" t="s">
        <v>52</v>
      </c>
      <c r="E173" s="43">
        <v>719948</v>
      </c>
      <c r="F173" s="43"/>
      <c r="G173" s="43">
        <v>7077</v>
      </c>
      <c r="H173" s="43"/>
      <c r="I173" s="43">
        <v>3831</v>
      </c>
      <c r="J173" s="43"/>
      <c r="K173" s="43">
        <v>0</v>
      </c>
      <c r="L173" s="43"/>
      <c r="M173" s="43">
        <f t="shared" ref="M173" si="174">-E173+G173+I173+K173</f>
        <v>-709040</v>
      </c>
      <c r="N173" s="43"/>
      <c r="O173" s="43">
        <v>479771</v>
      </c>
      <c r="P173" s="43"/>
      <c r="Q173" s="43">
        <v>538207</v>
      </c>
      <c r="R173" s="43"/>
      <c r="S173" s="43">
        <v>0</v>
      </c>
      <c r="T173" s="43"/>
      <c r="U173" s="43">
        <f>2560+455</f>
        <v>3015</v>
      </c>
      <c r="V173" s="43"/>
      <c r="W173" s="43">
        <v>15</v>
      </c>
      <c r="X173" s="43"/>
      <c r="Y173" s="43">
        <v>0</v>
      </c>
      <c r="Z173" s="43"/>
      <c r="AA173" s="43">
        <v>0</v>
      </c>
      <c r="AB173" s="43"/>
      <c r="AC173" s="43">
        <f t="shared" ref="AC173" si="175">SUM(O173:AA173)</f>
        <v>1021008</v>
      </c>
      <c r="AD173" s="43"/>
      <c r="AE173" s="43">
        <f t="shared" si="168"/>
        <v>311968</v>
      </c>
      <c r="AF173" s="43"/>
      <c r="AG173" s="43">
        <v>830774</v>
      </c>
      <c r="AH173" s="43"/>
      <c r="AI173" s="43">
        <f t="shared" ref="AI173" si="176">AE173+AG173</f>
        <v>1142742</v>
      </c>
    </row>
    <row r="174" spans="1:35" s="4" customFormat="1" ht="12" x14ac:dyDescent="0.2">
      <c r="A174" s="4" t="s">
        <v>313</v>
      </c>
      <c r="C174" s="4" t="s">
        <v>165</v>
      </c>
      <c r="E174" s="43">
        <v>3283198</v>
      </c>
      <c r="F174" s="43"/>
      <c r="G174" s="43">
        <f>60281+74</f>
        <v>60355</v>
      </c>
      <c r="H174" s="43"/>
      <c r="I174" s="43">
        <v>72158</v>
      </c>
      <c r="J174" s="43"/>
      <c r="K174" s="43">
        <v>0</v>
      </c>
      <c r="L174" s="43"/>
      <c r="M174" s="43">
        <f t="shared" ref="M174" si="177">-E174+G174+I174+K174</f>
        <v>-3150685</v>
      </c>
      <c r="N174" s="43"/>
      <c r="O174" s="43">
        <v>1360678</v>
      </c>
      <c r="P174" s="43"/>
      <c r="Q174" s="43">
        <f>1376369+176711</f>
        <v>1553080</v>
      </c>
      <c r="R174" s="43"/>
      <c r="S174" s="43">
        <v>0</v>
      </c>
      <c r="T174" s="43"/>
      <c r="U174" s="43">
        <v>124950</v>
      </c>
      <c r="V174" s="43"/>
      <c r="W174" s="43">
        <v>46841</v>
      </c>
      <c r="X174" s="43"/>
      <c r="Y174" s="43">
        <v>0</v>
      </c>
      <c r="Z174" s="43"/>
      <c r="AA174" s="43">
        <v>0</v>
      </c>
      <c r="AB174" s="43"/>
      <c r="AC174" s="43">
        <f t="shared" ref="AC174" si="178">SUM(O174:AA174)</f>
        <v>3085549</v>
      </c>
      <c r="AD174" s="43"/>
      <c r="AE174" s="43">
        <f t="shared" si="168"/>
        <v>-65136</v>
      </c>
      <c r="AF174" s="43"/>
      <c r="AG174" s="43">
        <v>3031204</v>
      </c>
      <c r="AH174" s="43"/>
      <c r="AI174" s="43">
        <f t="shared" ref="AI174" si="179">AE174+AG174</f>
        <v>2966068</v>
      </c>
    </row>
    <row r="175" spans="1:35" s="4" customFormat="1" ht="12" x14ac:dyDescent="0.2">
      <c r="A175" s="4" t="s">
        <v>650</v>
      </c>
      <c r="C175" s="4" t="s">
        <v>76</v>
      </c>
      <c r="E175" s="43">
        <v>1472832</v>
      </c>
      <c r="F175" s="43"/>
      <c r="G175" s="43">
        <v>30780</v>
      </c>
      <c r="H175" s="43"/>
      <c r="I175" s="43">
        <v>15514</v>
      </c>
      <c r="J175" s="43"/>
      <c r="K175" s="43">
        <v>0</v>
      </c>
      <c r="L175" s="43"/>
      <c r="M175" s="43">
        <f t="shared" ref="M175" si="180">-E175+G175+I175+K175</f>
        <v>-1426538</v>
      </c>
      <c r="N175" s="43"/>
      <c r="O175" s="43">
        <v>0</v>
      </c>
      <c r="P175" s="43"/>
      <c r="Q175" s="43">
        <v>1345613</v>
      </c>
      <c r="R175" s="43"/>
      <c r="S175" s="43">
        <v>0</v>
      </c>
      <c r="T175" s="43"/>
      <c r="U175" s="43">
        <v>1869</v>
      </c>
      <c r="V175" s="43"/>
      <c r="W175" s="43">
        <v>16059</v>
      </c>
      <c r="X175" s="43"/>
      <c r="Y175" s="43">
        <v>0</v>
      </c>
      <c r="Z175" s="43"/>
      <c r="AA175" s="43">
        <v>0</v>
      </c>
      <c r="AB175" s="43"/>
      <c r="AC175" s="43">
        <f t="shared" ref="AC175" si="181">SUM(O175:AA175)</f>
        <v>1363541</v>
      </c>
      <c r="AD175" s="43"/>
      <c r="AE175" s="43">
        <f t="shared" si="168"/>
        <v>-62997</v>
      </c>
      <c r="AF175" s="43"/>
      <c r="AG175" s="43">
        <v>3722311</v>
      </c>
      <c r="AH175" s="43"/>
      <c r="AI175" s="43">
        <f t="shared" ref="AI175" si="182">AE175+AG175</f>
        <v>3659314</v>
      </c>
    </row>
    <row r="176" spans="1:35" s="4" customFormat="1" ht="12" x14ac:dyDescent="0.2">
      <c r="A176" s="4" t="s">
        <v>438</v>
      </c>
      <c r="C176" s="4" t="s">
        <v>168</v>
      </c>
      <c r="E176" s="43">
        <v>188174</v>
      </c>
      <c r="F176" s="43"/>
      <c r="G176" s="43">
        <f>3205+5563</f>
        <v>8768</v>
      </c>
      <c r="H176" s="43"/>
      <c r="I176" s="43">
        <v>0</v>
      </c>
      <c r="J176" s="43"/>
      <c r="K176" s="43">
        <v>0</v>
      </c>
      <c r="L176" s="43"/>
      <c r="M176" s="43">
        <f t="shared" ref="M176" si="183">-E176+G176+I176+K176</f>
        <v>-179406</v>
      </c>
      <c r="N176" s="43"/>
      <c r="O176" s="43">
        <v>0</v>
      </c>
      <c r="P176" s="43"/>
      <c r="Q176" s="43">
        <v>161598</v>
      </c>
      <c r="R176" s="43"/>
      <c r="S176" s="43">
        <v>0</v>
      </c>
      <c r="T176" s="43"/>
      <c r="U176" s="43">
        <v>675</v>
      </c>
      <c r="V176" s="43"/>
      <c r="W176" s="43">
        <v>363</v>
      </c>
      <c r="X176" s="43"/>
      <c r="Y176" s="43">
        <v>0</v>
      </c>
      <c r="Z176" s="43"/>
      <c r="AA176" s="43">
        <v>0</v>
      </c>
      <c r="AB176" s="43"/>
      <c r="AC176" s="43">
        <f t="shared" ref="AC176" si="184">SUM(O176:AA176)</f>
        <v>162636</v>
      </c>
      <c r="AD176" s="43"/>
      <c r="AE176" s="43">
        <f t="shared" si="168"/>
        <v>-16770</v>
      </c>
      <c r="AF176" s="43"/>
      <c r="AG176" s="43">
        <v>124920</v>
      </c>
      <c r="AH176" s="43"/>
      <c r="AI176" s="43">
        <f t="shared" ref="AI176" si="185">AE176+AG176</f>
        <v>108150</v>
      </c>
    </row>
    <row r="177" spans="1:35" s="4" customFormat="1" ht="12" x14ac:dyDescent="0.2">
      <c r="A177" s="4" t="s">
        <v>252</v>
      </c>
      <c r="C177" s="4" t="s">
        <v>90</v>
      </c>
      <c r="E177" s="43">
        <v>5413760</v>
      </c>
      <c r="F177" s="43"/>
      <c r="G177" s="43">
        <v>138583</v>
      </c>
      <c r="H177" s="43"/>
      <c r="I177" s="43">
        <v>8831</v>
      </c>
      <c r="J177" s="43"/>
      <c r="K177" s="43">
        <v>0</v>
      </c>
      <c r="L177" s="43"/>
      <c r="M177" s="43">
        <f t="shared" ref="M177" si="186">-E177+G177+I177+K177</f>
        <v>-5266346</v>
      </c>
      <c r="N177" s="43"/>
      <c r="O177" s="43">
        <v>2076962</v>
      </c>
      <c r="P177" s="43"/>
      <c r="Q177" s="43">
        <f>3131258+251017</f>
        <v>3382275</v>
      </c>
      <c r="R177" s="43"/>
      <c r="S177" s="43">
        <v>0</v>
      </c>
      <c r="T177" s="43"/>
      <c r="U177" s="43">
        <v>764</v>
      </c>
      <c r="V177" s="43"/>
      <c r="W177" s="43">
        <v>50709</v>
      </c>
      <c r="X177" s="43"/>
      <c r="Y177" s="43">
        <v>0</v>
      </c>
      <c r="Z177" s="43"/>
      <c r="AA177" s="43">
        <v>0</v>
      </c>
      <c r="AB177" s="43"/>
      <c r="AC177" s="43">
        <f t="shared" ref="AC177" si="187">SUM(O177:AA177)</f>
        <v>5510710</v>
      </c>
      <c r="AD177" s="43"/>
      <c r="AE177" s="43">
        <f t="shared" si="168"/>
        <v>244364</v>
      </c>
      <c r="AF177" s="43"/>
      <c r="AG177" s="43">
        <v>3162519</v>
      </c>
      <c r="AH177" s="43"/>
      <c r="AI177" s="43">
        <f t="shared" ref="AI177" si="188">AE177+AG177</f>
        <v>3406883</v>
      </c>
    </row>
    <row r="178" spans="1:35" s="4" customFormat="1" ht="12" hidden="1" x14ac:dyDescent="0.2">
      <c r="A178" s="4" t="s">
        <v>389</v>
      </c>
      <c r="C178" s="4" t="s">
        <v>42</v>
      </c>
      <c r="E178" s="43">
        <v>587231.1</v>
      </c>
      <c r="F178" s="43"/>
      <c r="G178" s="43">
        <v>11611.18</v>
      </c>
      <c r="H178" s="43"/>
      <c r="I178" s="43">
        <v>27658.87</v>
      </c>
      <c r="J178" s="43"/>
      <c r="K178" s="43">
        <v>0</v>
      </c>
      <c r="L178" s="43"/>
      <c r="M178" s="43">
        <v>-547961.05000000005</v>
      </c>
      <c r="N178" s="43"/>
      <c r="O178" s="43">
        <v>160114.82999999999</v>
      </c>
      <c r="P178" s="43"/>
      <c r="Q178" s="43">
        <v>430465.88</v>
      </c>
      <c r="R178" s="43"/>
      <c r="S178" s="43">
        <v>0</v>
      </c>
      <c r="T178" s="43"/>
      <c r="U178" s="43">
        <v>9.32</v>
      </c>
      <c r="V178" s="43"/>
      <c r="W178" s="43">
        <v>15207.4</v>
      </c>
      <c r="X178" s="43"/>
      <c r="Y178" s="43">
        <v>0</v>
      </c>
      <c r="Z178" s="43"/>
      <c r="AA178" s="43">
        <v>0</v>
      </c>
      <c r="AB178" s="43"/>
      <c r="AC178" s="43">
        <f t="shared" ref="AC178" si="189">SUM(O178:AA178)</f>
        <v>605797.42999999993</v>
      </c>
      <c r="AD178" s="43"/>
      <c r="AE178" s="43">
        <v>57836.38</v>
      </c>
      <c r="AF178" s="43"/>
      <c r="AG178" s="43">
        <v>76933.3</v>
      </c>
      <c r="AH178" s="43"/>
      <c r="AI178" s="43">
        <v>134769.68</v>
      </c>
    </row>
    <row r="179" spans="1:35" s="60" customFormat="1" ht="12" hidden="1" customHeight="1" x14ac:dyDescent="0.2">
      <c r="A179" s="42" t="s">
        <v>552</v>
      </c>
      <c r="B179" s="42"/>
      <c r="C179" s="42" t="s">
        <v>11</v>
      </c>
      <c r="D179" s="65"/>
      <c r="E179" s="43">
        <v>501000.37</v>
      </c>
      <c r="F179" s="43"/>
      <c r="G179" s="43">
        <v>12260.36</v>
      </c>
      <c r="H179" s="43"/>
      <c r="I179" s="43">
        <v>3701.16</v>
      </c>
      <c r="J179" s="43"/>
      <c r="K179" s="43">
        <v>0</v>
      </c>
      <c r="L179" s="43"/>
      <c r="M179" s="43">
        <v>-485038.85</v>
      </c>
      <c r="N179" s="43"/>
      <c r="O179" s="43">
        <v>0</v>
      </c>
      <c r="P179" s="43"/>
      <c r="Q179" s="43">
        <v>410497.09</v>
      </c>
      <c r="R179" s="43"/>
      <c r="S179" s="43">
        <v>0</v>
      </c>
      <c r="T179" s="43"/>
      <c r="U179" s="43">
        <v>594.87</v>
      </c>
      <c r="V179" s="43"/>
      <c r="W179" s="43">
        <v>57.69</v>
      </c>
      <c r="X179" s="43"/>
      <c r="Y179" s="43">
        <v>0</v>
      </c>
      <c r="Z179" s="43"/>
      <c r="AA179" s="43">
        <v>0</v>
      </c>
      <c r="AB179" s="43"/>
      <c r="AC179" s="43">
        <f t="shared" ref="AC179" si="190">SUM(O179:AA179)</f>
        <v>411149.65</v>
      </c>
      <c r="AD179" s="43"/>
      <c r="AE179" s="43">
        <v>-73889.2</v>
      </c>
      <c r="AF179" s="43"/>
      <c r="AG179" s="43">
        <v>687357.06</v>
      </c>
      <c r="AH179" s="43"/>
      <c r="AI179" s="43">
        <v>613467.86</v>
      </c>
    </row>
    <row r="180" spans="1:35" s="4" customFormat="1" ht="12" x14ac:dyDescent="0.2">
      <c r="A180" s="12" t="s">
        <v>253</v>
      </c>
      <c r="B180" s="15"/>
      <c r="C180" s="15" t="s">
        <v>23</v>
      </c>
      <c r="D180" s="15"/>
      <c r="E180" s="43">
        <v>12466675</v>
      </c>
      <c r="F180" s="43"/>
      <c r="G180" s="43">
        <f>233915+52493</f>
        <v>286408</v>
      </c>
      <c r="H180" s="43"/>
      <c r="I180" s="43">
        <v>34446</v>
      </c>
      <c r="J180" s="43"/>
      <c r="K180" s="43">
        <v>0</v>
      </c>
      <c r="L180" s="43"/>
      <c r="M180" s="43">
        <f t="shared" ref="M180:M200" si="191">-E180+G180+I180+K180</f>
        <v>-12145821</v>
      </c>
      <c r="N180" s="43"/>
      <c r="O180" s="43">
        <v>4163743</v>
      </c>
      <c r="P180" s="43"/>
      <c r="Q180" s="43">
        <f>6283639+1021042</f>
        <v>7304681</v>
      </c>
      <c r="R180" s="43"/>
      <c r="S180" s="43">
        <v>0</v>
      </c>
      <c r="T180" s="43"/>
      <c r="U180" s="43">
        <v>4544</v>
      </c>
      <c r="V180" s="43"/>
      <c r="W180" s="43">
        <v>87142</v>
      </c>
      <c r="X180" s="43"/>
      <c r="Y180" s="43">
        <v>0</v>
      </c>
      <c r="Z180" s="43"/>
      <c r="AA180" s="43">
        <v>0</v>
      </c>
      <c r="AB180" s="43"/>
      <c r="AC180" s="43">
        <f t="shared" ref="AC180:AC202" si="192">SUM(O180:AA180)</f>
        <v>11560110</v>
      </c>
      <c r="AD180" s="43"/>
      <c r="AE180" s="43">
        <f t="shared" ref="AE180:AE197" si="193">AC180+M180</f>
        <v>-585711</v>
      </c>
      <c r="AF180" s="43"/>
      <c r="AG180" s="43">
        <v>3061771</v>
      </c>
      <c r="AH180" s="43"/>
      <c r="AI180" s="43">
        <f t="shared" ref="AI180:AI200" si="194">AE180+AG180</f>
        <v>2476060</v>
      </c>
    </row>
    <row r="181" spans="1:35" s="4" customFormat="1" ht="12" x14ac:dyDescent="0.2">
      <c r="A181" s="12" t="s">
        <v>256</v>
      </c>
      <c r="B181" s="12"/>
      <c r="C181" s="12" t="s">
        <v>20</v>
      </c>
      <c r="D181" s="15"/>
      <c r="E181" s="43">
        <v>2669852</v>
      </c>
      <c r="F181" s="43"/>
      <c r="G181" s="43">
        <v>114173</v>
      </c>
      <c r="H181" s="43"/>
      <c r="I181" s="43">
        <v>4591</v>
      </c>
      <c r="J181" s="43"/>
      <c r="K181" s="43">
        <v>0</v>
      </c>
      <c r="L181" s="43"/>
      <c r="M181" s="43">
        <f t="shared" si="191"/>
        <v>-2551088</v>
      </c>
      <c r="N181" s="43"/>
      <c r="O181" s="43">
        <v>1587842</v>
      </c>
      <c r="P181" s="43"/>
      <c r="Q181" s="43">
        <v>1189705</v>
      </c>
      <c r="R181" s="43"/>
      <c r="S181" s="43">
        <v>0</v>
      </c>
      <c r="T181" s="43"/>
      <c r="U181" s="43">
        <v>700</v>
      </c>
      <c r="V181" s="43"/>
      <c r="W181" s="43">
        <v>7967</v>
      </c>
      <c r="X181" s="43"/>
      <c r="Y181" s="43">
        <v>0</v>
      </c>
      <c r="Z181" s="43"/>
      <c r="AA181" s="43">
        <v>0</v>
      </c>
      <c r="AB181" s="43"/>
      <c r="AC181" s="43">
        <f t="shared" si="192"/>
        <v>2786214</v>
      </c>
      <c r="AD181" s="43"/>
      <c r="AE181" s="43">
        <f t="shared" si="193"/>
        <v>235126</v>
      </c>
      <c r="AF181" s="43"/>
      <c r="AG181" s="43">
        <v>1032687</v>
      </c>
      <c r="AH181" s="43"/>
      <c r="AI181" s="43">
        <f t="shared" si="194"/>
        <v>1267813</v>
      </c>
    </row>
    <row r="182" spans="1:35" s="4" customFormat="1" ht="12" hidden="1" x14ac:dyDescent="0.2">
      <c r="A182" s="4" t="s">
        <v>564</v>
      </c>
      <c r="C182" s="4" t="s">
        <v>565</v>
      </c>
      <c r="E182" s="43"/>
      <c r="F182" s="43"/>
      <c r="G182" s="43"/>
      <c r="H182" s="43"/>
      <c r="I182" s="43"/>
      <c r="J182" s="43"/>
      <c r="K182" s="43"/>
      <c r="L182" s="43"/>
      <c r="M182" s="43">
        <f t="shared" si="191"/>
        <v>0</v>
      </c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>
        <v>0</v>
      </c>
      <c r="Z182" s="43"/>
      <c r="AA182" s="43">
        <v>0</v>
      </c>
      <c r="AB182" s="43"/>
      <c r="AC182" s="43">
        <f t="shared" si="192"/>
        <v>0</v>
      </c>
      <c r="AD182" s="43"/>
      <c r="AE182" s="43">
        <f t="shared" si="193"/>
        <v>0</v>
      </c>
      <c r="AF182" s="43"/>
      <c r="AG182" s="43"/>
      <c r="AH182" s="43"/>
      <c r="AI182" s="43">
        <f t="shared" si="194"/>
        <v>0</v>
      </c>
    </row>
    <row r="183" spans="1:35" s="4" customFormat="1" ht="12" x14ac:dyDescent="0.2">
      <c r="A183" s="12" t="s">
        <v>439</v>
      </c>
      <c r="B183" s="12"/>
      <c r="C183" s="12" t="s">
        <v>51</v>
      </c>
      <c r="D183" s="15"/>
      <c r="E183" s="43">
        <v>711571</v>
      </c>
      <c r="F183" s="43"/>
      <c r="G183" s="43">
        <v>11630</v>
      </c>
      <c r="H183" s="43"/>
      <c r="I183" s="43">
        <v>16108</v>
      </c>
      <c r="J183" s="43"/>
      <c r="K183" s="43">
        <v>0</v>
      </c>
      <c r="L183" s="43"/>
      <c r="M183" s="43">
        <f t="shared" si="191"/>
        <v>-683833</v>
      </c>
      <c r="N183" s="43"/>
      <c r="O183" s="43">
        <v>437565</v>
      </c>
      <c r="P183" s="43"/>
      <c r="Q183" s="43">
        <v>290807</v>
      </c>
      <c r="R183" s="43"/>
      <c r="S183" s="43">
        <v>0</v>
      </c>
      <c r="T183" s="43"/>
      <c r="U183" s="43">
        <v>1677</v>
      </c>
      <c r="V183" s="43"/>
      <c r="W183" s="43">
        <v>11410</v>
      </c>
      <c r="X183" s="43"/>
      <c r="Y183" s="43">
        <v>0</v>
      </c>
      <c r="Z183" s="43"/>
      <c r="AA183" s="43">
        <v>0</v>
      </c>
      <c r="AB183" s="43"/>
      <c r="AC183" s="43">
        <f t="shared" si="192"/>
        <v>741459</v>
      </c>
      <c r="AD183" s="43"/>
      <c r="AE183" s="43">
        <f t="shared" si="193"/>
        <v>57626</v>
      </c>
      <c r="AF183" s="43"/>
      <c r="AG183" s="43">
        <v>569279</v>
      </c>
      <c r="AH183" s="43"/>
      <c r="AI183" s="43">
        <f t="shared" si="194"/>
        <v>626905</v>
      </c>
    </row>
    <row r="184" spans="1:35" s="4" customFormat="1" ht="12" x14ac:dyDescent="0.2">
      <c r="A184" s="12" t="s">
        <v>615</v>
      </c>
      <c r="B184" s="12"/>
      <c r="C184" s="12" t="s">
        <v>316</v>
      </c>
      <c r="D184" s="15"/>
      <c r="E184" s="43">
        <v>32018892</v>
      </c>
      <c r="F184" s="43"/>
      <c r="G184" s="43">
        <f>774210+85377</f>
        <v>859587</v>
      </c>
      <c r="H184" s="43"/>
      <c r="I184" s="43">
        <v>18296</v>
      </c>
      <c r="J184" s="43"/>
      <c r="K184" s="43">
        <v>0</v>
      </c>
      <c r="L184" s="43"/>
      <c r="M184" s="43">
        <f t="shared" si="191"/>
        <v>-31141009</v>
      </c>
      <c r="N184" s="43"/>
      <c r="O184" s="43">
        <v>13435450</v>
      </c>
      <c r="P184" s="43"/>
      <c r="Q184" s="43">
        <v>16835433</v>
      </c>
      <c r="R184" s="43"/>
      <c r="S184" s="43">
        <v>0</v>
      </c>
      <c r="T184" s="43"/>
      <c r="U184" s="43">
        <v>32878</v>
      </c>
      <c r="V184" s="43"/>
      <c r="W184" s="43">
        <v>270015</v>
      </c>
      <c r="X184" s="43"/>
      <c r="Y184" s="43">
        <v>0</v>
      </c>
      <c r="Z184" s="43"/>
      <c r="AA184" s="43">
        <v>0</v>
      </c>
      <c r="AB184" s="43"/>
      <c r="AC184" s="43">
        <f t="shared" si="192"/>
        <v>30573776</v>
      </c>
      <c r="AD184" s="43"/>
      <c r="AE184" s="43">
        <f t="shared" si="193"/>
        <v>-567233</v>
      </c>
      <c r="AF184" s="43"/>
      <c r="AG184" s="43">
        <v>11270642</v>
      </c>
      <c r="AH184" s="43"/>
      <c r="AI184" s="43">
        <f t="shared" si="194"/>
        <v>10703409</v>
      </c>
    </row>
    <row r="185" spans="1:35" s="4" customFormat="1" ht="12" x14ac:dyDescent="0.2">
      <c r="A185" s="12" t="s">
        <v>440</v>
      </c>
      <c r="B185" s="12"/>
      <c r="C185" s="12" t="s">
        <v>51</v>
      </c>
      <c r="D185" s="15"/>
      <c r="E185" s="43">
        <v>1899702</v>
      </c>
      <c r="F185" s="43"/>
      <c r="G185" s="43">
        <v>41304</v>
      </c>
      <c r="H185" s="43"/>
      <c r="I185" s="43">
        <v>52977</v>
      </c>
      <c r="J185" s="43"/>
      <c r="K185" s="43">
        <v>0</v>
      </c>
      <c r="L185" s="43"/>
      <c r="M185" s="43">
        <f t="shared" si="191"/>
        <v>-1805421</v>
      </c>
      <c r="N185" s="43"/>
      <c r="O185" s="43">
        <v>633633</v>
      </c>
      <c r="P185" s="43"/>
      <c r="Q185" s="43">
        <v>1162928</v>
      </c>
      <c r="R185" s="43"/>
      <c r="S185" s="43">
        <v>0</v>
      </c>
      <c r="T185" s="43"/>
      <c r="U185" s="43">
        <v>14178</v>
      </c>
      <c r="V185" s="43"/>
      <c r="W185" s="43">
        <v>28388</v>
      </c>
      <c r="X185" s="43"/>
      <c r="Y185" s="43">
        <v>0</v>
      </c>
      <c r="Z185" s="43"/>
      <c r="AA185" s="43">
        <v>0</v>
      </c>
      <c r="AB185" s="43"/>
      <c r="AC185" s="43">
        <f t="shared" si="192"/>
        <v>1839127</v>
      </c>
      <c r="AD185" s="43"/>
      <c r="AE185" s="43">
        <f t="shared" si="193"/>
        <v>33706</v>
      </c>
      <c r="AF185" s="43"/>
      <c r="AG185" s="43">
        <v>1499705</v>
      </c>
      <c r="AH185" s="43"/>
      <c r="AI185" s="43">
        <f t="shared" si="194"/>
        <v>1533411</v>
      </c>
    </row>
    <row r="186" spans="1:35" s="4" customFormat="1" ht="12" x14ac:dyDescent="0.2">
      <c r="A186" s="12" t="s">
        <v>263</v>
      </c>
      <c r="B186" s="12"/>
      <c r="C186" s="12" t="s">
        <v>24</v>
      </c>
      <c r="D186" s="15"/>
      <c r="E186" s="43">
        <v>1894813</v>
      </c>
      <c r="F186" s="43"/>
      <c r="G186" s="43">
        <v>56573</v>
      </c>
      <c r="H186" s="43"/>
      <c r="I186" s="43">
        <v>25927</v>
      </c>
      <c r="J186" s="43"/>
      <c r="K186" s="43">
        <v>0</v>
      </c>
      <c r="L186" s="43"/>
      <c r="M186" s="43">
        <f t="shared" si="191"/>
        <v>-1812313</v>
      </c>
      <c r="N186" s="43"/>
      <c r="O186" s="43">
        <v>520098</v>
      </c>
      <c r="P186" s="43"/>
      <c r="Q186" s="43">
        <f>1359345</f>
        <v>1359345</v>
      </c>
      <c r="R186" s="43"/>
      <c r="S186" s="43">
        <v>0</v>
      </c>
      <c r="T186" s="43"/>
      <c r="U186" s="43">
        <v>1230</v>
      </c>
      <c r="V186" s="43"/>
      <c r="W186" s="43">
        <v>0</v>
      </c>
      <c r="X186" s="43"/>
      <c r="Y186" s="43">
        <v>0</v>
      </c>
      <c r="Z186" s="43"/>
      <c r="AA186" s="43">
        <v>0</v>
      </c>
      <c r="AB186" s="43"/>
      <c r="AC186" s="43">
        <f t="shared" si="192"/>
        <v>1880673</v>
      </c>
      <c r="AD186" s="43"/>
      <c r="AE186" s="43">
        <f t="shared" si="193"/>
        <v>68360</v>
      </c>
      <c r="AF186" s="43"/>
      <c r="AG186" s="43">
        <v>545530</v>
      </c>
      <c r="AH186" s="43"/>
      <c r="AI186" s="43">
        <f t="shared" si="194"/>
        <v>613890</v>
      </c>
    </row>
    <row r="187" spans="1:35" s="4" customFormat="1" ht="12" x14ac:dyDescent="0.2">
      <c r="A187" s="12" t="s">
        <v>317</v>
      </c>
      <c r="B187" s="12"/>
      <c r="C187" s="12" t="s">
        <v>20</v>
      </c>
      <c r="D187" s="15"/>
      <c r="E187" s="43">
        <v>2780843</v>
      </c>
      <c r="F187" s="43"/>
      <c r="G187" s="43">
        <v>78030</v>
      </c>
      <c r="H187" s="43"/>
      <c r="I187" s="43">
        <v>18000</v>
      </c>
      <c r="J187" s="43"/>
      <c r="K187" s="43">
        <v>0</v>
      </c>
      <c r="L187" s="43"/>
      <c r="M187" s="43">
        <f t="shared" si="191"/>
        <v>-2684813</v>
      </c>
      <c r="N187" s="43"/>
      <c r="O187" s="43">
        <v>1338406</v>
      </c>
      <c r="P187" s="43"/>
      <c r="Q187" s="43">
        <f>1003097+254595</f>
        <v>1257692</v>
      </c>
      <c r="R187" s="43"/>
      <c r="S187" s="43">
        <v>0</v>
      </c>
      <c r="T187" s="43"/>
      <c r="U187" s="43">
        <v>1362</v>
      </c>
      <c r="V187" s="43"/>
      <c r="W187" s="43">
        <v>11142</v>
      </c>
      <c r="X187" s="43"/>
      <c r="Y187" s="43">
        <v>0</v>
      </c>
      <c r="Z187" s="43"/>
      <c r="AA187" s="43">
        <v>0</v>
      </c>
      <c r="AB187" s="43"/>
      <c r="AC187" s="43">
        <f t="shared" si="192"/>
        <v>2608602</v>
      </c>
      <c r="AD187" s="43"/>
      <c r="AE187" s="43">
        <f t="shared" si="193"/>
        <v>-76211</v>
      </c>
      <c r="AF187" s="43"/>
      <c r="AG187" s="43">
        <v>1412346</v>
      </c>
      <c r="AH187" s="43"/>
      <c r="AI187" s="43">
        <f t="shared" si="194"/>
        <v>1336135</v>
      </c>
    </row>
    <row r="188" spans="1:35" s="4" customFormat="1" ht="12" x14ac:dyDescent="0.2">
      <c r="A188" s="12" t="s">
        <v>264</v>
      </c>
      <c r="B188" s="12"/>
      <c r="C188" s="12" t="s">
        <v>45</v>
      </c>
      <c r="D188" s="15"/>
      <c r="E188" s="43">
        <v>614609</v>
      </c>
      <c r="F188" s="43"/>
      <c r="G188" s="43">
        <v>11419</v>
      </c>
      <c r="H188" s="43"/>
      <c r="I188" s="43">
        <v>2502</v>
      </c>
      <c r="J188" s="43"/>
      <c r="K188" s="43">
        <v>0</v>
      </c>
      <c r="L188" s="43"/>
      <c r="M188" s="43">
        <f t="shared" ref="M188" si="195">-E188+G188+I188+K188</f>
        <v>-600688</v>
      </c>
      <c r="N188" s="43"/>
      <c r="O188" s="43">
        <v>165879</v>
      </c>
      <c r="P188" s="43"/>
      <c r="Q188" s="43">
        <v>407262</v>
      </c>
      <c r="R188" s="43"/>
      <c r="S188" s="43">
        <v>0</v>
      </c>
      <c r="T188" s="43"/>
      <c r="U188" s="43">
        <v>195</v>
      </c>
      <c r="V188" s="43"/>
      <c r="W188" s="43">
        <f>22608-20</f>
        <v>22588</v>
      </c>
      <c r="X188" s="43"/>
      <c r="Y188" s="43">
        <v>0</v>
      </c>
      <c r="Z188" s="43"/>
      <c r="AA188" s="43">
        <v>0</v>
      </c>
      <c r="AB188" s="43"/>
      <c r="AC188" s="43">
        <f t="shared" ref="AC188" si="196">SUM(O188:AA188)</f>
        <v>595924</v>
      </c>
      <c r="AD188" s="43"/>
      <c r="AE188" s="43">
        <f t="shared" ref="AE188" si="197">AC188+M188</f>
        <v>-4764</v>
      </c>
      <c r="AF188" s="43"/>
      <c r="AG188" s="43">
        <v>136690</v>
      </c>
      <c r="AH188" s="43"/>
      <c r="AI188" s="43">
        <f t="shared" ref="AI188" si="198">AE188+AG188</f>
        <v>131926</v>
      </c>
    </row>
    <row r="189" spans="1:35" s="4" customFormat="1" ht="12" x14ac:dyDescent="0.2">
      <c r="A189" s="12" t="s">
        <v>265</v>
      </c>
      <c r="B189" s="12"/>
      <c r="C189" s="12" t="s">
        <v>90</v>
      </c>
      <c r="D189" s="15"/>
      <c r="E189" s="43">
        <v>5490030</v>
      </c>
      <c r="F189" s="43"/>
      <c r="G189" s="43">
        <f>169641</f>
        <v>169641</v>
      </c>
      <c r="H189" s="43"/>
      <c r="I189" s="43">
        <v>76288</v>
      </c>
      <c r="J189" s="43"/>
      <c r="K189" s="43">
        <v>0</v>
      </c>
      <c r="L189" s="43"/>
      <c r="M189" s="43">
        <f t="shared" ref="M189" si="199">-E189+G189+I189+K189</f>
        <v>-5244101</v>
      </c>
      <c r="N189" s="43"/>
      <c r="O189" s="43">
        <v>2671311</v>
      </c>
      <c r="P189" s="43"/>
      <c r="Q189" s="43">
        <f>394847+2389118</f>
        <v>2783965</v>
      </c>
      <c r="R189" s="43"/>
      <c r="S189" s="43">
        <v>0</v>
      </c>
      <c r="T189" s="43"/>
      <c r="U189" s="43">
        <v>13780</v>
      </c>
      <c r="V189" s="43"/>
      <c r="W189" s="43">
        <v>25659</v>
      </c>
      <c r="X189" s="43"/>
      <c r="Y189" s="43">
        <v>0</v>
      </c>
      <c r="Z189" s="43"/>
      <c r="AA189" s="43">
        <v>0</v>
      </c>
      <c r="AB189" s="43"/>
      <c r="AC189" s="43">
        <f t="shared" ref="AC189" si="200">SUM(O189:AA189)</f>
        <v>5494715</v>
      </c>
      <c r="AD189" s="43"/>
      <c r="AE189" s="43">
        <f t="shared" ref="AE189" si="201">AC189+M189</f>
        <v>250614</v>
      </c>
      <c r="AF189" s="43"/>
      <c r="AG189" s="43">
        <v>5069011</v>
      </c>
      <c r="AH189" s="43"/>
      <c r="AI189" s="43">
        <f t="shared" ref="AI189" si="202">AE189+AG189</f>
        <v>5319625</v>
      </c>
    </row>
    <row r="190" spans="1:35" s="4" customFormat="1" ht="12" hidden="1" x14ac:dyDescent="0.2">
      <c r="A190" s="12" t="s">
        <v>342</v>
      </c>
      <c r="B190" s="12"/>
      <c r="C190" s="12" t="s">
        <v>25</v>
      </c>
      <c r="D190" s="15"/>
      <c r="E190" s="43">
        <v>1856574</v>
      </c>
      <c r="F190" s="43"/>
      <c r="G190" s="43">
        <v>72944</v>
      </c>
      <c r="H190" s="43"/>
      <c r="I190" s="43">
        <v>5968</v>
      </c>
      <c r="J190" s="43"/>
      <c r="K190" s="43">
        <v>21900</v>
      </c>
      <c r="L190" s="43"/>
      <c r="M190" s="43">
        <f t="shared" si="191"/>
        <v>-1755762</v>
      </c>
      <c r="N190" s="43"/>
      <c r="O190" s="43">
        <v>1078137</v>
      </c>
      <c r="P190" s="43"/>
      <c r="Q190" s="43">
        <v>1886863</v>
      </c>
      <c r="R190" s="43"/>
      <c r="S190" s="43">
        <v>0</v>
      </c>
      <c r="T190" s="43"/>
      <c r="U190" s="43">
        <v>3067</v>
      </c>
      <c r="V190" s="43"/>
      <c r="W190" s="43">
        <v>4117</v>
      </c>
      <c r="X190" s="43"/>
      <c r="Y190" s="43">
        <v>0</v>
      </c>
      <c r="Z190" s="43"/>
      <c r="AA190" s="43">
        <v>0</v>
      </c>
      <c r="AB190" s="43"/>
      <c r="AC190" s="43">
        <f t="shared" si="192"/>
        <v>2972184</v>
      </c>
      <c r="AD190" s="43"/>
      <c r="AE190" s="43">
        <f t="shared" si="193"/>
        <v>1216422</v>
      </c>
      <c r="AF190" s="43"/>
      <c r="AG190" s="43">
        <v>2319259</v>
      </c>
      <c r="AH190" s="43"/>
      <c r="AI190" s="43">
        <f t="shared" si="194"/>
        <v>3535681</v>
      </c>
    </row>
    <row r="191" spans="1:35" s="4" customFormat="1" ht="12" x14ac:dyDescent="0.2">
      <c r="A191" s="12" t="s">
        <v>606</v>
      </c>
      <c r="B191" s="12"/>
      <c r="C191" s="12" t="s">
        <v>65</v>
      </c>
      <c r="D191" s="15"/>
      <c r="E191" s="43">
        <v>306548</v>
      </c>
      <c r="F191" s="43"/>
      <c r="G191" s="43">
        <v>28436</v>
      </c>
      <c r="H191" s="43"/>
      <c r="I191" s="43">
        <v>7080</v>
      </c>
      <c r="J191" s="43"/>
      <c r="K191" s="43">
        <v>0</v>
      </c>
      <c r="L191" s="43"/>
      <c r="M191" s="43">
        <f t="shared" si="191"/>
        <v>-271032</v>
      </c>
      <c r="N191" s="43"/>
      <c r="O191" s="43">
        <v>0</v>
      </c>
      <c r="P191" s="43"/>
      <c r="Q191" s="43">
        <v>274071</v>
      </c>
      <c r="R191" s="43"/>
      <c r="S191" s="43">
        <v>0</v>
      </c>
      <c r="T191" s="43"/>
      <c r="U191" s="43">
        <v>251</v>
      </c>
      <c r="V191" s="43"/>
      <c r="W191" s="43">
        <v>887</v>
      </c>
      <c r="X191" s="43"/>
      <c r="Y191" s="43">
        <v>-1040</v>
      </c>
      <c r="Z191" s="43"/>
      <c r="AA191" s="43">
        <v>0</v>
      </c>
      <c r="AB191" s="43"/>
      <c r="AC191" s="43">
        <f t="shared" si="192"/>
        <v>274169</v>
      </c>
      <c r="AD191" s="43"/>
      <c r="AE191" s="43">
        <f t="shared" si="193"/>
        <v>3137</v>
      </c>
      <c r="AF191" s="43"/>
      <c r="AG191" s="43">
        <v>42306</v>
      </c>
      <c r="AH191" s="43"/>
      <c r="AI191" s="43">
        <f t="shared" si="194"/>
        <v>45443</v>
      </c>
    </row>
    <row r="192" spans="1:35" s="4" customFormat="1" ht="12" x14ac:dyDescent="0.2">
      <c r="A192" s="12" t="s">
        <v>596</v>
      </c>
      <c r="B192" s="12"/>
      <c r="C192" s="12" t="s">
        <v>54</v>
      </c>
      <c r="D192" s="15"/>
      <c r="E192" s="43">
        <v>7178587</v>
      </c>
      <c r="F192" s="43"/>
      <c r="G192" s="43">
        <f>141788+400</f>
        <v>142188</v>
      </c>
      <c r="H192" s="43"/>
      <c r="I192" s="43">
        <v>400652</v>
      </c>
      <c r="J192" s="43"/>
      <c r="K192" s="43">
        <v>0</v>
      </c>
      <c r="L192" s="43"/>
      <c r="M192" s="43">
        <f t="shared" ref="M192" si="203">-E192+G192+I192+K192</f>
        <v>-6635747</v>
      </c>
      <c r="N192" s="43"/>
      <c r="O192" s="43">
        <v>2128118</v>
      </c>
      <c r="P192" s="43"/>
      <c r="Q192" s="43">
        <f>3242964+9000</f>
        <v>3251964</v>
      </c>
      <c r="R192" s="43"/>
      <c r="S192" s="43">
        <v>0</v>
      </c>
      <c r="T192" s="43"/>
      <c r="U192" s="43">
        <v>14136</v>
      </c>
      <c r="V192" s="43"/>
      <c r="W192" s="43">
        <v>75442</v>
      </c>
      <c r="X192" s="43"/>
      <c r="Y192" s="43">
        <v>0</v>
      </c>
      <c r="Z192" s="43"/>
      <c r="AA192" s="43">
        <v>0</v>
      </c>
      <c r="AB192" s="43"/>
      <c r="AC192" s="43">
        <f t="shared" ref="AC192" si="204">SUM(O192:AA192)</f>
        <v>5469660</v>
      </c>
      <c r="AD192" s="43"/>
      <c r="AE192" s="43">
        <f t="shared" ref="AE192" si="205">AC192+M192</f>
        <v>-1166087</v>
      </c>
      <c r="AF192" s="43"/>
      <c r="AG192" s="43">
        <v>3960188</v>
      </c>
      <c r="AH192" s="43"/>
      <c r="AI192" s="43">
        <f t="shared" ref="AI192" si="206">AE192+AG192</f>
        <v>2794101</v>
      </c>
    </row>
    <row r="193" spans="1:35" s="4" customFormat="1" ht="12" x14ac:dyDescent="0.2">
      <c r="A193" s="12" t="s">
        <v>342</v>
      </c>
      <c r="B193" s="12"/>
      <c r="C193" s="12" t="s">
        <v>25</v>
      </c>
      <c r="D193" s="15"/>
      <c r="E193" s="43">
        <v>2108432</v>
      </c>
      <c r="F193" s="43"/>
      <c r="G193" s="43">
        <v>70834</v>
      </c>
      <c r="H193" s="43"/>
      <c r="I193" s="43">
        <v>11072</v>
      </c>
      <c r="J193" s="43"/>
      <c r="K193" s="43">
        <v>0</v>
      </c>
      <c r="L193" s="43"/>
      <c r="M193" s="43">
        <f t="shared" ref="M193" si="207">-E193+G193+I193+K193</f>
        <v>-2026526</v>
      </c>
      <c r="N193" s="43"/>
      <c r="O193" s="43">
        <v>950324</v>
      </c>
      <c r="P193" s="43"/>
      <c r="Q193" s="43">
        <v>1906909</v>
      </c>
      <c r="R193" s="43"/>
      <c r="S193" s="43">
        <v>0</v>
      </c>
      <c r="T193" s="43"/>
      <c r="U193" s="43">
        <v>3912</v>
      </c>
      <c r="V193" s="43"/>
      <c r="W193" s="43">
        <f>13866+6</f>
        <v>13872</v>
      </c>
      <c r="X193" s="43"/>
      <c r="Y193" s="43">
        <v>0</v>
      </c>
      <c r="Z193" s="43"/>
      <c r="AA193" s="43">
        <v>0</v>
      </c>
      <c r="AB193" s="43"/>
      <c r="AC193" s="43">
        <f t="shared" ref="AC193" si="208">SUM(O193:AA193)</f>
        <v>2875017</v>
      </c>
      <c r="AD193" s="43"/>
      <c r="AE193" s="43">
        <f t="shared" ref="AE193" si="209">AC193+M193</f>
        <v>848491</v>
      </c>
      <c r="AF193" s="43"/>
      <c r="AG193" s="43">
        <v>3535681</v>
      </c>
      <c r="AH193" s="43"/>
      <c r="AI193" s="43">
        <f t="shared" ref="AI193" si="210">AE193+AG193</f>
        <v>4384172</v>
      </c>
    </row>
    <row r="194" spans="1:35" s="4" customFormat="1" ht="12" x14ac:dyDescent="0.2">
      <c r="A194" s="12" t="s">
        <v>267</v>
      </c>
      <c r="B194" s="12"/>
      <c r="C194" s="12" t="s">
        <v>53</v>
      </c>
      <c r="D194" s="15"/>
      <c r="E194" s="43">
        <v>6568382</v>
      </c>
      <c r="F194" s="43"/>
      <c r="G194" s="43">
        <v>297376</v>
      </c>
      <c r="H194" s="43"/>
      <c r="I194" s="43">
        <v>24761</v>
      </c>
      <c r="J194" s="43"/>
      <c r="K194" s="43">
        <v>0</v>
      </c>
      <c r="L194" s="43"/>
      <c r="M194" s="43">
        <f t="shared" ref="M194" si="211">-E194+G194+I194+K194</f>
        <v>-6246245</v>
      </c>
      <c r="N194" s="43"/>
      <c r="O194" s="43">
        <v>3327664</v>
      </c>
      <c r="P194" s="43"/>
      <c r="Q194" s="43">
        <f>2007293+505499</f>
        <v>2512792</v>
      </c>
      <c r="R194" s="43"/>
      <c r="S194" s="43">
        <v>0</v>
      </c>
      <c r="T194" s="43"/>
      <c r="U194" s="43">
        <v>74856</v>
      </c>
      <c r="V194" s="43"/>
      <c r="W194" s="43">
        <v>29897</v>
      </c>
      <c r="X194" s="43"/>
      <c r="Y194" s="43">
        <v>0</v>
      </c>
      <c r="Z194" s="43"/>
      <c r="AA194" s="43">
        <v>0</v>
      </c>
      <c r="AB194" s="43"/>
      <c r="AC194" s="43">
        <f t="shared" ref="AC194" si="212">SUM(O194:AA194)</f>
        <v>5945209</v>
      </c>
      <c r="AD194" s="43"/>
      <c r="AE194" s="43">
        <f t="shared" ref="AE194" si="213">AC194+M194</f>
        <v>-301036</v>
      </c>
      <c r="AF194" s="43"/>
      <c r="AG194" s="43">
        <v>11085214</v>
      </c>
      <c r="AH194" s="43"/>
      <c r="AI194" s="43">
        <f t="shared" ref="AI194" si="214">AE194+AG194</f>
        <v>10784178</v>
      </c>
    </row>
    <row r="195" spans="1:35" s="4" customFormat="1" ht="12" x14ac:dyDescent="0.2">
      <c r="A195" s="4" t="s">
        <v>268</v>
      </c>
      <c r="C195" s="4" t="s">
        <v>223</v>
      </c>
      <c r="E195" s="43">
        <v>5342569</v>
      </c>
      <c r="F195" s="43"/>
      <c r="G195" s="43">
        <v>166945</v>
      </c>
      <c r="H195" s="43"/>
      <c r="I195" s="43">
        <v>30608</v>
      </c>
      <c r="J195" s="43"/>
      <c r="K195" s="43">
        <v>0</v>
      </c>
      <c r="L195" s="43"/>
      <c r="M195" s="43">
        <f t="shared" si="191"/>
        <v>-5145016</v>
      </c>
      <c r="N195" s="43"/>
      <c r="O195" s="43">
        <v>2219938</v>
      </c>
      <c r="P195" s="43"/>
      <c r="Q195" s="43">
        <v>2994634</v>
      </c>
      <c r="R195" s="43"/>
      <c r="S195" s="43">
        <v>0</v>
      </c>
      <c r="T195" s="43"/>
      <c r="U195" s="43">
        <v>15619</v>
      </c>
      <c r="V195" s="43"/>
      <c r="W195" s="43">
        <v>46046</v>
      </c>
      <c r="X195" s="43"/>
      <c r="Y195" s="43">
        <v>0</v>
      </c>
      <c r="Z195" s="43"/>
      <c r="AA195" s="43">
        <v>0</v>
      </c>
      <c r="AB195" s="43"/>
      <c r="AC195" s="43">
        <f t="shared" si="192"/>
        <v>5276237</v>
      </c>
      <c r="AD195" s="43"/>
      <c r="AE195" s="43">
        <f t="shared" si="193"/>
        <v>131221</v>
      </c>
      <c r="AF195" s="43"/>
      <c r="AG195" s="43">
        <v>4219416</v>
      </c>
      <c r="AH195" s="43"/>
      <c r="AI195" s="43">
        <f t="shared" si="194"/>
        <v>4350637</v>
      </c>
    </row>
    <row r="196" spans="1:35" s="4" customFormat="1" ht="12" x14ac:dyDescent="0.2">
      <c r="A196" s="4" t="s">
        <v>269</v>
      </c>
      <c r="C196" s="4" t="s">
        <v>63</v>
      </c>
      <c r="E196" s="43">
        <v>222341.05</v>
      </c>
      <c r="F196" s="43"/>
      <c r="G196" s="43">
        <v>5640.68</v>
      </c>
      <c r="H196" s="43"/>
      <c r="I196" s="43">
        <v>3551.5</v>
      </c>
      <c r="J196" s="43"/>
      <c r="K196" s="43">
        <v>0</v>
      </c>
      <c r="L196" s="43"/>
      <c r="M196" s="43">
        <f t="shared" ref="M196" si="215">-E196+G196+I196+K196</f>
        <v>-213148.87</v>
      </c>
      <c r="N196" s="43"/>
      <c r="O196" s="43">
        <v>240885.41</v>
      </c>
      <c r="P196" s="43"/>
      <c r="Q196" s="43">
        <v>0</v>
      </c>
      <c r="R196" s="43"/>
      <c r="S196" s="43">
        <v>0</v>
      </c>
      <c r="T196" s="43"/>
      <c r="U196" s="43">
        <v>321.99</v>
      </c>
      <c r="V196" s="43"/>
      <c r="W196" s="43">
        <v>925</v>
      </c>
      <c r="X196" s="43"/>
      <c r="Y196" s="43">
        <v>0</v>
      </c>
      <c r="Z196" s="43"/>
      <c r="AA196" s="43">
        <v>0</v>
      </c>
      <c r="AB196" s="43"/>
      <c r="AC196" s="43">
        <f t="shared" ref="AC196" si="216">SUM(O196:AA196)</f>
        <v>242132.4</v>
      </c>
      <c r="AD196" s="43"/>
      <c r="AE196" s="43">
        <f t="shared" ref="AE196" si="217">AC196+M196</f>
        <v>28983.53</v>
      </c>
      <c r="AF196" s="43"/>
      <c r="AG196" s="43">
        <f>443246-28984</f>
        <v>414262</v>
      </c>
      <c r="AH196" s="43"/>
      <c r="AI196" s="43">
        <f t="shared" ref="AI196" si="218">AE196+AG196</f>
        <v>443245.53</v>
      </c>
    </row>
    <row r="197" spans="1:35" s="4" customFormat="1" ht="12" hidden="1" x14ac:dyDescent="0.2">
      <c r="A197" s="15" t="s">
        <v>572</v>
      </c>
      <c r="C197" s="15" t="s">
        <v>63</v>
      </c>
      <c r="E197" s="43"/>
      <c r="F197" s="43"/>
      <c r="G197" s="43"/>
      <c r="H197" s="43"/>
      <c r="I197" s="43"/>
      <c r="J197" s="43"/>
      <c r="K197" s="43"/>
      <c r="L197" s="43"/>
      <c r="M197" s="43">
        <f t="shared" si="191"/>
        <v>0</v>
      </c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>
        <v>0</v>
      </c>
      <c r="Z197" s="43"/>
      <c r="AA197" s="43">
        <v>0</v>
      </c>
      <c r="AB197" s="43"/>
      <c r="AC197" s="43">
        <f t="shared" si="192"/>
        <v>0</v>
      </c>
      <c r="AD197" s="43"/>
      <c r="AE197" s="43">
        <f t="shared" si="193"/>
        <v>0</v>
      </c>
      <c r="AF197" s="43"/>
      <c r="AG197" s="43"/>
      <c r="AH197" s="43"/>
      <c r="AI197" s="43">
        <f t="shared" si="194"/>
        <v>0</v>
      </c>
    </row>
    <row r="198" spans="1:35" s="4" customFormat="1" ht="12" hidden="1" x14ac:dyDescent="0.2">
      <c r="A198" s="4" t="s">
        <v>37</v>
      </c>
      <c r="C198" s="4" t="s">
        <v>13</v>
      </c>
      <c r="E198" s="43">
        <v>1372173.02</v>
      </c>
      <c r="F198" s="43"/>
      <c r="G198" s="43">
        <v>28549.66</v>
      </c>
      <c r="H198" s="43"/>
      <c r="I198" s="43">
        <v>0</v>
      </c>
      <c r="J198" s="43"/>
      <c r="K198" s="43">
        <v>0</v>
      </c>
      <c r="L198" s="43"/>
      <c r="M198" s="43">
        <v>-1343623.36</v>
      </c>
      <c r="N198" s="43"/>
      <c r="O198" s="43">
        <v>783133.43</v>
      </c>
      <c r="P198" s="43"/>
      <c r="Q198" s="43">
        <v>718840.31999999995</v>
      </c>
      <c r="R198" s="43"/>
      <c r="S198" s="43">
        <v>0</v>
      </c>
      <c r="T198" s="43"/>
      <c r="U198" s="43">
        <v>3780.42</v>
      </c>
      <c r="V198" s="43"/>
      <c r="W198" s="43">
        <v>24500.26</v>
      </c>
      <c r="X198" s="43"/>
      <c r="Y198" s="43">
        <v>0</v>
      </c>
      <c r="Z198" s="43"/>
      <c r="AA198" s="43">
        <v>0</v>
      </c>
      <c r="AB198" s="43"/>
      <c r="AC198" s="43">
        <f t="shared" si="192"/>
        <v>1530254.43</v>
      </c>
      <c r="AD198" s="43"/>
      <c r="AE198" s="43">
        <v>186631.07</v>
      </c>
      <c r="AF198" s="43"/>
      <c r="AG198" s="43">
        <v>2669869.2999999998</v>
      </c>
      <c r="AH198" s="43"/>
      <c r="AI198" s="43">
        <v>2856500.37</v>
      </c>
    </row>
    <row r="199" spans="1:35" s="4" customFormat="1" ht="12" x14ac:dyDescent="0.2">
      <c r="A199" s="12" t="s">
        <v>274</v>
      </c>
      <c r="B199" s="12"/>
      <c r="C199" s="12" t="s">
        <v>13</v>
      </c>
      <c r="D199" s="15"/>
      <c r="E199" s="43">
        <v>4614872</v>
      </c>
      <c r="F199" s="43"/>
      <c r="G199" s="43">
        <v>119348</v>
      </c>
      <c r="H199" s="43"/>
      <c r="I199" s="43">
        <v>32182</v>
      </c>
      <c r="J199" s="43"/>
      <c r="K199" s="43">
        <v>0</v>
      </c>
      <c r="L199" s="43"/>
      <c r="M199" s="43">
        <f t="shared" si="191"/>
        <v>-4463342</v>
      </c>
      <c r="N199" s="43"/>
      <c r="O199" s="43">
        <v>3205120</v>
      </c>
      <c r="P199" s="43"/>
      <c r="Q199" s="43">
        <f>1691593+437400</f>
        <v>2128993</v>
      </c>
      <c r="R199" s="43"/>
      <c r="S199" s="43">
        <v>0</v>
      </c>
      <c r="T199" s="43"/>
      <c r="U199" s="43">
        <v>12847</v>
      </c>
      <c r="V199" s="43"/>
      <c r="W199" s="43">
        <v>36393</v>
      </c>
      <c r="X199" s="43"/>
      <c r="Y199" s="43">
        <v>0</v>
      </c>
      <c r="Z199" s="43"/>
      <c r="AA199" s="43">
        <v>0</v>
      </c>
      <c r="AB199" s="43"/>
      <c r="AC199" s="43">
        <f t="shared" si="192"/>
        <v>5383353</v>
      </c>
      <c r="AD199" s="43"/>
      <c r="AE199" s="43">
        <f>AC199+M199</f>
        <v>920011</v>
      </c>
      <c r="AF199" s="43"/>
      <c r="AG199" s="43">
        <v>4412117</v>
      </c>
      <c r="AH199" s="43"/>
      <c r="AI199" s="43">
        <f t="shared" si="194"/>
        <v>5332128</v>
      </c>
    </row>
    <row r="200" spans="1:35" s="4" customFormat="1" ht="12" hidden="1" x14ac:dyDescent="0.2">
      <c r="A200" s="4" t="s">
        <v>392</v>
      </c>
      <c r="C200" s="4" t="s">
        <v>67</v>
      </c>
      <c r="E200" s="43"/>
      <c r="F200" s="43"/>
      <c r="G200" s="43"/>
      <c r="H200" s="43"/>
      <c r="I200" s="43"/>
      <c r="J200" s="43"/>
      <c r="K200" s="43"/>
      <c r="L200" s="43"/>
      <c r="M200" s="43">
        <f t="shared" si="191"/>
        <v>0</v>
      </c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>
        <v>0</v>
      </c>
      <c r="Z200" s="43"/>
      <c r="AA200" s="43">
        <v>0</v>
      </c>
      <c r="AB200" s="43"/>
      <c r="AC200" s="43">
        <f t="shared" si="192"/>
        <v>0</v>
      </c>
      <c r="AD200" s="43"/>
      <c r="AE200" s="43">
        <f>AC200+M200</f>
        <v>0</v>
      </c>
      <c r="AF200" s="43"/>
      <c r="AG200" s="43"/>
      <c r="AH200" s="43"/>
      <c r="AI200" s="43">
        <f t="shared" si="194"/>
        <v>0</v>
      </c>
    </row>
    <row r="201" spans="1:35" s="4" customFormat="1" ht="12" x14ac:dyDescent="0.2">
      <c r="A201" s="12" t="s">
        <v>600</v>
      </c>
      <c r="B201" s="12"/>
      <c r="C201" s="12" t="s">
        <v>63</v>
      </c>
      <c r="D201" s="15"/>
      <c r="E201" s="43">
        <v>2056609</v>
      </c>
      <c r="F201" s="43"/>
      <c r="G201" s="43">
        <f>48552+2000</f>
        <v>50552</v>
      </c>
      <c r="H201" s="43"/>
      <c r="I201" s="43">
        <v>122214</v>
      </c>
      <c r="J201" s="43"/>
      <c r="K201" s="43">
        <v>0</v>
      </c>
      <c r="L201" s="43"/>
      <c r="M201" s="43">
        <f t="shared" ref="M201" si="219">-E201+G201+I201+K201</f>
        <v>-1883843</v>
      </c>
      <c r="N201" s="43"/>
      <c r="O201" s="43">
        <v>867340</v>
      </c>
      <c r="P201" s="43"/>
      <c r="Q201" s="43">
        <f>1229830+106774</f>
        <v>1336604</v>
      </c>
      <c r="R201" s="43"/>
      <c r="S201" s="43">
        <v>0</v>
      </c>
      <c r="T201" s="43"/>
      <c r="U201" s="43">
        <v>5872</v>
      </c>
      <c r="V201" s="43"/>
      <c r="W201" s="43">
        <v>6829</v>
      </c>
      <c r="X201" s="43"/>
      <c r="Y201" s="43">
        <v>0</v>
      </c>
      <c r="Z201" s="43"/>
      <c r="AA201" s="43">
        <v>0</v>
      </c>
      <c r="AB201" s="43"/>
      <c r="AC201" s="43">
        <f t="shared" ref="AC201" si="220">SUM(O201:AA201)</f>
        <v>2216645</v>
      </c>
      <c r="AD201" s="43"/>
      <c r="AE201" s="43">
        <f>AC201+M201</f>
        <v>332802</v>
      </c>
      <c r="AF201" s="43"/>
      <c r="AG201" s="43">
        <v>1185778</v>
      </c>
      <c r="AH201" s="43"/>
      <c r="AI201" s="43">
        <f t="shared" ref="AI201" si="221">AE201+AG201</f>
        <v>1518580</v>
      </c>
    </row>
    <row r="202" spans="1:35" s="4" customFormat="1" ht="12" x14ac:dyDescent="0.2">
      <c r="A202" s="12" t="s">
        <v>616</v>
      </c>
      <c r="B202" s="12"/>
      <c r="C202" s="12" t="s">
        <v>90</v>
      </c>
      <c r="D202" s="15"/>
      <c r="E202" s="43">
        <v>8811506</v>
      </c>
      <c r="F202" s="43"/>
      <c r="G202" s="43">
        <f>262858+1019623</f>
        <v>1282481</v>
      </c>
      <c r="H202" s="43"/>
      <c r="I202" s="43">
        <v>74140</v>
      </c>
      <c r="J202" s="43"/>
      <c r="K202" s="43">
        <v>0</v>
      </c>
      <c r="L202" s="43"/>
      <c r="M202" s="43">
        <f>-E202+G202+I202+K202</f>
        <v>-7454885</v>
      </c>
      <c r="N202" s="43"/>
      <c r="O202" s="43">
        <v>6114780</v>
      </c>
      <c r="P202" s="43"/>
      <c r="Q202" s="43">
        <v>2782995</v>
      </c>
      <c r="R202" s="43"/>
      <c r="S202" s="43">
        <v>0</v>
      </c>
      <c r="T202" s="43"/>
      <c r="U202" s="43">
        <v>23717</v>
      </c>
      <c r="V202" s="43"/>
      <c r="W202" s="43">
        <v>7907</v>
      </c>
      <c r="X202" s="43"/>
      <c r="Y202" s="43">
        <v>0</v>
      </c>
      <c r="Z202" s="43"/>
      <c r="AA202" s="43">
        <v>0</v>
      </c>
      <c r="AB202" s="43"/>
      <c r="AC202" s="43">
        <f t="shared" si="192"/>
        <v>8929399</v>
      </c>
      <c r="AD202" s="43"/>
      <c r="AE202" s="43">
        <f>AC202+M202</f>
        <v>1474514</v>
      </c>
      <c r="AF202" s="43"/>
      <c r="AG202" s="43">
        <v>16623827</v>
      </c>
      <c r="AH202" s="43"/>
      <c r="AI202" s="43">
        <f>AE202+AG202</f>
        <v>18098341</v>
      </c>
    </row>
    <row r="203" spans="1:35" s="4" customFormat="1" ht="12" hidden="1" x14ac:dyDescent="0.2">
      <c r="A203" s="15" t="s">
        <v>278</v>
      </c>
      <c r="B203" s="15"/>
      <c r="C203" s="15" t="s">
        <v>53</v>
      </c>
      <c r="D203" s="15"/>
      <c r="E203" s="66">
        <v>1455116.4</v>
      </c>
      <c r="F203" s="66"/>
      <c r="G203" s="66">
        <v>33477.65</v>
      </c>
      <c r="H203" s="66"/>
      <c r="I203" s="66">
        <v>336.91</v>
      </c>
      <c r="J203" s="66"/>
      <c r="K203" s="66">
        <v>2750.09</v>
      </c>
      <c r="L203" s="66"/>
      <c r="M203" s="66">
        <v>-1418551.75</v>
      </c>
      <c r="N203" s="66"/>
      <c r="O203" s="66">
        <v>391465.99</v>
      </c>
      <c r="P203" s="66"/>
      <c r="Q203" s="66">
        <v>1202346.23</v>
      </c>
      <c r="R203" s="66"/>
      <c r="S203" s="66">
        <v>0</v>
      </c>
      <c r="T203" s="66"/>
      <c r="U203" s="66">
        <v>1809.83</v>
      </c>
      <c r="V203" s="66"/>
      <c r="W203" s="66">
        <v>13937.41</v>
      </c>
      <c r="X203" s="66"/>
      <c r="Y203" s="66">
        <v>0</v>
      </c>
      <c r="Z203" s="66"/>
      <c r="AA203" s="66">
        <v>0</v>
      </c>
      <c r="AB203" s="66"/>
      <c r="AC203" s="66">
        <f t="shared" ref="AC203" si="222">SUM(O203:AA203)</f>
        <v>1609559.46</v>
      </c>
      <c r="AD203" s="66"/>
      <c r="AE203" s="66">
        <v>191007.71</v>
      </c>
      <c r="AF203" s="66"/>
      <c r="AG203" s="66">
        <v>1398881.74</v>
      </c>
      <c r="AH203" s="66"/>
      <c r="AI203" s="66">
        <v>1589889.45</v>
      </c>
    </row>
    <row r="204" spans="1:35" ht="12" customHeight="1" x14ac:dyDescent="0.2">
      <c r="A204" s="3"/>
      <c r="B204" s="12"/>
      <c r="C204" s="3"/>
      <c r="D204" s="15"/>
      <c r="E204" s="17"/>
      <c r="F204" s="23"/>
      <c r="G204" s="17"/>
      <c r="H204" s="23"/>
      <c r="I204" s="17"/>
      <c r="J204" s="23"/>
      <c r="K204" s="17"/>
      <c r="L204" s="23"/>
      <c r="N204" s="23"/>
      <c r="O204" s="17"/>
      <c r="P204" s="17"/>
      <c r="Q204" s="23"/>
      <c r="R204" s="23"/>
      <c r="S204" s="17"/>
      <c r="T204" s="23"/>
      <c r="U204" s="17"/>
      <c r="V204" s="23"/>
      <c r="W204" s="17"/>
      <c r="X204" s="23"/>
      <c r="Y204" s="17"/>
      <c r="Z204" s="23"/>
      <c r="AA204" s="17"/>
      <c r="AB204" s="23"/>
      <c r="AC204" s="23"/>
      <c r="AD204" s="23"/>
      <c r="AE204" s="23"/>
      <c r="AF204" s="23"/>
      <c r="AG204" s="17"/>
      <c r="AH204" s="23"/>
      <c r="AI204" s="23"/>
    </row>
    <row r="205" spans="1:35" s="4" customFormat="1" ht="12" x14ac:dyDescent="0.2">
      <c r="A205" s="15" t="s">
        <v>618</v>
      </c>
      <c r="B205" s="12"/>
      <c r="C205" s="15"/>
      <c r="D205" s="15"/>
      <c r="E205" s="17"/>
      <c r="F205" s="23"/>
      <c r="G205" s="17"/>
      <c r="H205" s="23"/>
      <c r="I205" s="17"/>
      <c r="J205" s="23"/>
      <c r="K205" s="17"/>
      <c r="L205" s="23"/>
      <c r="M205" s="23"/>
      <c r="N205" s="23"/>
      <c r="O205" s="17"/>
      <c r="P205" s="17"/>
      <c r="Q205" s="23"/>
      <c r="R205" s="23"/>
      <c r="S205" s="17"/>
      <c r="T205" s="23"/>
      <c r="U205" s="17"/>
      <c r="V205" s="23"/>
      <c r="W205" s="17"/>
      <c r="X205" s="23"/>
      <c r="Y205" s="17"/>
      <c r="Z205" s="23"/>
      <c r="AA205" s="17"/>
      <c r="AB205" s="23"/>
      <c r="AC205" s="23"/>
      <c r="AD205" s="23"/>
      <c r="AE205" s="23"/>
      <c r="AF205" s="23"/>
      <c r="AG205" s="17"/>
      <c r="AH205" s="23"/>
      <c r="AI205" s="23"/>
    </row>
    <row r="206" spans="1:35" s="4" customFormat="1" ht="12" x14ac:dyDescent="0.2">
      <c r="A206" s="3"/>
      <c r="B206" s="12"/>
      <c r="C206" s="3"/>
      <c r="D206" s="15"/>
      <c r="E206" s="17"/>
      <c r="F206" s="23"/>
      <c r="G206" s="17"/>
      <c r="H206" s="23"/>
      <c r="I206" s="17"/>
      <c r="J206" s="23"/>
      <c r="K206" s="17"/>
      <c r="L206" s="23"/>
      <c r="M206" s="23"/>
      <c r="N206" s="23"/>
      <c r="O206" s="17"/>
      <c r="P206" s="17"/>
      <c r="Q206" s="23"/>
      <c r="R206" s="23"/>
      <c r="S206" s="17"/>
      <c r="T206" s="23"/>
      <c r="U206" s="17"/>
      <c r="V206" s="23"/>
      <c r="W206" s="17"/>
      <c r="X206" s="23"/>
      <c r="Y206" s="17"/>
      <c r="Z206" s="23"/>
      <c r="AA206" s="17"/>
      <c r="AB206" s="23"/>
      <c r="AC206" s="23"/>
      <c r="AD206" s="23"/>
      <c r="AE206" s="23"/>
      <c r="AF206" s="23"/>
      <c r="AG206" s="17"/>
      <c r="AH206" s="23"/>
      <c r="AI206" s="23"/>
    </row>
    <row r="207" spans="1:35" s="4" customFormat="1" ht="12" x14ac:dyDescent="0.2">
      <c r="M207" s="23">
        <f t="shared" ref="M207" si="223">+E207-G207-I207-K307:K307</f>
        <v>0</v>
      </c>
      <c r="AC207" s="23">
        <f t="shared" ref="AC207" si="224">SUM(O207:AA207)</f>
        <v>0</v>
      </c>
      <c r="AE207" s="23">
        <f>+M207-AC207</f>
        <v>0</v>
      </c>
      <c r="AI207" s="23">
        <f t="shared" ref="AI207" si="225">+AG207-AE207</f>
        <v>0</v>
      </c>
    </row>
    <row r="208" spans="1:35" s="61" customFormat="1" x14ac:dyDescent="0.2"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23"/>
      <c r="AD208" s="62"/>
      <c r="AE208" s="62"/>
      <c r="AF208" s="62"/>
      <c r="AG208" s="62"/>
      <c r="AH208" s="62"/>
      <c r="AI208" s="62"/>
    </row>
  </sheetData>
  <sortState ref="A14:AI170">
    <sortCondition ref="A14:A103"/>
  </sortState>
  <mergeCells count="6">
    <mergeCell ref="A124:E124"/>
    <mergeCell ref="G130:K130"/>
    <mergeCell ref="O130:W130"/>
    <mergeCell ref="A1:E1"/>
    <mergeCell ref="G7:K7"/>
    <mergeCell ref="O7:W7"/>
  </mergeCells>
  <phoneticPr fontId="1" type="noConversion"/>
  <printOptions horizontalCentered="1"/>
  <pageMargins left="0.49" right="0.48" top="0.5" bottom="0.5" header="0" footer="0.3"/>
  <pageSetup scale="74" firstPageNumber="4" fitToWidth="2" fitToHeight="2" pageOrder="overThenDown" orientation="portrait" useFirstPageNumber="1" r:id="rId1"/>
  <headerFooter scaleWithDoc="0" alignWithMargins="0">
    <oddFooter>&amp;C&amp;"Times New Roman,Regular"&amp;11&amp;P</oddFooter>
  </headerFooter>
  <rowBreaks count="1" manualBreakCount="1">
    <brk id="122" max="34" man="1"/>
  </rowBreaks>
  <colBreaks count="1" manualBreakCount="1">
    <brk id="15" max="2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M305"/>
  <sheetViews>
    <sheetView view="pageBreakPreview" topLeftCell="B154" zoomScale="80" zoomScaleNormal="80" zoomScaleSheetLayoutView="80" workbookViewId="0">
      <selection activeCell="Z231" sqref="Z231"/>
    </sheetView>
  </sheetViews>
  <sheetFormatPr defaultColWidth="9.140625" defaultRowHeight="12" x14ac:dyDescent="0.2"/>
  <cols>
    <col min="1" max="1" width="11.85546875" style="3" hidden="1" customWidth="1"/>
    <col min="2" max="2" width="35.28515625" style="3" customWidth="1"/>
    <col min="3" max="3" width="1.28515625" style="3" customWidth="1"/>
    <col min="4" max="4" width="10.28515625" style="3" customWidth="1"/>
    <col min="5" max="5" width="1.28515625" style="3" customWidth="1"/>
    <col min="6" max="6" width="12.7109375" style="3" customWidth="1"/>
    <col min="7" max="7" width="1.28515625" style="3" customWidth="1"/>
    <col min="8" max="8" width="12.7109375" style="3" customWidth="1"/>
    <col min="9" max="9" width="1.28515625" style="3" customWidth="1"/>
    <col min="10" max="10" width="11.42578125" style="3" customWidth="1"/>
    <col min="11" max="11" width="1.28515625" style="3" customWidth="1"/>
    <col min="12" max="12" width="11.7109375" style="3" customWidth="1"/>
    <col min="13" max="13" width="1.28515625" style="3" customWidth="1"/>
    <col min="14" max="14" width="10.140625" style="3" customWidth="1"/>
    <col min="15" max="15" width="1.28515625" style="3" hidden="1" customWidth="1"/>
    <col min="16" max="16" width="10" style="3" customWidth="1"/>
    <col min="17" max="17" width="1.28515625" style="3" customWidth="1"/>
    <col min="18" max="18" width="11.140625" style="3" customWidth="1"/>
    <col min="19" max="19" width="1.28515625" style="3" customWidth="1"/>
    <col min="20" max="20" width="10.5703125" style="3" customWidth="1"/>
    <col min="21" max="21" width="1.28515625" style="3" customWidth="1"/>
    <col min="22" max="22" width="11.140625" style="3" customWidth="1"/>
    <col min="23" max="23" width="1.28515625" style="3" customWidth="1"/>
    <col min="24" max="24" width="9.85546875" style="3" customWidth="1"/>
    <col min="25" max="25" width="1.28515625" style="3" customWidth="1"/>
    <col min="26" max="26" width="10.7109375" style="3" bestFit="1" customWidth="1"/>
    <col min="27" max="27" width="1.28515625" style="3" customWidth="1"/>
    <col min="28" max="28" width="10" style="3" customWidth="1"/>
    <col min="29" max="29" width="1.28515625" style="3" customWidth="1"/>
    <col min="30" max="30" width="10.7109375" style="3" bestFit="1" customWidth="1"/>
    <col min="31" max="31" width="1.28515625" style="3" customWidth="1"/>
    <col min="32" max="32" width="9.85546875" style="3" hidden="1" customWidth="1"/>
    <col min="33" max="33" width="1.28515625" style="3" hidden="1" customWidth="1"/>
    <col min="34" max="34" width="12.140625" style="3" bestFit="1" customWidth="1"/>
    <col min="35" max="16384" width="9.140625" style="3"/>
  </cols>
  <sheetData>
    <row r="1" spans="1:65" x14ac:dyDescent="0.2">
      <c r="B1" s="3" t="s">
        <v>513</v>
      </c>
    </row>
    <row r="2" spans="1:65" x14ac:dyDescent="0.2">
      <c r="B2" s="3" t="s">
        <v>632</v>
      </c>
    </row>
    <row r="3" spans="1:65" hidden="1" x14ac:dyDescent="0.2">
      <c r="B3" s="41" t="s">
        <v>5</v>
      </c>
      <c r="F3" s="3">
        <v>0</v>
      </c>
      <c r="H3" s="3">
        <v>0</v>
      </c>
      <c r="J3" s="3">
        <v>0</v>
      </c>
      <c r="L3" s="3">
        <v>0</v>
      </c>
      <c r="N3" s="3">
        <v>0</v>
      </c>
      <c r="P3" s="3">
        <v>0</v>
      </c>
      <c r="R3" s="3">
        <v>0</v>
      </c>
      <c r="T3" s="3">
        <v>0</v>
      </c>
      <c r="V3" s="3">
        <v>0</v>
      </c>
      <c r="X3" s="3">
        <v>0</v>
      </c>
      <c r="Z3" s="3">
        <v>0</v>
      </c>
      <c r="AB3" s="3">
        <v>0</v>
      </c>
      <c r="AD3" s="3">
        <v>0</v>
      </c>
      <c r="AF3" s="3">
        <v>0</v>
      </c>
    </row>
    <row r="4" spans="1:65" s="36" customFormat="1" x14ac:dyDescent="0.2">
      <c r="H4" s="36" t="s">
        <v>280</v>
      </c>
    </row>
    <row r="5" spans="1:65" s="36" customFormat="1" x14ac:dyDescent="0.2">
      <c r="F5" s="36" t="s">
        <v>29</v>
      </c>
      <c r="H5" s="36" t="s">
        <v>281</v>
      </c>
      <c r="P5" s="36" t="s">
        <v>27</v>
      </c>
      <c r="R5" s="36" t="s">
        <v>287</v>
      </c>
      <c r="X5" s="36" t="s">
        <v>292</v>
      </c>
      <c r="AD5" s="36" t="s">
        <v>0</v>
      </c>
    </row>
    <row r="6" spans="1:65" s="36" customFormat="1" ht="12" customHeight="1" x14ac:dyDescent="0.2">
      <c r="F6" s="36" t="s">
        <v>0</v>
      </c>
      <c r="H6" s="36" t="s">
        <v>282</v>
      </c>
      <c r="J6" s="36" t="s">
        <v>344</v>
      </c>
      <c r="L6" s="36" t="s">
        <v>284</v>
      </c>
      <c r="P6" s="36" t="s">
        <v>286</v>
      </c>
      <c r="R6" s="36" t="s">
        <v>288</v>
      </c>
      <c r="T6" s="36" t="s">
        <v>290</v>
      </c>
      <c r="X6" s="36" t="s">
        <v>293</v>
      </c>
      <c r="AD6" s="36" t="s">
        <v>294</v>
      </c>
      <c r="AF6" s="36" t="s">
        <v>549</v>
      </c>
    </row>
    <row r="7" spans="1:65" s="36" customFormat="1" ht="12" customHeight="1" x14ac:dyDescent="0.2">
      <c r="A7" s="36" t="s">
        <v>563</v>
      </c>
      <c r="B7" s="37" t="s">
        <v>3</v>
      </c>
      <c r="D7" s="37" t="s">
        <v>4</v>
      </c>
      <c r="F7" s="37" t="s">
        <v>279</v>
      </c>
      <c r="H7" s="37" t="s">
        <v>283</v>
      </c>
      <c r="I7" s="44"/>
      <c r="J7" s="37" t="s">
        <v>345</v>
      </c>
      <c r="L7" s="37" t="s">
        <v>285</v>
      </c>
      <c r="N7" s="37" t="s">
        <v>546</v>
      </c>
      <c r="P7" s="37" t="s">
        <v>548</v>
      </c>
      <c r="R7" s="37" t="s">
        <v>289</v>
      </c>
      <c r="T7" s="37" t="s">
        <v>291</v>
      </c>
      <c r="V7" s="37" t="s">
        <v>1</v>
      </c>
      <c r="X7" s="37" t="s">
        <v>30</v>
      </c>
      <c r="Z7" s="37" t="s">
        <v>500</v>
      </c>
      <c r="AB7" s="37" t="s">
        <v>501</v>
      </c>
      <c r="AD7" s="37" t="s">
        <v>295</v>
      </c>
      <c r="AF7" s="37" t="s">
        <v>416</v>
      </c>
      <c r="AH7" s="45" t="s">
        <v>26</v>
      </c>
    </row>
    <row r="8" spans="1:65" s="4" customFormat="1" hidden="1" x14ac:dyDescent="0.2">
      <c r="A8" s="4">
        <v>2</v>
      </c>
      <c r="B8" s="4" t="s">
        <v>426</v>
      </c>
      <c r="D8" s="4" t="s">
        <v>95</v>
      </c>
      <c r="F8" s="35"/>
      <c r="H8" s="35"/>
      <c r="I8" s="35"/>
      <c r="J8" s="35"/>
      <c r="L8" s="35"/>
      <c r="N8" s="35"/>
      <c r="P8" s="35"/>
      <c r="R8" s="35"/>
      <c r="T8" s="35"/>
      <c r="V8" s="35"/>
      <c r="X8" s="35"/>
      <c r="Z8" s="35"/>
      <c r="AB8" s="35"/>
      <c r="AD8" s="35"/>
      <c r="AF8" s="35"/>
      <c r="AH8" s="4">
        <f t="shared" ref="AH8:AH18" si="0">SUM(F8:AD8)</f>
        <v>0</v>
      </c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</row>
    <row r="9" spans="1:65" s="4" customFormat="1" hidden="1" x14ac:dyDescent="0.2">
      <c r="A9" s="4">
        <v>75</v>
      </c>
      <c r="B9" s="4" t="s">
        <v>427</v>
      </c>
      <c r="D9" s="4" t="s">
        <v>90</v>
      </c>
      <c r="AH9" s="4">
        <f t="shared" si="0"/>
        <v>0</v>
      </c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</row>
    <row r="10" spans="1:65" s="4" customFormat="1" hidden="1" x14ac:dyDescent="0.2">
      <c r="A10" s="4">
        <v>80</v>
      </c>
      <c r="B10" s="4" t="s">
        <v>265</v>
      </c>
      <c r="D10" s="4" t="s">
        <v>90</v>
      </c>
      <c r="AH10" s="4">
        <f t="shared" si="0"/>
        <v>0</v>
      </c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</row>
    <row r="11" spans="1:65" s="7" customFormat="1" hidden="1" x14ac:dyDescent="0.2">
      <c r="A11" s="4">
        <v>117</v>
      </c>
      <c r="B11" s="4" t="s">
        <v>309</v>
      </c>
      <c r="C11" s="4"/>
      <c r="D11" s="4" t="s">
        <v>168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>
        <f t="shared" si="0"/>
        <v>0</v>
      </c>
    </row>
    <row r="12" spans="1:65" s="4" customFormat="1" hidden="1" x14ac:dyDescent="0.2">
      <c r="A12" s="4">
        <v>135</v>
      </c>
      <c r="B12" s="4" t="s">
        <v>433</v>
      </c>
      <c r="D12" s="4" t="s">
        <v>39</v>
      </c>
      <c r="AH12" s="4">
        <f t="shared" si="0"/>
        <v>0</v>
      </c>
    </row>
    <row r="13" spans="1:65" s="4" customFormat="1" hidden="1" x14ac:dyDescent="0.2">
      <c r="A13" s="4">
        <v>152</v>
      </c>
      <c r="B13" s="4" t="s">
        <v>212</v>
      </c>
      <c r="D13" s="4" t="s">
        <v>213</v>
      </c>
      <c r="AH13" s="4">
        <f t="shared" si="0"/>
        <v>0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</row>
    <row r="14" spans="1:65" s="28" customFormat="1" hidden="1" x14ac:dyDescent="0.2">
      <c r="A14" s="4">
        <v>180</v>
      </c>
      <c r="B14" s="4" t="s">
        <v>251</v>
      </c>
      <c r="C14" s="4"/>
      <c r="D14" s="4" t="s">
        <v>104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f t="shared" si="0"/>
        <v>0</v>
      </c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</row>
    <row r="15" spans="1:65" s="4" customFormat="1" hidden="1" x14ac:dyDescent="0.2">
      <c r="A15" s="4">
        <v>185</v>
      </c>
      <c r="B15" s="4" t="s">
        <v>228</v>
      </c>
      <c r="D15" s="4" t="s">
        <v>227</v>
      </c>
      <c r="AH15" s="4">
        <f t="shared" si="0"/>
        <v>0</v>
      </c>
    </row>
    <row r="16" spans="1:65" s="28" customFormat="1" hidden="1" x14ac:dyDescent="0.2">
      <c r="A16" s="4">
        <v>189</v>
      </c>
      <c r="B16" s="4" t="s">
        <v>441</v>
      </c>
      <c r="C16" s="4"/>
      <c r="D16" s="4" t="s">
        <v>234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f t="shared" si="0"/>
        <v>0</v>
      </c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</row>
    <row r="17" spans="1:65" s="4" customFormat="1" hidden="1" x14ac:dyDescent="0.2">
      <c r="A17" s="4">
        <v>233</v>
      </c>
      <c r="B17" s="4" t="s">
        <v>33</v>
      </c>
      <c r="D17" s="4" t="s">
        <v>24</v>
      </c>
      <c r="AH17" s="4">
        <f t="shared" si="0"/>
        <v>0</v>
      </c>
    </row>
    <row r="18" spans="1:65" s="4" customFormat="1" hidden="1" x14ac:dyDescent="0.2">
      <c r="A18" s="4">
        <v>234</v>
      </c>
      <c r="B18" s="4" t="s">
        <v>199</v>
      </c>
      <c r="D18" s="4" t="s">
        <v>24</v>
      </c>
      <c r="AH18" s="4">
        <f t="shared" si="0"/>
        <v>0</v>
      </c>
    </row>
    <row r="19" spans="1:65" s="4" customFormat="1" hidden="1" x14ac:dyDescent="0.2">
      <c r="A19" s="4">
        <v>251</v>
      </c>
      <c r="B19" s="38" t="s">
        <v>71</v>
      </c>
      <c r="C19" s="38"/>
      <c r="D19" s="38" t="s">
        <v>562</v>
      </c>
      <c r="E19" s="38"/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/>
      <c r="AH19" s="68">
        <f>SUM(F19:AF19)</f>
        <v>0</v>
      </c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1:65" s="4" customFormat="1" hidden="1" x14ac:dyDescent="0.2">
      <c r="A20" s="4">
        <v>195</v>
      </c>
      <c r="B20" s="35" t="s">
        <v>72</v>
      </c>
      <c r="C20" s="35"/>
      <c r="D20" s="35" t="s">
        <v>38</v>
      </c>
      <c r="E20" s="35"/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"/>
      <c r="AH20" s="6">
        <f>SUM(F20:AF20)</f>
        <v>0</v>
      </c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</row>
    <row r="21" spans="1:65" s="4" customFormat="1" x14ac:dyDescent="0.2">
      <c r="B21" s="35"/>
      <c r="C21" s="35"/>
      <c r="D21" s="35"/>
      <c r="E21" s="35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"/>
      <c r="AH21" s="6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</row>
    <row r="22" spans="1:65" s="4" customFormat="1" x14ac:dyDescent="0.2">
      <c r="A22" s="4">
        <v>118</v>
      </c>
      <c r="B22" s="4" t="s">
        <v>425</v>
      </c>
      <c r="D22" s="4" t="s">
        <v>20</v>
      </c>
      <c r="F22" s="90">
        <v>9232374</v>
      </c>
      <c r="G22" s="90">
        <v>0</v>
      </c>
      <c r="H22" s="90">
        <v>10861536</v>
      </c>
      <c r="I22" s="90">
        <v>0</v>
      </c>
      <c r="J22" s="90">
        <v>1752279</v>
      </c>
      <c r="K22" s="90">
        <v>0</v>
      </c>
      <c r="L22" s="90">
        <v>562114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16366</v>
      </c>
      <c r="S22" s="90">
        <v>0</v>
      </c>
      <c r="T22" s="90">
        <v>16242</v>
      </c>
      <c r="U22" s="90">
        <v>0</v>
      </c>
      <c r="V22" s="90">
        <v>295690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  <c r="AG22" s="90"/>
      <c r="AH22" s="90">
        <f t="shared" ref="AH22:AH84" si="1">SUM(F22:AF22)</f>
        <v>22736601</v>
      </c>
    </row>
    <row r="23" spans="1:65" s="4" customFormat="1" hidden="1" x14ac:dyDescent="0.2">
      <c r="A23" s="4">
        <v>98</v>
      </c>
      <c r="B23" s="4" t="s">
        <v>69</v>
      </c>
      <c r="D23" s="35" t="s">
        <v>39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15"/>
      <c r="AH23" s="15">
        <f>SUM(F23:AF23)</f>
        <v>0</v>
      </c>
    </row>
    <row r="24" spans="1:65" s="4" customFormat="1" hidden="1" x14ac:dyDescent="0.2">
      <c r="A24" s="4">
        <v>138</v>
      </c>
      <c r="B24" s="35" t="s">
        <v>73</v>
      </c>
      <c r="C24" s="35"/>
      <c r="D24" s="35" t="s">
        <v>59</v>
      </c>
      <c r="E24" s="35"/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15"/>
      <c r="AH24" s="15">
        <f>SUM(F24:AF24)</f>
        <v>0</v>
      </c>
    </row>
    <row r="25" spans="1:65" hidden="1" x14ac:dyDescent="0.2">
      <c r="A25" s="4">
        <v>137</v>
      </c>
      <c r="B25" s="35" t="s">
        <v>442</v>
      </c>
      <c r="C25" s="35"/>
      <c r="D25" s="35" t="s">
        <v>55</v>
      </c>
      <c r="E25" s="35"/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81"/>
      <c r="AH25" s="81">
        <f>SUM(F25:AF25)</f>
        <v>0</v>
      </c>
    </row>
    <row r="26" spans="1:65" s="4" customFormat="1" hidden="1" x14ac:dyDescent="0.2">
      <c r="A26" s="4">
        <v>96</v>
      </c>
      <c r="B26" s="4" t="s">
        <v>75</v>
      </c>
      <c r="D26" s="4" t="s">
        <v>76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H26" s="4">
        <f t="shared" si="1"/>
        <v>0</v>
      </c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</row>
    <row r="27" spans="1:65" s="4" customFormat="1" hidden="1" x14ac:dyDescent="0.2">
      <c r="A27" s="4">
        <v>97</v>
      </c>
      <c r="B27" s="4" t="s">
        <v>77</v>
      </c>
      <c r="D27" s="4" t="s">
        <v>41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1">
        <v>0</v>
      </c>
      <c r="Y27" s="91">
        <v>0</v>
      </c>
      <c r="Z27" s="91">
        <v>0</v>
      </c>
      <c r="AA27" s="91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81"/>
      <c r="AH27" s="81">
        <f>SUM(F27:AF27)</f>
        <v>0</v>
      </c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</row>
    <row r="28" spans="1:65" s="4" customFormat="1" hidden="1" x14ac:dyDescent="0.2">
      <c r="A28" s="4">
        <v>159</v>
      </c>
      <c r="B28" s="35" t="s">
        <v>78</v>
      </c>
      <c r="C28" s="35"/>
      <c r="D28" s="35" t="s">
        <v>79</v>
      </c>
      <c r="E28" s="35"/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15"/>
      <c r="AH28" s="15">
        <f>SUM(F28:AF28)</f>
        <v>0</v>
      </c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</row>
    <row r="29" spans="1:65" s="4" customFormat="1" hidden="1" x14ac:dyDescent="0.2">
      <c r="A29" s="4">
        <v>186</v>
      </c>
      <c r="B29" s="4" t="s">
        <v>296</v>
      </c>
      <c r="D29" s="35" t="s">
        <v>40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91">
        <v>0</v>
      </c>
      <c r="AG29" s="15"/>
      <c r="AH29" s="15">
        <f>SUM(F29:AF29)</f>
        <v>0</v>
      </c>
    </row>
    <row r="30" spans="1:65" s="4" customFormat="1" x14ac:dyDescent="0.2">
      <c r="A30" s="4">
        <v>111</v>
      </c>
      <c r="B30" s="4" t="s">
        <v>80</v>
      </c>
      <c r="D30" s="4" t="s">
        <v>81</v>
      </c>
      <c r="F30" s="43">
        <v>951608</v>
      </c>
      <c r="G30" s="43">
        <v>0</v>
      </c>
      <c r="H30" s="43">
        <v>436254</v>
      </c>
      <c r="I30" s="43">
        <v>0</v>
      </c>
      <c r="J30" s="43">
        <v>46878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1407</v>
      </c>
      <c r="Q30" s="43">
        <v>0</v>
      </c>
      <c r="R30" s="43">
        <v>4231</v>
      </c>
      <c r="S30" s="43">
        <v>0</v>
      </c>
      <c r="T30" s="43">
        <v>25094</v>
      </c>
      <c r="U30" s="43">
        <v>0</v>
      </c>
      <c r="V30" s="43">
        <v>8890</v>
      </c>
      <c r="W30" s="43">
        <v>0</v>
      </c>
      <c r="X30" s="43">
        <v>0</v>
      </c>
      <c r="Y30" s="43">
        <v>0</v>
      </c>
      <c r="Z30" s="43">
        <v>150000</v>
      </c>
      <c r="AA30" s="43">
        <v>0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/>
      <c r="AH30" s="43">
        <f t="shared" si="1"/>
        <v>1624362</v>
      </c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</row>
    <row r="31" spans="1:65" s="4" customFormat="1" hidden="1" x14ac:dyDescent="0.2">
      <c r="A31" s="4">
        <v>100</v>
      </c>
      <c r="B31" s="35" t="s">
        <v>331</v>
      </c>
      <c r="C31" s="35"/>
      <c r="D31" s="35" t="s">
        <v>41</v>
      </c>
      <c r="E31" s="35"/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/>
      <c r="AH31" s="43">
        <f>SUM(F31:AF31)</f>
        <v>0</v>
      </c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</row>
    <row r="32" spans="1:65" s="4" customFormat="1" hidden="1" x14ac:dyDescent="0.2">
      <c r="B32" s="35" t="s">
        <v>628</v>
      </c>
      <c r="C32" s="35"/>
      <c r="D32" s="35" t="s">
        <v>208</v>
      </c>
      <c r="E32" s="35"/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/>
      <c r="AH32" s="43">
        <f>SUM(F32:AF32)</f>
        <v>0</v>
      </c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1:65" s="4" customFormat="1" hidden="1" x14ac:dyDescent="0.2">
      <c r="A33" s="4">
        <v>194</v>
      </c>
      <c r="B33" s="35" t="s">
        <v>578</v>
      </c>
      <c r="C33" s="35"/>
      <c r="D33" s="35" t="s">
        <v>42</v>
      </c>
      <c r="E33" s="35"/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/>
      <c r="AH33" s="43">
        <f>SUM(F33:AF33)</f>
        <v>0</v>
      </c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</row>
    <row r="34" spans="1:65" s="4" customFormat="1" x14ac:dyDescent="0.2">
      <c r="A34" s="4">
        <v>85</v>
      </c>
      <c r="B34" s="4" t="s">
        <v>82</v>
      </c>
      <c r="D34" s="4" t="s">
        <v>55</v>
      </c>
      <c r="F34" s="43">
        <v>2026806</v>
      </c>
      <c r="G34" s="43">
        <v>0</v>
      </c>
      <c r="H34" s="43">
        <v>597258</v>
      </c>
      <c r="I34" s="43">
        <v>0</v>
      </c>
      <c r="J34" s="43">
        <v>332222</v>
      </c>
      <c r="K34" s="43">
        <v>0</v>
      </c>
      <c r="L34" s="43">
        <v>49514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685</v>
      </c>
      <c r="S34" s="43">
        <v>0</v>
      </c>
      <c r="T34" s="43">
        <v>367</v>
      </c>
      <c r="U34" s="43">
        <v>0</v>
      </c>
      <c r="V34" s="43">
        <v>35597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/>
      <c r="AH34" s="43">
        <f t="shared" si="1"/>
        <v>3042449</v>
      </c>
    </row>
    <row r="35" spans="1:65" s="4" customFormat="1" hidden="1" x14ac:dyDescent="0.2">
      <c r="A35" s="4">
        <v>65</v>
      </c>
      <c r="B35" s="35" t="s">
        <v>443</v>
      </c>
      <c r="C35" s="35"/>
      <c r="D35" s="35" t="s">
        <v>20</v>
      </c>
      <c r="E35" s="35"/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/>
      <c r="AH35" s="43">
        <f>SUM(F35:AF35)</f>
        <v>0</v>
      </c>
    </row>
    <row r="36" spans="1:65" s="4" customFormat="1" x14ac:dyDescent="0.2">
      <c r="A36" s="4">
        <v>204</v>
      </c>
      <c r="B36" s="4" t="s">
        <v>19</v>
      </c>
      <c r="D36" s="4" t="s">
        <v>11</v>
      </c>
      <c r="F36" s="43">
        <v>385159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19864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15330</v>
      </c>
      <c r="S36" s="43">
        <v>0</v>
      </c>
      <c r="T36" s="43">
        <v>657</v>
      </c>
      <c r="U36" s="43">
        <v>0</v>
      </c>
      <c r="V36" s="43">
        <v>5507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/>
      <c r="AH36" s="43">
        <f t="shared" si="1"/>
        <v>426517</v>
      </c>
    </row>
    <row r="37" spans="1:65" s="4" customFormat="1" hidden="1" x14ac:dyDescent="0.2">
      <c r="A37" s="4">
        <v>203</v>
      </c>
      <c r="B37" s="35" t="s">
        <v>83</v>
      </c>
      <c r="C37" s="35"/>
      <c r="D37" s="35" t="s">
        <v>11</v>
      </c>
      <c r="E37" s="35"/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/>
      <c r="AH37" s="43">
        <f>SUM(F37:AF37)</f>
        <v>0</v>
      </c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</row>
    <row r="38" spans="1:65" s="4" customFormat="1" x14ac:dyDescent="0.2">
      <c r="A38" s="4">
        <v>104</v>
      </c>
      <c r="B38" s="4" t="s">
        <v>84</v>
      </c>
      <c r="D38" s="4" t="s">
        <v>85</v>
      </c>
      <c r="F38" s="43">
        <v>0</v>
      </c>
      <c r="G38" s="43">
        <v>0</v>
      </c>
      <c r="H38" s="43">
        <v>63546</v>
      </c>
      <c r="I38" s="43">
        <v>0</v>
      </c>
      <c r="J38" s="43">
        <v>0</v>
      </c>
      <c r="K38" s="43">
        <v>0</v>
      </c>
      <c r="L38" s="43">
        <v>3374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3186</v>
      </c>
      <c r="S38" s="43">
        <v>0</v>
      </c>
      <c r="T38" s="43">
        <v>2588</v>
      </c>
      <c r="U38" s="43">
        <v>0</v>
      </c>
      <c r="V38" s="43">
        <f>8736+2200</f>
        <v>10936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/>
      <c r="AH38" s="43">
        <f t="shared" si="1"/>
        <v>83630</v>
      </c>
    </row>
    <row r="39" spans="1:65" s="4" customFormat="1" x14ac:dyDescent="0.2">
      <c r="A39" s="4">
        <v>206</v>
      </c>
      <c r="B39" s="4" t="s">
        <v>86</v>
      </c>
      <c r="D39" s="4" t="s">
        <v>87</v>
      </c>
      <c r="F39" s="43">
        <v>248902</v>
      </c>
      <c r="G39" s="43">
        <v>0</v>
      </c>
      <c r="H39" s="43">
        <v>523397</v>
      </c>
      <c r="I39" s="43">
        <v>0</v>
      </c>
      <c r="J39" s="43">
        <v>29043</v>
      </c>
      <c r="K39" s="43">
        <v>0</v>
      </c>
      <c r="L39" s="43">
        <v>21554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11675</v>
      </c>
      <c r="S39" s="43">
        <v>0</v>
      </c>
      <c r="T39" s="43">
        <v>1644</v>
      </c>
      <c r="U39" s="43">
        <v>0</v>
      </c>
      <c r="V39" s="43">
        <v>7218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/>
      <c r="AH39" s="43">
        <f t="shared" si="1"/>
        <v>843433</v>
      </c>
    </row>
    <row r="40" spans="1:65" s="4" customFormat="1" x14ac:dyDescent="0.2">
      <c r="A40" s="4">
        <v>15</v>
      </c>
      <c r="B40" s="4" t="s">
        <v>88</v>
      </c>
      <c r="D40" s="4" t="s">
        <v>43</v>
      </c>
      <c r="F40" s="43">
        <v>9093</v>
      </c>
      <c r="G40" s="43">
        <v>0</v>
      </c>
      <c r="H40" s="43">
        <v>109194</v>
      </c>
      <c r="I40" s="43">
        <v>0</v>
      </c>
      <c r="J40" s="43">
        <v>0</v>
      </c>
      <c r="K40" s="43">
        <v>0</v>
      </c>
      <c r="L40" s="43">
        <v>3192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536</v>
      </c>
      <c r="S40" s="43">
        <v>0</v>
      </c>
      <c r="T40" s="43">
        <v>2547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  <c r="AE40" s="43">
        <v>0</v>
      </c>
      <c r="AF40" s="43">
        <v>0</v>
      </c>
      <c r="AG40" s="43"/>
      <c r="AH40" s="43">
        <f t="shared" si="1"/>
        <v>124562</v>
      </c>
    </row>
    <row r="41" spans="1:65" s="4" customFormat="1" hidden="1" x14ac:dyDescent="0.2">
      <c r="A41" s="4">
        <v>161</v>
      </c>
      <c r="B41" s="4" t="s">
        <v>297</v>
      </c>
      <c r="D41" s="4" t="s">
        <v>90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/>
      <c r="AH41" s="43">
        <f>SUM(F41:AF41)</f>
        <v>0</v>
      </c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</row>
    <row r="42" spans="1:65" s="4" customFormat="1" x14ac:dyDescent="0.2">
      <c r="A42" s="4">
        <v>162</v>
      </c>
      <c r="B42" s="4" t="s">
        <v>91</v>
      </c>
      <c r="D42" s="4" t="s">
        <v>92</v>
      </c>
      <c r="F42" s="43">
        <v>904586</v>
      </c>
      <c r="G42" s="43">
        <v>0</v>
      </c>
      <c r="H42" s="43">
        <v>0</v>
      </c>
      <c r="I42" s="43">
        <v>0</v>
      </c>
      <c r="J42" s="43">
        <v>1314167</v>
      </c>
      <c r="K42" s="43">
        <v>0</v>
      </c>
      <c r="L42" s="43">
        <v>33690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15446</v>
      </c>
      <c r="S42" s="43">
        <v>0</v>
      </c>
      <c r="T42" s="43">
        <v>6629</v>
      </c>
      <c r="U42" s="43">
        <v>0</v>
      </c>
      <c r="V42" s="43">
        <v>13815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/>
      <c r="AH42" s="43">
        <f t="shared" si="1"/>
        <v>2288333</v>
      </c>
    </row>
    <row r="43" spans="1:65" s="4" customFormat="1" x14ac:dyDescent="0.2">
      <c r="A43" s="4">
        <v>11</v>
      </c>
      <c r="B43" s="4" t="s">
        <v>93</v>
      </c>
      <c r="D43" s="4" t="s">
        <v>67</v>
      </c>
      <c r="F43" s="43">
        <v>0</v>
      </c>
      <c r="G43" s="43">
        <v>0</v>
      </c>
      <c r="H43" s="43">
        <v>14051.75</v>
      </c>
      <c r="I43" s="43">
        <v>0</v>
      </c>
      <c r="J43" s="43">
        <v>379343.2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157.33000000000001</v>
      </c>
      <c r="U43" s="43">
        <v>0</v>
      </c>
      <c r="V43" s="43">
        <v>252.02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  <c r="AE43" s="43">
        <v>0</v>
      </c>
      <c r="AF43" s="43">
        <v>0</v>
      </c>
      <c r="AG43" s="43"/>
      <c r="AH43" s="43">
        <f t="shared" si="1"/>
        <v>393804.30000000005</v>
      </c>
    </row>
    <row r="44" spans="1:65" s="4" customFormat="1" hidden="1" x14ac:dyDescent="0.2">
      <c r="A44" s="4">
        <v>103</v>
      </c>
      <c r="B44" s="35" t="s">
        <v>94</v>
      </c>
      <c r="C44" s="35"/>
      <c r="D44" s="35" t="s">
        <v>43</v>
      </c>
      <c r="E44" s="35"/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/>
      <c r="AH44" s="43">
        <f>SUM(F44:AF44)</f>
        <v>0</v>
      </c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</row>
    <row r="45" spans="1:65" s="4" customFormat="1" hidden="1" x14ac:dyDescent="0.2">
      <c r="A45" s="4">
        <v>101</v>
      </c>
      <c r="B45" s="35" t="s">
        <v>298</v>
      </c>
      <c r="C45" s="35"/>
      <c r="D45" s="35" t="s">
        <v>95</v>
      </c>
      <c r="E45" s="35"/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/>
      <c r="AH45" s="43">
        <f>SUM(F45:AF45)</f>
        <v>0</v>
      </c>
    </row>
    <row r="46" spans="1:65" s="4" customFormat="1" hidden="1" x14ac:dyDescent="0.2">
      <c r="A46" s="4">
        <v>133</v>
      </c>
      <c r="B46" s="35" t="s">
        <v>96</v>
      </c>
      <c r="C46" s="35"/>
      <c r="D46" s="35" t="s">
        <v>44</v>
      </c>
      <c r="E46" s="35"/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0</v>
      </c>
      <c r="AF46" s="43">
        <v>0</v>
      </c>
      <c r="AG46" s="43"/>
      <c r="AH46" s="43">
        <f>SUM(F46:AF46)</f>
        <v>0</v>
      </c>
    </row>
    <row r="47" spans="1:65" s="4" customFormat="1" hidden="1" x14ac:dyDescent="0.2">
      <c r="A47" s="4">
        <v>259</v>
      </c>
      <c r="B47" s="35" t="s">
        <v>97</v>
      </c>
      <c r="C47" s="35"/>
      <c r="D47" s="35" t="s">
        <v>51</v>
      </c>
      <c r="E47" s="35"/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/>
      <c r="AH47" s="43">
        <f>SUM(F47:AF47)</f>
        <v>0</v>
      </c>
    </row>
    <row r="48" spans="1:65" s="4" customFormat="1" x14ac:dyDescent="0.2">
      <c r="A48" s="4">
        <v>150</v>
      </c>
      <c r="B48" s="4" t="s">
        <v>566</v>
      </c>
      <c r="D48" s="4" t="s">
        <v>567</v>
      </c>
      <c r="F48" s="43">
        <v>0</v>
      </c>
      <c r="G48" s="43">
        <v>0</v>
      </c>
      <c r="H48" s="43">
        <v>1762209</v>
      </c>
      <c r="I48" s="43">
        <v>0</v>
      </c>
      <c r="J48" s="43">
        <v>0</v>
      </c>
      <c r="K48" s="43">
        <v>0</v>
      </c>
      <c r="L48" s="43">
        <v>44151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125</v>
      </c>
      <c r="S48" s="43">
        <v>0</v>
      </c>
      <c r="T48" s="43">
        <v>500</v>
      </c>
      <c r="U48" s="43">
        <v>0</v>
      </c>
      <c r="V48" s="43">
        <v>45309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/>
      <c r="AH48" s="43">
        <f t="shared" si="1"/>
        <v>1852294</v>
      </c>
    </row>
    <row r="49" spans="1:65" s="4" customFormat="1" x14ac:dyDescent="0.2">
      <c r="A49" s="4">
        <v>36</v>
      </c>
      <c r="B49" s="4" t="s">
        <v>98</v>
      </c>
      <c r="D49" s="4" t="s">
        <v>54</v>
      </c>
      <c r="F49" s="43">
        <v>48907</v>
      </c>
      <c r="G49" s="43">
        <v>0</v>
      </c>
      <c r="H49" s="43">
        <v>0</v>
      </c>
      <c r="I49" s="43">
        <v>0</v>
      </c>
      <c r="J49" s="43">
        <v>306839</v>
      </c>
      <c r="K49" s="43">
        <v>0</v>
      </c>
      <c r="L49" s="43">
        <v>6952</v>
      </c>
      <c r="M49" s="43">
        <v>0</v>
      </c>
      <c r="N49" s="43">
        <v>16000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3759</v>
      </c>
      <c r="U49" s="43">
        <v>0</v>
      </c>
      <c r="V49" s="43">
        <v>1922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/>
      <c r="AH49" s="43">
        <f t="shared" si="1"/>
        <v>384379</v>
      </c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</row>
    <row r="50" spans="1:65" s="4" customFormat="1" hidden="1" x14ac:dyDescent="0.2">
      <c r="A50" s="4">
        <v>176</v>
      </c>
      <c r="B50" s="35" t="s">
        <v>466</v>
      </c>
      <c r="C50" s="35"/>
      <c r="D50" s="35" t="s">
        <v>45</v>
      </c>
      <c r="E50" s="35"/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/>
      <c r="AH50" s="43">
        <f>SUM(F50:AF50)</f>
        <v>0</v>
      </c>
    </row>
    <row r="51" spans="1:65" s="4" customFormat="1" x14ac:dyDescent="0.2">
      <c r="A51" s="4">
        <v>158</v>
      </c>
      <c r="B51" s="4" t="s">
        <v>99</v>
      </c>
      <c r="D51" s="4" t="s">
        <v>100</v>
      </c>
      <c r="F51" s="43">
        <v>92377</v>
      </c>
      <c r="G51" s="43">
        <v>0</v>
      </c>
      <c r="H51" s="43">
        <v>27813</v>
      </c>
      <c r="I51" s="43">
        <v>0</v>
      </c>
      <c r="J51" s="43">
        <v>0</v>
      </c>
      <c r="K51" s="43">
        <v>0</v>
      </c>
      <c r="L51" s="43">
        <v>5859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27729</v>
      </c>
      <c r="S51" s="43">
        <v>0</v>
      </c>
      <c r="T51" s="43">
        <v>383</v>
      </c>
      <c r="U51" s="43">
        <v>0</v>
      </c>
      <c r="V51" s="43">
        <v>0</v>
      </c>
      <c r="W51" s="43">
        <v>0</v>
      </c>
      <c r="X51" s="43">
        <v>0</v>
      </c>
      <c r="Y51" s="43">
        <v>0</v>
      </c>
      <c r="Z51" s="43">
        <v>0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/>
      <c r="AH51" s="43">
        <f t="shared" si="1"/>
        <v>154161</v>
      </c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</row>
    <row r="52" spans="1:65" s="4" customFormat="1" x14ac:dyDescent="0.2">
      <c r="A52" s="4">
        <v>106</v>
      </c>
      <c r="B52" s="4" t="s">
        <v>101</v>
      </c>
      <c r="D52" s="4" t="s">
        <v>50</v>
      </c>
      <c r="F52" s="43">
        <v>0</v>
      </c>
      <c r="G52" s="43">
        <v>0</v>
      </c>
      <c r="H52" s="43">
        <v>477702.91</v>
      </c>
      <c r="I52" s="43">
        <v>0</v>
      </c>
      <c r="J52" s="43">
        <v>0</v>
      </c>
      <c r="K52" s="43">
        <v>0</v>
      </c>
      <c r="L52" s="43">
        <v>11265.12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40923</v>
      </c>
      <c r="S52" s="43">
        <v>0</v>
      </c>
      <c r="T52" s="43">
        <v>2803.84</v>
      </c>
      <c r="U52" s="43">
        <v>0</v>
      </c>
      <c r="V52" s="43">
        <v>9003.14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43"/>
      <c r="AH52" s="43">
        <f t="shared" si="1"/>
        <v>541698.01</v>
      </c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</row>
    <row r="53" spans="1:65" s="4" customFormat="1" hidden="1" x14ac:dyDescent="0.2">
      <c r="A53" s="4">
        <v>112</v>
      </c>
      <c r="B53" s="35" t="s">
        <v>102</v>
      </c>
      <c r="C53" s="35"/>
      <c r="D53" s="35" t="s">
        <v>15</v>
      </c>
      <c r="E53" s="35"/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3">
        <v>0</v>
      </c>
      <c r="AF53" s="43">
        <v>0</v>
      </c>
      <c r="AG53" s="43"/>
      <c r="AH53" s="43">
        <f>SUM(F53:AF53)</f>
        <v>0</v>
      </c>
    </row>
    <row r="54" spans="1:65" s="4" customFormat="1" hidden="1" x14ac:dyDescent="0.2">
      <c r="A54" s="4">
        <v>116</v>
      </c>
      <c r="B54" s="35" t="s">
        <v>103</v>
      </c>
      <c r="C54" s="35"/>
      <c r="D54" s="35" t="s">
        <v>104</v>
      </c>
      <c r="E54" s="35"/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3">
        <v>0</v>
      </c>
      <c r="AC54" s="43">
        <v>0</v>
      </c>
      <c r="AD54" s="43">
        <v>0</v>
      </c>
      <c r="AE54" s="43">
        <v>0</v>
      </c>
      <c r="AF54" s="43">
        <v>0</v>
      </c>
      <c r="AG54" s="43"/>
      <c r="AH54" s="43">
        <f>SUM(F54:AF54)</f>
        <v>0</v>
      </c>
    </row>
    <row r="55" spans="1:65" s="4" customFormat="1" hidden="1" x14ac:dyDescent="0.2">
      <c r="A55" s="4">
        <v>177</v>
      </c>
      <c r="B55" s="35" t="s">
        <v>105</v>
      </c>
      <c r="C55" s="35"/>
      <c r="D55" s="35" t="s">
        <v>23</v>
      </c>
      <c r="E55" s="35"/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3">
        <v>0</v>
      </c>
      <c r="AD55" s="43">
        <v>0</v>
      </c>
      <c r="AE55" s="43">
        <v>0</v>
      </c>
      <c r="AF55" s="43">
        <v>0</v>
      </c>
      <c r="AG55" s="43"/>
      <c r="AH55" s="43">
        <f>SUM(F55:AF55)</f>
        <v>0</v>
      </c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</row>
    <row r="56" spans="1:65" s="4" customFormat="1" x14ac:dyDescent="0.2">
      <c r="A56" s="4">
        <v>174</v>
      </c>
      <c r="B56" s="4" t="s">
        <v>106</v>
      </c>
      <c r="D56" s="4" t="s">
        <v>66</v>
      </c>
      <c r="F56" s="43">
        <v>0</v>
      </c>
      <c r="G56" s="43">
        <v>0</v>
      </c>
      <c r="H56" s="43">
        <v>206482</v>
      </c>
      <c r="I56" s="43">
        <v>0</v>
      </c>
      <c r="J56" s="43">
        <v>1300</v>
      </c>
      <c r="K56" s="43">
        <v>0</v>
      </c>
      <c r="L56" s="43">
        <v>6213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1299</v>
      </c>
      <c r="S56" s="43">
        <v>0</v>
      </c>
      <c r="T56" s="43">
        <v>877</v>
      </c>
      <c r="U56" s="43">
        <v>0</v>
      </c>
      <c r="V56" s="43">
        <v>9283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  <c r="AB56" s="43">
        <v>0</v>
      </c>
      <c r="AC56" s="43">
        <v>0</v>
      </c>
      <c r="AD56" s="43">
        <v>0</v>
      </c>
      <c r="AE56" s="43">
        <v>0</v>
      </c>
      <c r="AF56" s="43">
        <v>0</v>
      </c>
      <c r="AG56" s="43"/>
      <c r="AH56" s="43">
        <f t="shared" si="1"/>
        <v>225454</v>
      </c>
    </row>
    <row r="57" spans="1:65" s="4" customFormat="1" x14ac:dyDescent="0.2">
      <c r="A57" s="4">
        <v>95</v>
      </c>
      <c r="B57" s="4" t="s">
        <v>107</v>
      </c>
      <c r="D57" s="4" t="s">
        <v>108</v>
      </c>
      <c r="F57" s="43">
        <v>0</v>
      </c>
      <c r="G57" s="43">
        <v>0</v>
      </c>
      <c r="H57" s="43">
        <f>788284+3060</f>
        <v>791344</v>
      </c>
      <c r="I57" s="43">
        <v>0</v>
      </c>
      <c r="J57" s="43">
        <v>0</v>
      </c>
      <c r="K57" s="43">
        <v>0</v>
      </c>
      <c r="L57" s="43">
        <v>19740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7673</v>
      </c>
      <c r="S57" s="43">
        <v>0</v>
      </c>
      <c r="T57" s="43">
        <v>5784</v>
      </c>
      <c r="U57" s="43">
        <v>0</v>
      </c>
      <c r="V57" s="43">
        <v>2731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3">
        <v>0</v>
      </c>
      <c r="AC57" s="43">
        <v>0</v>
      </c>
      <c r="AD57" s="43">
        <v>0</v>
      </c>
      <c r="AE57" s="43">
        <v>0</v>
      </c>
      <c r="AF57" s="43">
        <v>0</v>
      </c>
      <c r="AG57" s="43"/>
      <c r="AH57" s="43">
        <f t="shared" si="1"/>
        <v>827272</v>
      </c>
    </row>
    <row r="58" spans="1:65" s="4" customFormat="1" hidden="1" x14ac:dyDescent="0.2">
      <c r="A58" s="4">
        <v>121</v>
      </c>
      <c r="B58" s="35" t="s">
        <v>579</v>
      </c>
      <c r="C58" s="35"/>
      <c r="D58" s="35" t="s">
        <v>46</v>
      </c>
      <c r="E58" s="35"/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  <c r="AB58" s="43">
        <v>0</v>
      </c>
      <c r="AC58" s="43">
        <v>0</v>
      </c>
      <c r="AD58" s="43">
        <v>0</v>
      </c>
      <c r="AE58" s="43">
        <v>0</v>
      </c>
      <c r="AF58" s="43">
        <v>0</v>
      </c>
      <c r="AG58" s="43"/>
      <c r="AH58" s="43">
        <f>SUM(F58:AF58)</f>
        <v>0</v>
      </c>
    </row>
    <row r="59" spans="1:65" s="4" customFormat="1" x14ac:dyDescent="0.2">
      <c r="A59" s="4">
        <v>84</v>
      </c>
      <c r="B59" s="4" t="s">
        <v>109</v>
      </c>
      <c r="D59" s="4" t="s">
        <v>14</v>
      </c>
      <c r="F59" s="43">
        <v>0</v>
      </c>
      <c r="G59" s="43">
        <v>0</v>
      </c>
      <c r="H59" s="43">
        <v>217268</v>
      </c>
      <c r="I59" s="43">
        <v>0</v>
      </c>
      <c r="J59" s="43">
        <v>0</v>
      </c>
      <c r="K59" s="43">
        <v>0</v>
      </c>
      <c r="L59" s="43">
        <v>8210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505</v>
      </c>
      <c r="S59" s="43">
        <v>0</v>
      </c>
      <c r="T59" s="43">
        <v>898</v>
      </c>
      <c r="U59" s="43">
        <v>0</v>
      </c>
      <c r="V59" s="43">
        <v>59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/>
      <c r="AH59" s="43">
        <f t="shared" si="1"/>
        <v>226940</v>
      </c>
    </row>
    <row r="60" spans="1:65" s="4" customFormat="1" hidden="1" x14ac:dyDescent="0.2">
      <c r="A60" s="4">
        <v>248</v>
      </c>
      <c r="B60" s="4" t="s">
        <v>580</v>
      </c>
      <c r="D60" s="4" t="s">
        <v>60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3">
        <v>0</v>
      </c>
      <c r="AC60" s="43">
        <v>0</v>
      </c>
      <c r="AD60" s="43">
        <v>0</v>
      </c>
      <c r="AE60" s="43">
        <v>0</v>
      </c>
      <c r="AF60" s="43">
        <v>0</v>
      </c>
      <c r="AG60" s="43"/>
      <c r="AH60" s="43">
        <f>SUM(F60:AF60)</f>
        <v>0</v>
      </c>
    </row>
    <row r="61" spans="1:65" s="4" customFormat="1" hidden="1" x14ac:dyDescent="0.2">
      <c r="A61" s="4">
        <v>29</v>
      </c>
      <c r="B61" s="35" t="s">
        <v>557</v>
      </c>
      <c r="C61" s="35"/>
      <c r="D61" s="35" t="s">
        <v>47</v>
      </c>
      <c r="E61" s="35"/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0</v>
      </c>
      <c r="Z61" s="43">
        <v>0</v>
      </c>
      <c r="AA61" s="43">
        <v>0</v>
      </c>
      <c r="AB61" s="43">
        <v>0</v>
      </c>
      <c r="AC61" s="43">
        <v>0</v>
      </c>
      <c r="AD61" s="43">
        <v>0</v>
      </c>
      <c r="AE61" s="43">
        <v>0</v>
      </c>
      <c r="AF61" s="43">
        <v>0</v>
      </c>
      <c r="AG61" s="43"/>
      <c r="AH61" s="43">
        <f>SUM(F61:AF61)</f>
        <v>0</v>
      </c>
    </row>
    <row r="62" spans="1:65" s="4" customFormat="1" hidden="1" x14ac:dyDescent="0.2">
      <c r="A62" s="4">
        <v>29</v>
      </c>
      <c r="B62" s="35" t="s">
        <v>608</v>
      </c>
      <c r="C62" s="35"/>
      <c r="D62" s="35" t="s">
        <v>565</v>
      </c>
      <c r="E62" s="35"/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  <c r="AB62" s="43">
        <v>0</v>
      </c>
      <c r="AC62" s="43">
        <v>0</v>
      </c>
      <c r="AD62" s="43">
        <v>0</v>
      </c>
      <c r="AE62" s="43">
        <v>0</v>
      </c>
      <c r="AF62" s="43">
        <v>0</v>
      </c>
      <c r="AG62" s="43"/>
      <c r="AH62" s="43">
        <f t="shared" si="1"/>
        <v>0</v>
      </c>
    </row>
    <row r="63" spans="1:65" s="4" customFormat="1" x14ac:dyDescent="0.2">
      <c r="A63" s="4">
        <v>58</v>
      </c>
      <c r="B63" s="4" t="s">
        <v>111</v>
      </c>
      <c r="D63" s="4" t="s">
        <v>112</v>
      </c>
      <c r="F63" s="43">
        <v>2439654</v>
      </c>
      <c r="G63" s="43">
        <v>0</v>
      </c>
      <c r="H63" s="43">
        <v>0</v>
      </c>
      <c r="I63" s="43">
        <v>0</v>
      </c>
      <c r="J63" s="43">
        <v>4061982</v>
      </c>
      <c r="K63" s="43">
        <v>0</v>
      </c>
      <c r="L63" s="43">
        <v>95571</v>
      </c>
      <c r="M63" s="43">
        <v>0</v>
      </c>
      <c r="N63" s="43">
        <v>0</v>
      </c>
      <c r="O63" s="43">
        <v>0</v>
      </c>
      <c r="P63" s="43">
        <v>30</v>
      </c>
      <c r="Q63" s="43">
        <v>0</v>
      </c>
      <c r="R63" s="43">
        <v>37125</v>
      </c>
      <c r="S63" s="43">
        <v>0</v>
      </c>
      <c r="T63" s="43">
        <v>7177</v>
      </c>
      <c r="U63" s="43">
        <v>0</v>
      </c>
      <c r="V63" s="43">
        <v>46899</v>
      </c>
      <c r="W63" s="43">
        <v>0</v>
      </c>
      <c r="X63" s="43">
        <v>0</v>
      </c>
      <c r="Y63" s="43">
        <v>0</v>
      </c>
      <c r="Z63" s="43">
        <v>0</v>
      </c>
      <c r="AA63" s="43">
        <v>0</v>
      </c>
      <c r="AB63" s="43">
        <v>0</v>
      </c>
      <c r="AC63" s="43">
        <v>0</v>
      </c>
      <c r="AD63" s="43">
        <v>21283</v>
      </c>
      <c r="AE63" s="43">
        <v>0</v>
      </c>
      <c r="AF63" s="43">
        <v>0</v>
      </c>
      <c r="AG63" s="43"/>
      <c r="AH63" s="43">
        <f t="shared" si="1"/>
        <v>6709721</v>
      </c>
    </row>
    <row r="64" spans="1:65" s="4" customFormat="1" hidden="1" x14ac:dyDescent="0.2">
      <c r="A64" s="4">
        <v>60</v>
      </c>
      <c r="B64" s="4" t="s">
        <v>299</v>
      </c>
      <c r="D64" s="4" t="s">
        <v>24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0</v>
      </c>
      <c r="AA64" s="43">
        <v>0</v>
      </c>
      <c r="AB64" s="43">
        <v>0</v>
      </c>
      <c r="AC64" s="43">
        <v>0</v>
      </c>
      <c r="AD64" s="43">
        <v>0</v>
      </c>
      <c r="AE64" s="43">
        <v>0</v>
      </c>
      <c r="AF64" s="43">
        <v>0</v>
      </c>
      <c r="AG64" s="43"/>
      <c r="AH64" s="43">
        <f>SUM(F64:AF64)</f>
        <v>0</v>
      </c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</row>
    <row r="65" spans="1:65" s="4" customFormat="1" x14ac:dyDescent="0.2">
      <c r="A65" s="4">
        <v>164</v>
      </c>
      <c r="B65" s="4" t="s">
        <v>113</v>
      </c>
      <c r="D65" s="4" t="s">
        <v>114</v>
      </c>
      <c r="F65" s="43">
        <v>3279824</v>
      </c>
      <c r="G65" s="43">
        <v>0</v>
      </c>
      <c r="H65" s="43">
        <v>4612663</v>
      </c>
      <c r="I65" s="43">
        <v>0</v>
      </c>
      <c r="J65" s="43">
        <v>423967</v>
      </c>
      <c r="K65" s="43">
        <v>0</v>
      </c>
      <c r="L65" s="43">
        <v>233087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34398</v>
      </c>
      <c r="S65" s="43">
        <v>0</v>
      </c>
      <c r="T65" s="43">
        <v>12190</v>
      </c>
      <c r="U65" s="43">
        <v>0</v>
      </c>
      <c r="V65" s="43">
        <v>32616</v>
      </c>
      <c r="W65" s="43">
        <v>0</v>
      </c>
      <c r="X65" s="43">
        <v>0</v>
      </c>
      <c r="Y65" s="43">
        <v>0</v>
      </c>
      <c r="Z65" s="43">
        <v>200000</v>
      </c>
      <c r="AA65" s="43">
        <v>0</v>
      </c>
      <c r="AB65" s="43">
        <v>0</v>
      </c>
      <c r="AC65" s="43">
        <v>0</v>
      </c>
      <c r="AD65" s="43">
        <v>0</v>
      </c>
      <c r="AE65" s="43">
        <v>0</v>
      </c>
      <c r="AF65" s="43">
        <v>0</v>
      </c>
      <c r="AG65" s="43"/>
      <c r="AH65" s="43">
        <f t="shared" si="1"/>
        <v>8828745</v>
      </c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</row>
    <row r="66" spans="1:65" s="4" customFormat="1" x14ac:dyDescent="0.2">
      <c r="A66" s="4">
        <v>131</v>
      </c>
      <c r="B66" s="4" t="s">
        <v>419</v>
      </c>
      <c r="D66" s="4" t="s">
        <v>17</v>
      </c>
      <c r="F66" s="43">
        <v>5550237</v>
      </c>
      <c r="G66" s="43">
        <v>0</v>
      </c>
      <c r="H66" s="43">
        <v>0</v>
      </c>
      <c r="I66" s="43">
        <v>0</v>
      </c>
      <c r="J66" s="43">
        <v>3118901</v>
      </c>
      <c r="K66" s="43">
        <v>0</v>
      </c>
      <c r="L66" s="43">
        <v>98859</v>
      </c>
      <c r="M66" s="43">
        <v>0</v>
      </c>
      <c r="N66" s="43">
        <v>37493</v>
      </c>
      <c r="O66" s="43">
        <v>0</v>
      </c>
      <c r="P66" s="43">
        <v>0</v>
      </c>
      <c r="Q66" s="43">
        <v>0</v>
      </c>
      <c r="R66" s="43">
        <v>20293</v>
      </c>
      <c r="S66" s="43">
        <v>0</v>
      </c>
      <c r="T66" s="43">
        <v>4643</v>
      </c>
      <c r="U66" s="43">
        <v>0</v>
      </c>
      <c r="V66" s="43">
        <v>47928</v>
      </c>
      <c r="W66" s="43">
        <v>0</v>
      </c>
      <c r="X66" s="43">
        <v>0</v>
      </c>
      <c r="Y66" s="43">
        <v>0</v>
      </c>
      <c r="Z66" s="43">
        <v>0</v>
      </c>
      <c r="AA66" s="43">
        <v>0</v>
      </c>
      <c r="AB66" s="43">
        <v>0</v>
      </c>
      <c r="AC66" s="43">
        <v>0</v>
      </c>
      <c r="AD66" s="43">
        <v>0</v>
      </c>
      <c r="AE66" s="43">
        <v>0</v>
      </c>
      <c r="AF66" s="43">
        <v>0</v>
      </c>
      <c r="AG66" s="43"/>
      <c r="AH66" s="43">
        <f t="shared" si="1"/>
        <v>8878354</v>
      </c>
    </row>
    <row r="67" spans="1:65" s="4" customFormat="1" x14ac:dyDescent="0.2">
      <c r="A67" s="4">
        <v>254</v>
      </c>
      <c r="B67" s="4" t="s">
        <v>420</v>
      </c>
      <c r="D67" s="4" t="s">
        <v>17</v>
      </c>
      <c r="F67" s="43">
        <v>27604803</v>
      </c>
      <c r="G67" s="43">
        <v>0</v>
      </c>
      <c r="H67" s="43">
        <v>0</v>
      </c>
      <c r="I67" s="43">
        <v>0</v>
      </c>
      <c r="J67" s="43">
        <v>25817634</v>
      </c>
      <c r="K67" s="43">
        <v>0</v>
      </c>
      <c r="L67" s="43">
        <v>379732</v>
      </c>
      <c r="M67" s="43">
        <v>0</v>
      </c>
      <c r="N67" s="43">
        <v>0</v>
      </c>
      <c r="O67" s="43">
        <v>0</v>
      </c>
      <c r="P67" s="43">
        <v>3021846</v>
      </c>
      <c r="Q67" s="43">
        <v>0</v>
      </c>
      <c r="R67" s="43">
        <v>542601</v>
      </c>
      <c r="S67" s="43">
        <v>0</v>
      </c>
      <c r="T67" s="43">
        <v>249417</v>
      </c>
      <c r="U67" s="43">
        <v>0</v>
      </c>
      <c r="V67" s="43">
        <v>805396</v>
      </c>
      <c r="W67" s="43">
        <v>0</v>
      </c>
      <c r="X67" s="43">
        <v>6420</v>
      </c>
      <c r="Y67" s="43">
        <v>0</v>
      </c>
      <c r="Z67" s="43">
        <v>0</v>
      </c>
      <c r="AA67" s="43">
        <v>0</v>
      </c>
      <c r="AB67" s="43">
        <v>0</v>
      </c>
      <c r="AC67" s="43">
        <v>0</v>
      </c>
      <c r="AD67" s="43">
        <v>0</v>
      </c>
      <c r="AE67" s="43">
        <v>0</v>
      </c>
      <c r="AF67" s="43">
        <v>0</v>
      </c>
      <c r="AG67" s="43"/>
      <c r="AH67" s="43">
        <f t="shared" si="1"/>
        <v>58427849</v>
      </c>
    </row>
    <row r="68" spans="1:65" s="4" customFormat="1" hidden="1" x14ac:dyDescent="0.2">
      <c r="A68" s="4">
        <v>183</v>
      </c>
      <c r="B68" s="4" t="s">
        <v>115</v>
      </c>
      <c r="D68" s="4" t="s">
        <v>92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/>
      <c r="AH68" s="43">
        <f>SUM(F68:AF68)</f>
        <v>0</v>
      </c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</row>
    <row r="69" spans="1:65" s="4" customFormat="1" hidden="1" x14ac:dyDescent="0.2">
      <c r="A69" s="4">
        <v>258</v>
      </c>
      <c r="B69" s="4" t="s">
        <v>70</v>
      </c>
      <c r="D69" s="4" t="s">
        <v>48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3">
        <v>0</v>
      </c>
      <c r="AC69" s="43">
        <v>0</v>
      </c>
      <c r="AD69" s="43">
        <v>0</v>
      </c>
      <c r="AE69" s="43">
        <v>0</v>
      </c>
      <c r="AF69" s="43">
        <v>0</v>
      </c>
      <c r="AG69" s="43"/>
      <c r="AH69" s="43">
        <f>SUM(F69:AF69)</f>
        <v>0</v>
      </c>
    </row>
    <row r="70" spans="1:65" s="4" customFormat="1" hidden="1" x14ac:dyDescent="0.2">
      <c r="A70" s="4">
        <v>71</v>
      </c>
      <c r="B70" s="35" t="s">
        <v>445</v>
      </c>
      <c r="C70" s="35"/>
      <c r="D70" s="35" t="s">
        <v>49</v>
      </c>
      <c r="E70" s="35"/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3">
        <v>0</v>
      </c>
      <c r="Z70" s="43">
        <v>0</v>
      </c>
      <c r="AA70" s="43">
        <v>0</v>
      </c>
      <c r="AB70" s="43">
        <v>0</v>
      </c>
      <c r="AC70" s="43">
        <v>0</v>
      </c>
      <c r="AD70" s="43">
        <v>0</v>
      </c>
      <c r="AE70" s="43">
        <v>0</v>
      </c>
      <c r="AF70" s="43">
        <v>0</v>
      </c>
      <c r="AG70" s="43"/>
      <c r="AH70" s="43">
        <f>SUM(F70:AF70)</f>
        <v>0</v>
      </c>
    </row>
    <row r="71" spans="1:65" s="4" customFormat="1" x14ac:dyDescent="0.2">
      <c r="A71" s="4">
        <v>260</v>
      </c>
      <c r="B71" s="4" t="s">
        <v>116</v>
      </c>
      <c r="D71" s="4" t="s">
        <v>90</v>
      </c>
      <c r="F71" s="43">
        <v>52129754</v>
      </c>
      <c r="G71" s="43">
        <v>0</v>
      </c>
      <c r="H71" s="43">
        <v>18823978</v>
      </c>
      <c r="I71" s="43">
        <v>0</v>
      </c>
      <c r="J71" s="43">
        <v>0</v>
      </c>
      <c r="K71" s="43">
        <v>0</v>
      </c>
      <c r="L71" s="43">
        <v>1432550</v>
      </c>
      <c r="M71" s="43">
        <v>0</v>
      </c>
      <c r="N71" s="43">
        <v>0</v>
      </c>
      <c r="O71" s="43">
        <v>0</v>
      </c>
      <c r="P71" s="43">
        <v>729855</v>
      </c>
      <c r="Q71" s="43">
        <v>0</v>
      </c>
      <c r="R71" s="43">
        <v>0</v>
      </c>
      <c r="S71" s="43">
        <v>0</v>
      </c>
      <c r="T71" s="43">
        <v>201198</v>
      </c>
      <c r="U71" s="43">
        <v>0</v>
      </c>
      <c r="V71" s="43">
        <v>750219</v>
      </c>
      <c r="W71" s="43">
        <v>0</v>
      </c>
      <c r="X71" s="43">
        <v>0</v>
      </c>
      <c r="Y71" s="43">
        <v>0</v>
      </c>
      <c r="Z71" s="43">
        <v>2405000</v>
      </c>
      <c r="AA71" s="43">
        <v>0</v>
      </c>
      <c r="AB71" s="43">
        <v>0</v>
      </c>
      <c r="AC71" s="43">
        <v>0</v>
      </c>
      <c r="AD71" s="43">
        <v>99435518</v>
      </c>
      <c r="AE71" s="43">
        <v>0</v>
      </c>
      <c r="AF71" s="43">
        <v>0</v>
      </c>
      <c r="AG71" s="43"/>
      <c r="AH71" s="43">
        <f t="shared" si="1"/>
        <v>175908072</v>
      </c>
    </row>
    <row r="72" spans="1:65" s="4" customFormat="1" hidden="1" x14ac:dyDescent="0.2">
      <c r="A72" s="4">
        <v>175</v>
      </c>
      <c r="B72" s="4" t="s">
        <v>358</v>
      </c>
      <c r="D72" s="4" t="s">
        <v>68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3">
        <v>0</v>
      </c>
      <c r="Z72" s="43">
        <v>0</v>
      </c>
      <c r="AA72" s="43">
        <v>0</v>
      </c>
      <c r="AB72" s="43">
        <v>0</v>
      </c>
      <c r="AC72" s="43">
        <v>0</v>
      </c>
      <c r="AD72" s="43">
        <v>0</v>
      </c>
      <c r="AE72" s="43">
        <v>0</v>
      </c>
      <c r="AF72" s="43">
        <v>0</v>
      </c>
      <c r="AG72" s="43"/>
      <c r="AH72" s="43">
        <f>SUM(F72:AF72)</f>
        <v>0</v>
      </c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</row>
    <row r="73" spans="1:65" s="4" customFormat="1" x14ac:dyDescent="0.2">
      <c r="A73" s="4">
        <v>94</v>
      </c>
      <c r="B73" s="4" t="s">
        <v>117</v>
      </c>
      <c r="D73" s="4" t="s">
        <v>41</v>
      </c>
      <c r="F73" s="43">
        <v>416275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4860</v>
      </c>
      <c r="M73" s="43">
        <v>0</v>
      </c>
      <c r="N73" s="43">
        <v>0</v>
      </c>
      <c r="O73" s="43">
        <v>0</v>
      </c>
      <c r="P73" s="43">
        <v>130</v>
      </c>
      <c r="Q73" s="43">
        <v>0</v>
      </c>
      <c r="R73" s="43">
        <v>2950</v>
      </c>
      <c r="S73" s="43">
        <v>0</v>
      </c>
      <c r="T73" s="43">
        <v>811</v>
      </c>
      <c r="U73" s="43">
        <v>0</v>
      </c>
      <c r="V73" s="43">
        <v>17761</v>
      </c>
      <c r="W73" s="43">
        <v>0</v>
      </c>
      <c r="X73" s="43">
        <v>0</v>
      </c>
      <c r="Y73" s="43">
        <v>0</v>
      </c>
      <c r="Z73" s="43">
        <v>0</v>
      </c>
      <c r="AA73" s="43">
        <v>0</v>
      </c>
      <c r="AB73" s="43">
        <v>0</v>
      </c>
      <c r="AC73" s="43">
        <v>0</v>
      </c>
      <c r="AD73" s="43">
        <v>0</v>
      </c>
      <c r="AE73" s="43">
        <v>0</v>
      </c>
      <c r="AF73" s="43">
        <v>0</v>
      </c>
      <c r="AG73" s="43"/>
      <c r="AH73" s="43">
        <f t="shared" si="1"/>
        <v>442787</v>
      </c>
    </row>
    <row r="74" spans="1:65" s="4" customFormat="1" x14ac:dyDescent="0.2">
      <c r="A74" s="4">
        <v>61</v>
      </c>
      <c r="B74" s="4" t="s">
        <v>118</v>
      </c>
      <c r="D74" s="4" t="s">
        <v>119</v>
      </c>
      <c r="F74" s="43">
        <v>0</v>
      </c>
      <c r="G74" s="43">
        <v>0</v>
      </c>
      <c r="H74" s="43">
        <v>1038942</v>
      </c>
      <c r="I74" s="43">
        <v>0</v>
      </c>
      <c r="J74" s="43">
        <v>0</v>
      </c>
      <c r="K74" s="43">
        <v>0</v>
      </c>
      <c r="L74" s="43">
        <v>27684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12258</v>
      </c>
      <c r="S74" s="43">
        <v>0</v>
      </c>
      <c r="T74" s="43">
        <v>4221</v>
      </c>
      <c r="U74" s="43">
        <v>0</v>
      </c>
      <c r="V74" s="43">
        <v>6003</v>
      </c>
      <c r="W74" s="43">
        <v>0</v>
      </c>
      <c r="X74" s="43">
        <v>0</v>
      </c>
      <c r="Y74" s="43">
        <v>0</v>
      </c>
      <c r="Z74" s="43">
        <v>0</v>
      </c>
      <c r="AA74" s="43">
        <v>0</v>
      </c>
      <c r="AB74" s="43">
        <v>18006</v>
      </c>
      <c r="AC74" s="43">
        <v>0</v>
      </c>
      <c r="AD74" s="43">
        <v>0</v>
      </c>
      <c r="AE74" s="43">
        <v>0</v>
      </c>
      <c r="AF74" s="43">
        <v>0</v>
      </c>
      <c r="AG74" s="43"/>
      <c r="AH74" s="43">
        <f t="shared" si="1"/>
        <v>1107114</v>
      </c>
    </row>
    <row r="75" spans="1:65" s="4" customFormat="1" hidden="1" x14ac:dyDescent="0.2">
      <c r="A75" s="4">
        <v>30</v>
      </c>
      <c r="B75" s="35" t="s">
        <v>120</v>
      </c>
      <c r="C75" s="35"/>
      <c r="D75" s="35" t="s">
        <v>50</v>
      </c>
      <c r="E75" s="35"/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0</v>
      </c>
      <c r="Y75" s="43">
        <v>0</v>
      </c>
      <c r="Z75" s="43">
        <v>0</v>
      </c>
      <c r="AA75" s="43">
        <v>0</v>
      </c>
      <c r="AB75" s="43">
        <v>0</v>
      </c>
      <c r="AC75" s="43">
        <v>0</v>
      </c>
      <c r="AD75" s="43">
        <v>0</v>
      </c>
      <c r="AE75" s="43">
        <v>0</v>
      </c>
      <c r="AF75" s="43">
        <v>0</v>
      </c>
      <c r="AG75" s="43"/>
      <c r="AH75" s="43">
        <f>SUM(F75:AF75)</f>
        <v>0</v>
      </c>
    </row>
    <row r="76" spans="1:65" s="4" customFormat="1" x14ac:dyDescent="0.2">
      <c r="A76" s="4">
        <v>252</v>
      </c>
      <c r="B76" s="4" t="s">
        <v>581</v>
      </c>
      <c r="D76" s="4" t="s">
        <v>17</v>
      </c>
      <c r="F76" s="43">
        <v>38862567</v>
      </c>
      <c r="G76" s="43">
        <v>0</v>
      </c>
      <c r="H76" s="43">
        <v>0</v>
      </c>
      <c r="I76" s="43">
        <v>0</v>
      </c>
      <c r="J76" s="43">
        <v>25621070</v>
      </c>
      <c r="K76" s="43">
        <v>0</v>
      </c>
      <c r="L76" s="43">
        <v>1302806</v>
      </c>
      <c r="M76" s="43">
        <v>0</v>
      </c>
      <c r="N76" s="43">
        <v>8503</v>
      </c>
      <c r="O76" s="43">
        <v>0</v>
      </c>
      <c r="P76" s="43">
        <v>0</v>
      </c>
      <c r="Q76" s="43">
        <v>0</v>
      </c>
      <c r="R76" s="43">
        <v>16317</v>
      </c>
      <c r="S76" s="43">
        <v>0</v>
      </c>
      <c r="T76" s="43">
        <v>29168</v>
      </c>
      <c r="U76" s="43">
        <v>0</v>
      </c>
      <c r="V76" s="43">
        <f>121448+24637</f>
        <v>146085</v>
      </c>
      <c r="W76" s="43">
        <v>0</v>
      </c>
      <c r="X76" s="43">
        <v>2784</v>
      </c>
      <c r="Y76" s="43">
        <v>0</v>
      </c>
      <c r="Z76" s="43">
        <v>0</v>
      </c>
      <c r="AA76" s="43">
        <v>0</v>
      </c>
      <c r="AB76" s="43">
        <v>0</v>
      </c>
      <c r="AC76" s="43">
        <v>0</v>
      </c>
      <c r="AD76" s="43">
        <v>0</v>
      </c>
      <c r="AE76" s="43">
        <v>0</v>
      </c>
      <c r="AF76" s="43">
        <v>0</v>
      </c>
      <c r="AG76" s="43"/>
      <c r="AH76" s="43">
        <f t="shared" si="1"/>
        <v>65989300</v>
      </c>
    </row>
    <row r="77" spans="1:65" s="4" customFormat="1" x14ac:dyDescent="0.2">
      <c r="B77" s="4" t="s">
        <v>602</v>
      </c>
      <c r="D77" s="4" t="s">
        <v>20</v>
      </c>
      <c r="F77" s="43">
        <v>1383112</v>
      </c>
      <c r="G77" s="43">
        <v>0</v>
      </c>
      <c r="H77" s="43">
        <v>1260949</v>
      </c>
      <c r="I77" s="43">
        <v>0</v>
      </c>
      <c r="J77" s="43">
        <v>0</v>
      </c>
      <c r="K77" s="43">
        <v>0</v>
      </c>
      <c r="L77" s="43">
        <v>17719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500</v>
      </c>
      <c r="S77" s="43">
        <v>0</v>
      </c>
      <c r="T77" s="43">
        <v>1050</v>
      </c>
      <c r="U77" s="43">
        <v>0</v>
      </c>
      <c r="V77" s="43">
        <v>5453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3">
        <v>0</v>
      </c>
      <c r="AG77" s="43"/>
      <c r="AH77" s="43">
        <f t="shared" si="1"/>
        <v>2668783</v>
      </c>
    </row>
    <row r="78" spans="1:65" s="4" customFormat="1" x14ac:dyDescent="0.2">
      <c r="A78" s="4">
        <v>8</v>
      </c>
      <c r="B78" s="4" t="s">
        <v>122</v>
      </c>
      <c r="D78" s="4" t="s">
        <v>53</v>
      </c>
      <c r="F78" s="43">
        <v>10739697</v>
      </c>
      <c r="G78" s="43">
        <v>0</v>
      </c>
      <c r="H78" s="43">
        <v>0</v>
      </c>
      <c r="I78" s="43">
        <v>0</v>
      </c>
      <c r="J78" s="43">
        <v>16368092</v>
      </c>
      <c r="K78" s="43">
        <v>0</v>
      </c>
      <c r="L78" s="43">
        <v>588651</v>
      </c>
      <c r="M78" s="43">
        <v>0</v>
      </c>
      <c r="N78" s="43">
        <v>0</v>
      </c>
      <c r="O78" s="43">
        <v>0</v>
      </c>
      <c r="P78" s="43">
        <v>80350</v>
      </c>
      <c r="Q78" s="43">
        <v>0</v>
      </c>
      <c r="R78" s="43">
        <v>122000</v>
      </c>
      <c r="S78" s="43">
        <v>0</v>
      </c>
      <c r="T78" s="43">
        <v>104529</v>
      </c>
      <c r="U78" s="43">
        <v>0</v>
      </c>
      <c r="V78" s="43">
        <v>44044</v>
      </c>
      <c r="W78" s="43">
        <v>0</v>
      </c>
      <c r="X78" s="43">
        <v>27872</v>
      </c>
      <c r="Y78" s="43">
        <v>0</v>
      </c>
      <c r="Z78" s="43">
        <v>0</v>
      </c>
      <c r="AA78" s="43">
        <v>0</v>
      </c>
      <c r="AB78" s="43">
        <v>0</v>
      </c>
      <c r="AC78" s="43">
        <v>0</v>
      </c>
      <c r="AD78" s="43">
        <v>0</v>
      </c>
      <c r="AE78" s="43">
        <v>0</v>
      </c>
      <c r="AF78" s="43">
        <v>0</v>
      </c>
      <c r="AG78" s="43"/>
      <c r="AH78" s="43">
        <f t="shared" si="1"/>
        <v>28075235</v>
      </c>
    </row>
    <row r="79" spans="1:65" s="4" customFormat="1" hidden="1" x14ac:dyDescent="0.2">
      <c r="A79" s="4">
        <v>238</v>
      </c>
      <c r="B79" s="4" t="s">
        <v>123</v>
      </c>
      <c r="D79" s="4" t="s">
        <v>124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43">
        <v>0</v>
      </c>
      <c r="S79" s="43">
        <v>0</v>
      </c>
      <c r="T79" s="43">
        <v>0</v>
      </c>
      <c r="U79" s="43">
        <v>0</v>
      </c>
      <c r="V79" s="43">
        <v>0</v>
      </c>
      <c r="W79" s="43">
        <v>0</v>
      </c>
      <c r="X79" s="43">
        <v>0</v>
      </c>
      <c r="Y79" s="43">
        <v>0</v>
      </c>
      <c r="Z79" s="43">
        <v>0</v>
      </c>
      <c r="AA79" s="43">
        <v>0</v>
      </c>
      <c r="AB79" s="43">
        <v>0</v>
      </c>
      <c r="AC79" s="43">
        <v>0</v>
      </c>
      <c r="AD79" s="43">
        <v>0</v>
      </c>
      <c r="AE79" s="43">
        <v>0</v>
      </c>
      <c r="AF79" s="43">
        <v>0</v>
      </c>
      <c r="AG79" s="43"/>
      <c r="AH79" s="43">
        <f t="shared" si="1"/>
        <v>0</v>
      </c>
    </row>
    <row r="80" spans="1:65" s="4" customFormat="1" x14ac:dyDescent="0.2">
      <c r="A80" s="4">
        <v>82</v>
      </c>
      <c r="B80" s="4" t="s">
        <v>125</v>
      </c>
      <c r="D80" s="4" t="s">
        <v>68</v>
      </c>
      <c r="F80" s="43">
        <v>4057549</v>
      </c>
      <c r="G80" s="43">
        <v>0</v>
      </c>
      <c r="H80" s="43">
        <v>1801577</v>
      </c>
      <c r="I80" s="43">
        <v>0</v>
      </c>
      <c r="J80" s="43">
        <v>534684</v>
      </c>
      <c r="K80" s="43">
        <v>0</v>
      </c>
      <c r="L80" s="43">
        <v>79353</v>
      </c>
      <c r="M80" s="43">
        <v>0</v>
      </c>
      <c r="N80" s="43">
        <v>0</v>
      </c>
      <c r="O80" s="43">
        <v>0</v>
      </c>
      <c r="P80" s="43">
        <v>825</v>
      </c>
      <c r="Q80" s="43">
        <v>0</v>
      </c>
      <c r="R80" s="43">
        <v>30552</v>
      </c>
      <c r="S80" s="43">
        <v>0</v>
      </c>
      <c r="T80" s="43">
        <v>45068</v>
      </c>
      <c r="U80" s="43">
        <v>0</v>
      </c>
      <c r="V80" s="43">
        <v>50834</v>
      </c>
      <c r="W80" s="43">
        <v>0</v>
      </c>
      <c r="X80" s="43">
        <v>0</v>
      </c>
      <c r="Y80" s="43">
        <v>0</v>
      </c>
      <c r="Z80" s="43">
        <v>0</v>
      </c>
      <c r="AA80" s="43">
        <v>0</v>
      </c>
      <c r="AB80" s="43">
        <v>0</v>
      </c>
      <c r="AC80" s="43">
        <v>0</v>
      </c>
      <c r="AD80" s="43">
        <v>0</v>
      </c>
      <c r="AE80" s="43">
        <v>0</v>
      </c>
      <c r="AF80" s="43">
        <v>0</v>
      </c>
      <c r="AG80" s="43"/>
      <c r="AH80" s="43">
        <f t="shared" si="1"/>
        <v>6600442</v>
      </c>
    </row>
    <row r="81" spans="1:65" s="4" customFormat="1" hidden="1" x14ac:dyDescent="0.2">
      <c r="A81" s="4">
        <v>41</v>
      </c>
      <c r="B81" s="35" t="s">
        <v>126</v>
      </c>
      <c r="C81" s="35"/>
      <c r="D81" s="35" t="s">
        <v>95</v>
      </c>
      <c r="E81" s="35"/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0</v>
      </c>
      <c r="Y81" s="43">
        <v>0</v>
      </c>
      <c r="Z81" s="43">
        <v>0</v>
      </c>
      <c r="AA81" s="43">
        <v>0</v>
      </c>
      <c r="AB81" s="43">
        <v>0</v>
      </c>
      <c r="AC81" s="43">
        <v>0</v>
      </c>
      <c r="AD81" s="43">
        <v>0</v>
      </c>
      <c r="AE81" s="43">
        <v>0</v>
      </c>
      <c r="AF81" s="43">
        <v>0</v>
      </c>
      <c r="AG81" s="43"/>
      <c r="AH81" s="43">
        <f>SUM(F81:AF81)</f>
        <v>0</v>
      </c>
    </row>
    <row r="82" spans="1:65" s="7" customFormat="1" hidden="1" x14ac:dyDescent="0.2">
      <c r="A82" s="4">
        <v>14</v>
      </c>
      <c r="B82" s="4" t="s">
        <v>127</v>
      </c>
      <c r="C82" s="4"/>
      <c r="D82" s="4" t="s">
        <v>40</v>
      </c>
      <c r="E82" s="4"/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3">
        <v>0</v>
      </c>
      <c r="Z82" s="43">
        <v>0</v>
      </c>
      <c r="AA82" s="43">
        <v>0</v>
      </c>
      <c r="AB82" s="43">
        <v>0</v>
      </c>
      <c r="AC82" s="43">
        <v>0</v>
      </c>
      <c r="AD82" s="43">
        <v>0</v>
      </c>
      <c r="AE82" s="43">
        <v>0</v>
      </c>
      <c r="AF82" s="43">
        <v>0</v>
      </c>
      <c r="AG82" s="43"/>
      <c r="AH82" s="43">
        <f>SUM(F82:AF82)</f>
        <v>0</v>
      </c>
    </row>
    <row r="83" spans="1:65" s="4" customFormat="1" x14ac:dyDescent="0.2">
      <c r="A83" s="4">
        <v>256</v>
      </c>
      <c r="B83" s="4" t="s">
        <v>128</v>
      </c>
      <c r="D83" s="4" t="s">
        <v>61</v>
      </c>
      <c r="F83" s="43">
        <v>146807</v>
      </c>
      <c r="G83" s="43">
        <v>0</v>
      </c>
      <c r="H83" s="43">
        <v>238029</v>
      </c>
      <c r="I83" s="43">
        <v>0</v>
      </c>
      <c r="J83" s="43">
        <v>0</v>
      </c>
      <c r="K83" s="43">
        <v>0</v>
      </c>
      <c r="L83" s="43">
        <v>7789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3">
        <v>20248</v>
      </c>
      <c r="S83" s="43">
        <v>0</v>
      </c>
      <c r="T83" s="43">
        <v>1726</v>
      </c>
      <c r="U83" s="43">
        <v>0</v>
      </c>
      <c r="V83" s="43">
        <v>0</v>
      </c>
      <c r="W83" s="43">
        <v>0</v>
      </c>
      <c r="X83" s="43">
        <v>0</v>
      </c>
      <c r="Y83" s="43">
        <v>0</v>
      </c>
      <c r="Z83" s="43">
        <v>0</v>
      </c>
      <c r="AA83" s="43">
        <v>0</v>
      </c>
      <c r="AB83" s="43">
        <v>0</v>
      </c>
      <c r="AC83" s="43">
        <v>0</v>
      </c>
      <c r="AD83" s="43">
        <v>0</v>
      </c>
      <c r="AE83" s="43">
        <v>0</v>
      </c>
      <c r="AF83" s="43">
        <v>0</v>
      </c>
      <c r="AG83" s="43"/>
      <c r="AH83" s="43">
        <f t="shared" si="1"/>
        <v>414599</v>
      </c>
    </row>
    <row r="84" spans="1:65" s="4" customFormat="1" x14ac:dyDescent="0.2">
      <c r="A84" s="4">
        <v>250</v>
      </c>
      <c r="B84" s="4" t="s">
        <v>129</v>
      </c>
      <c r="D84" s="4" t="s">
        <v>24</v>
      </c>
      <c r="F84" s="43">
        <v>215653</v>
      </c>
      <c r="G84" s="43">
        <v>0</v>
      </c>
      <c r="H84" s="43">
        <v>566222</v>
      </c>
      <c r="I84" s="43">
        <v>0</v>
      </c>
      <c r="J84" s="43">
        <v>0</v>
      </c>
      <c r="K84" s="43">
        <v>0</v>
      </c>
      <c r="L84" s="43">
        <v>28704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43">
        <v>6966</v>
      </c>
      <c r="S84" s="43">
        <v>0</v>
      </c>
      <c r="T84" s="43">
        <v>530</v>
      </c>
      <c r="U84" s="43">
        <v>0</v>
      </c>
      <c r="V84" s="43">
        <v>4581</v>
      </c>
      <c r="W84" s="43">
        <v>0</v>
      </c>
      <c r="X84" s="43">
        <v>0</v>
      </c>
      <c r="Y84" s="43">
        <v>0</v>
      </c>
      <c r="Z84" s="43">
        <v>0</v>
      </c>
      <c r="AA84" s="43">
        <v>0</v>
      </c>
      <c r="AB84" s="43">
        <v>0</v>
      </c>
      <c r="AC84" s="43">
        <v>0</v>
      </c>
      <c r="AD84" s="43">
        <v>0</v>
      </c>
      <c r="AE84" s="43">
        <v>0</v>
      </c>
      <c r="AF84" s="43">
        <v>0</v>
      </c>
      <c r="AG84" s="43"/>
      <c r="AH84" s="43">
        <f t="shared" si="1"/>
        <v>822656</v>
      </c>
    </row>
    <row r="85" spans="1:65" s="4" customFormat="1" hidden="1" x14ac:dyDescent="0.2">
      <c r="A85" s="4">
        <v>3</v>
      </c>
      <c r="B85" s="4" t="s">
        <v>300</v>
      </c>
      <c r="D85" s="4" t="s">
        <v>130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3">
        <v>0</v>
      </c>
      <c r="Z85" s="43">
        <v>0</v>
      </c>
      <c r="AA85" s="43">
        <v>0</v>
      </c>
      <c r="AB85" s="43">
        <v>0</v>
      </c>
      <c r="AC85" s="43">
        <v>0</v>
      </c>
      <c r="AD85" s="43">
        <v>0</v>
      </c>
      <c r="AE85" s="43">
        <v>0</v>
      </c>
      <c r="AF85" s="43">
        <v>0</v>
      </c>
      <c r="AG85" s="43"/>
      <c r="AH85" s="43">
        <f>SUM(F85:AF85)</f>
        <v>0</v>
      </c>
    </row>
    <row r="86" spans="1:65" s="4" customFormat="1" x14ac:dyDescent="0.2">
      <c r="A86" s="4">
        <v>235</v>
      </c>
      <c r="B86" s="4" t="s">
        <v>131</v>
      </c>
      <c r="D86" s="4" t="s">
        <v>85</v>
      </c>
      <c r="F86" s="43">
        <v>21839</v>
      </c>
      <c r="G86" s="43">
        <v>0</v>
      </c>
      <c r="H86" s="43">
        <v>48336</v>
      </c>
      <c r="I86" s="43">
        <v>0</v>
      </c>
      <c r="J86" s="43">
        <v>0</v>
      </c>
      <c r="K86" s="43">
        <v>0</v>
      </c>
      <c r="L86" s="43">
        <v>41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54</v>
      </c>
      <c r="S86" s="43">
        <v>0</v>
      </c>
      <c r="T86" s="43">
        <v>546</v>
      </c>
      <c r="U86" s="43">
        <v>0</v>
      </c>
      <c r="V86" s="43">
        <v>3448</v>
      </c>
      <c r="W86" s="43">
        <v>0</v>
      </c>
      <c r="X86" s="43">
        <v>0</v>
      </c>
      <c r="Y86" s="43">
        <v>0</v>
      </c>
      <c r="Z86" s="43">
        <v>0</v>
      </c>
      <c r="AA86" s="43">
        <v>0</v>
      </c>
      <c r="AB86" s="43">
        <v>0</v>
      </c>
      <c r="AC86" s="43">
        <v>0</v>
      </c>
      <c r="AD86" s="43">
        <v>0</v>
      </c>
      <c r="AE86" s="43">
        <v>0</v>
      </c>
      <c r="AF86" s="43">
        <v>0</v>
      </c>
      <c r="AG86" s="43"/>
      <c r="AH86" s="43">
        <f t="shared" ref="AH86" si="2">SUM(F86:AF86)</f>
        <v>74264</v>
      </c>
    </row>
    <row r="87" spans="1:65" s="4" customFormat="1" hidden="1" x14ac:dyDescent="0.2">
      <c r="A87" s="4">
        <v>123</v>
      </c>
      <c r="B87" s="35" t="s">
        <v>447</v>
      </c>
      <c r="C87" s="35"/>
      <c r="D87" s="35" t="s">
        <v>17</v>
      </c>
      <c r="E87" s="35"/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0</v>
      </c>
      <c r="S87" s="43">
        <v>0</v>
      </c>
      <c r="T87" s="43">
        <v>0</v>
      </c>
      <c r="U87" s="43">
        <v>0</v>
      </c>
      <c r="V87" s="43">
        <v>0</v>
      </c>
      <c r="W87" s="43">
        <v>0</v>
      </c>
      <c r="X87" s="43">
        <v>0</v>
      </c>
      <c r="Y87" s="43">
        <v>0</v>
      </c>
      <c r="Z87" s="43">
        <v>0</v>
      </c>
      <c r="AA87" s="43">
        <v>0</v>
      </c>
      <c r="AB87" s="43">
        <v>0</v>
      </c>
      <c r="AC87" s="43">
        <v>0</v>
      </c>
      <c r="AD87" s="43">
        <v>0</v>
      </c>
      <c r="AE87" s="43">
        <v>0</v>
      </c>
      <c r="AF87" s="43">
        <v>0</v>
      </c>
      <c r="AG87" s="43"/>
      <c r="AH87" s="43">
        <f>SUM(F87:AF87)</f>
        <v>0</v>
      </c>
    </row>
    <row r="88" spans="1:65" s="4" customFormat="1" hidden="1" x14ac:dyDescent="0.2">
      <c r="A88" s="4">
        <v>148</v>
      </c>
      <c r="B88" s="4" t="s">
        <v>553</v>
      </c>
      <c r="D88" s="4" t="s">
        <v>49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3">
        <v>0</v>
      </c>
      <c r="Z88" s="43">
        <v>0</v>
      </c>
      <c r="AA88" s="43">
        <v>0</v>
      </c>
      <c r="AB88" s="43">
        <v>0</v>
      </c>
      <c r="AC88" s="43">
        <v>0</v>
      </c>
      <c r="AD88" s="43">
        <v>0</v>
      </c>
      <c r="AE88" s="43">
        <v>0</v>
      </c>
      <c r="AF88" s="43">
        <v>0</v>
      </c>
      <c r="AG88" s="43"/>
      <c r="AH88" s="43">
        <f>SUM(F88:AF88)</f>
        <v>0</v>
      </c>
    </row>
    <row r="89" spans="1:65" s="4" customFormat="1" hidden="1" x14ac:dyDescent="0.2">
      <c r="A89" s="4">
        <v>151.1</v>
      </c>
      <c r="B89" s="38" t="s">
        <v>132</v>
      </c>
      <c r="C89" s="38"/>
      <c r="D89" s="38" t="s">
        <v>49</v>
      </c>
      <c r="E89" s="38"/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43">
        <v>0</v>
      </c>
      <c r="Y89" s="43">
        <v>0</v>
      </c>
      <c r="Z89" s="43">
        <v>0</v>
      </c>
      <c r="AA89" s="43">
        <v>0</v>
      </c>
      <c r="AB89" s="43">
        <v>0</v>
      </c>
      <c r="AC89" s="43">
        <v>0</v>
      </c>
      <c r="AD89" s="43">
        <v>0</v>
      </c>
      <c r="AE89" s="43">
        <v>0</v>
      </c>
      <c r="AF89" s="43">
        <v>0</v>
      </c>
      <c r="AG89" s="43"/>
      <c r="AH89" s="43">
        <f>SUM(F89:AF89)</f>
        <v>0</v>
      </c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</row>
    <row r="90" spans="1:65" s="4" customFormat="1" x14ac:dyDescent="0.2">
      <c r="A90" s="4">
        <v>86</v>
      </c>
      <c r="B90" s="4" t="s">
        <v>421</v>
      </c>
      <c r="D90" s="4" t="s">
        <v>18</v>
      </c>
      <c r="F90" s="43">
        <v>900975</v>
      </c>
      <c r="G90" s="43">
        <v>0</v>
      </c>
      <c r="H90" s="43">
        <v>824156</v>
      </c>
      <c r="I90" s="43">
        <v>0</v>
      </c>
      <c r="J90" s="43">
        <v>124561</v>
      </c>
      <c r="K90" s="43">
        <v>0</v>
      </c>
      <c r="L90" s="43">
        <v>56474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3">
        <v>12501</v>
      </c>
      <c r="S90" s="43">
        <v>0</v>
      </c>
      <c r="T90" s="43">
        <v>4893</v>
      </c>
      <c r="U90" s="43">
        <v>0</v>
      </c>
      <c r="V90" s="43">
        <v>3737</v>
      </c>
      <c r="W90" s="43">
        <v>0</v>
      </c>
      <c r="X90" s="43">
        <v>0</v>
      </c>
      <c r="Y90" s="43">
        <v>0</v>
      </c>
      <c r="Z90" s="43">
        <v>230</v>
      </c>
      <c r="AA90" s="43">
        <v>0</v>
      </c>
      <c r="AB90" s="43">
        <v>0</v>
      </c>
      <c r="AC90" s="43">
        <v>0</v>
      </c>
      <c r="AD90" s="43">
        <v>0</v>
      </c>
      <c r="AE90" s="43">
        <v>0</v>
      </c>
      <c r="AF90" s="43">
        <v>0</v>
      </c>
      <c r="AG90" s="43"/>
      <c r="AH90" s="43">
        <f t="shared" ref="AH90:AH155" si="3">SUM(F90:AF90)</f>
        <v>1927527</v>
      </c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</row>
    <row r="91" spans="1:65" s="4" customFormat="1" hidden="1" x14ac:dyDescent="0.2">
      <c r="A91" s="4">
        <v>87</v>
      </c>
      <c r="B91" s="4" t="s">
        <v>133</v>
      </c>
      <c r="D91" s="4" t="s">
        <v>55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43">
        <v>0</v>
      </c>
      <c r="Y91" s="43">
        <v>0</v>
      </c>
      <c r="Z91" s="43">
        <v>0</v>
      </c>
      <c r="AA91" s="43">
        <v>0</v>
      </c>
      <c r="AB91" s="43">
        <v>0</v>
      </c>
      <c r="AC91" s="43">
        <v>0</v>
      </c>
      <c r="AD91" s="43">
        <v>0</v>
      </c>
      <c r="AE91" s="43">
        <v>0</v>
      </c>
      <c r="AF91" s="43">
        <v>0</v>
      </c>
      <c r="AG91" s="43"/>
      <c r="AH91" s="43">
        <f t="shared" si="3"/>
        <v>0</v>
      </c>
    </row>
    <row r="92" spans="1:65" s="4" customFormat="1" x14ac:dyDescent="0.2">
      <c r="A92" s="4">
        <v>13</v>
      </c>
      <c r="B92" s="4" t="s">
        <v>16</v>
      </c>
      <c r="D92" s="4" t="s">
        <v>17</v>
      </c>
      <c r="F92" s="43">
        <v>2598921</v>
      </c>
      <c r="G92" s="43">
        <v>0</v>
      </c>
      <c r="H92" s="43">
        <v>0</v>
      </c>
      <c r="I92" s="43">
        <v>0</v>
      </c>
      <c r="J92" s="43">
        <v>1981049</v>
      </c>
      <c r="K92" s="43">
        <v>0</v>
      </c>
      <c r="L92" s="43">
        <v>118864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50507</v>
      </c>
      <c r="S92" s="43">
        <v>0</v>
      </c>
      <c r="T92" s="43">
        <v>12792</v>
      </c>
      <c r="U92" s="43">
        <v>0</v>
      </c>
      <c r="V92" s="43">
        <v>19055</v>
      </c>
      <c r="W92" s="43">
        <v>0</v>
      </c>
      <c r="X92" s="43">
        <v>0</v>
      </c>
      <c r="Y92" s="43">
        <v>0</v>
      </c>
      <c r="Z92" s="43">
        <v>0</v>
      </c>
      <c r="AA92" s="43">
        <v>0</v>
      </c>
      <c r="AB92" s="43">
        <v>0</v>
      </c>
      <c r="AC92" s="43">
        <v>0</v>
      </c>
      <c r="AD92" s="43">
        <v>0</v>
      </c>
      <c r="AE92" s="43">
        <v>0</v>
      </c>
      <c r="AF92" s="43">
        <v>0</v>
      </c>
      <c r="AG92" s="43"/>
      <c r="AH92" s="43">
        <f t="shared" si="3"/>
        <v>4781188</v>
      </c>
    </row>
    <row r="93" spans="1:65" s="4" customFormat="1" hidden="1" x14ac:dyDescent="0.2">
      <c r="A93" s="4">
        <v>83</v>
      </c>
      <c r="B93" s="35" t="s">
        <v>134</v>
      </c>
      <c r="C93" s="35"/>
      <c r="D93" s="35" t="s">
        <v>40</v>
      </c>
      <c r="E93" s="35"/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  <c r="S93" s="43">
        <v>0</v>
      </c>
      <c r="T93" s="43">
        <v>0</v>
      </c>
      <c r="U93" s="43">
        <v>0</v>
      </c>
      <c r="V93" s="43">
        <v>0</v>
      </c>
      <c r="W93" s="43">
        <v>0</v>
      </c>
      <c r="X93" s="43">
        <v>0</v>
      </c>
      <c r="Y93" s="43">
        <v>0</v>
      </c>
      <c r="Z93" s="43">
        <v>0</v>
      </c>
      <c r="AA93" s="43">
        <v>0</v>
      </c>
      <c r="AB93" s="43">
        <v>0</v>
      </c>
      <c r="AC93" s="43">
        <v>0</v>
      </c>
      <c r="AD93" s="43">
        <v>0</v>
      </c>
      <c r="AE93" s="43">
        <v>0</v>
      </c>
      <c r="AF93" s="43">
        <v>0</v>
      </c>
      <c r="AG93" s="43"/>
      <c r="AH93" s="43">
        <f>SUM(F93:AF93)</f>
        <v>0</v>
      </c>
    </row>
    <row r="94" spans="1:65" s="4" customFormat="1" x14ac:dyDescent="0.2">
      <c r="B94" s="35" t="s">
        <v>619</v>
      </c>
      <c r="C94" s="35"/>
      <c r="D94" s="35" t="s">
        <v>87</v>
      </c>
      <c r="E94" s="35"/>
      <c r="F94" s="43">
        <v>403006</v>
      </c>
      <c r="G94" s="43">
        <v>0</v>
      </c>
      <c r="H94" s="43">
        <v>595554</v>
      </c>
      <c r="I94" s="43">
        <v>0</v>
      </c>
      <c r="J94" s="43">
        <v>0</v>
      </c>
      <c r="K94" s="43">
        <v>0</v>
      </c>
      <c r="L94" s="43">
        <v>24229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43">
        <v>6812</v>
      </c>
      <c r="S94" s="43">
        <v>0</v>
      </c>
      <c r="T94" s="43">
        <v>1463</v>
      </c>
      <c r="U94" s="43">
        <v>0</v>
      </c>
      <c r="V94" s="43">
        <v>11193</v>
      </c>
      <c r="W94" s="43">
        <v>0</v>
      </c>
      <c r="X94" s="43">
        <v>0</v>
      </c>
      <c r="Y94" s="43">
        <v>0</v>
      </c>
      <c r="Z94" s="43">
        <v>0</v>
      </c>
      <c r="AA94" s="43">
        <v>0</v>
      </c>
      <c r="AB94" s="43">
        <v>0</v>
      </c>
      <c r="AC94" s="43">
        <v>0</v>
      </c>
      <c r="AD94" s="43">
        <v>0</v>
      </c>
      <c r="AE94" s="43">
        <v>0</v>
      </c>
      <c r="AF94" s="43">
        <v>0</v>
      </c>
      <c r="AG94" s="43"/>
      <c r="AH94" s="43">
        <f t="shared" si="3"/>
        <v>1042257</v>
      </c>
    </row>
    <row r="95" spans="1:65" s="4" customFormat="1" x14ac:dyDescent="0.2">
      <c r="A95" s="4">
        <v>231</v>
      </c>
      <c r="B95" s="4" t="s">
        <v>428</v>
      </c>
      <c r="D95" s="4" t="s">
        <v>65</v>
      </c>
      <c r="F95" s="43">
        <v>948922</v>
      </c>
      <c r="G95" s="43">
        <v>0</v>
      </c>
      <c r="H95" s="43">
        <v>2205780</v>
      </c>
      <c r="I95" s="43">
        <v>0</v>
      </c>
      <c r="J95" s="43">
        <v>10138</v>
      </c>
      <c r="K95" s="43">
        <v>0</v>
      </c>
      <c r="L95" s="43">
        <v>107789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v>0</v>
      </c>
      <c r="T95" s="43">
        <v>1732</v>
      </c>
      <c r="U95" s="43">
        <v>0</v>
      </c>
      <c r="V95" s="43">
        <v>19210</v>
      </c>
      <c r="W95" s="43">
        <v>0</v>
      </c>
      <c r="X95" s="43">
        <v>0</v>
      </c>
      <c r="Y95" s="43">
        <v>0</v>
      </c>
      <c r="Z95" s="43">
        <v>0</v>
      </c>
      <c r="AA95" s="43">
        <v>0</v>
      </c>
      <c r="AB95" s="43">
        <v>0</v>
      </c>
      <c r="AC95" s="43">
        <v>0</v>
      </c>
      <c r="AD95" s="43">
        <v>0</v>
      </c>
      <c r="AE95" s="43">
        <v>0</v>
      </c>
      <c r="AF95" s="43">
        <v>0</v>
      </c>
      <c r="AG95" s="43"/>
      <c r="AH95" s="43">
        <f t="shared" si="3"/>
        <v>3293571</v>
      </c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</row>
    <row r="96" spans="1:65" s="4" customFormat="1" x14ac:dyDescent="0.2">
      <c r="A96" s="4">
        <v>40</v>
      </c>
      <c r="B96" s="7" t="s">
        <v>135</v>
      </c>
      <c r="C96" s="7"/>
      <c r="D96" s="7" t="s">
        <v>13</v>
      </c>
      <c r="E96" s="7"/>
      <c r="F96" s="43">
        <v>117853</v>
      </c>
      <c r="G96" s="43">
        <v>0</v>
      </c>
      <c r="H96" s="43">
        <v>206740</v>
      </c>
      <c r="I96" s="43">
        <v>0</v>
      </c>
      <c r="J96" s="43">
        <v>0</v>
      </c>
      <c r="K96" s="43">
        <v>0</v>
      </c>
      <c r="L96" s="43">
        <v>1018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10856</v>
      </c>
      <c r="S96" s="43">
        <v>0</v>
      </c>
      <c r="T96" s="43">
        <v>1129</v>
      </c>
      <c r="U96" s="43">
        <v>0</v>
      </c>
      <c r="V96" s="43">
        <v>3259</v>
      </c>
      <c r="W96" s="43">
        <v>0</v>
      </c>
      <c r="X96" s="43">
        <v>0</v>
      </c>
      <c r="Y96" s="43">
        <v>0</v>
      </c>
      <c r="Z96" s="43">
        <v>0</v>
      </c>
      <c r="AA96" s="43">
        <v>0</v>
      </c>
      <c r="AB96" s="43">
        <v>0</v>
      </c>
      <c r="AC96" s="43">
        <v>0</v>
      </c>
      <c r="AD96" s="43">
        <v>0</v>
      </c>
      <c r="AE96" s="43">
        <v>0</v>
      </c>
      <c r="AF96" s="43">
        <v>0</v>
      </c>
      <c r="AG96" s="43"/>
      <c r="AH96" s="43">
        <f t="shared" si="3"/>
        <v>340855</v>
      </c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</row>
    <row r="97" spans="1:65" s="4" customFormat="1" hidden="1" x14ac:dyDescent="0.2">
      <c r="A97" s="4">
        <v>179</v>
      </c>
      <c r="B97" s="4" t="s">
        <v>582</v>
      </c>
      <c r="D97" s="4" t="s">
        <v>137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3">
        <v>0</v>
      </c>
      <c r="Z97" s="43">
        <v>0</v>
      </c>
      <c r="AA97" s="43">
        <v>0</v>
      </c>
      <c r="AB97" s="43">
        <v>0</v>
      </c>
      <c r="AC97" s="43">
        <v>0</v>
      </c>
      <c r="AD97" s="43">
        <v>0</v>
      </c>
      <c r="AE97" s="43">
        <v>0</v>
      </c>
      <c r="AF97" s="43">
        <v>0</v>
      </c>
      <c r="AG97" s="43"/>
      <c r="AH97" s="43">
        <f>SUM(F97:AF97)</f>
        <v>0</v>
      </c>
    </row>
    <row r="98" spans="1:65" s="4" customFormat="1" hidden="1" x14ac:dyDescent="0.2">
      <c r="A98" s="4">
        <v>179</v>
      </c>
      <c r="B98" s="4" t="s">
        <v>360</v>
      </c>
      <c r="D98" s="4" t="s">
        <v>51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43">
        <v>0</v>
      </c>
      <c r="AA98" s="43">
        <v>0</v>
      </c>
      <c r="AB98" s="43">
        <v>0</v>
      </c>
      <c r="AC98" s="43">
        <v>0</v>
      </c>
      <c r="AD98" s="43">
        <v>0</v>
      </c>
      <c r="AE98" s="43">
        <v>0</v>
      </c>
      <c r="AF98" s="43">
        <v>0</v>
      </c>
      <c r="AG98" s="43"/>
      <c r="AH98" s="43">
        <f t="shared" si="3"/>
        <v>0</v>
      </c>
    </row>
    <row r="99" spans="1:65" s="4" customFormat="1" hidden="1" x14ac:dyDescent="0.2">
      <c r="A99" s="4">
        <v>165</v>
      </c>
      <c r="B99" s="4" t="s">
        <v>138</v>
      </c>
      <c r="D99" s="4" t="s">
        <v>59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3">
        <v>0</v>
      </c>
      <c r="Z99" s="43">
        <v>0</v>
      </c>
      <c r="AA99" s="43">
        <v>0</v>
      </c>
      <c r="AB99" s="43">
        <v>0</v>
      </c>
      <c r="AC99" s="43">
        <v>0</v>
      </c>
      <c r="AD99" s="43">
        <v>0</v>
      </c>
      <c r="AE99" s="43">
        <v>0</v>
      </c>
      <c r="AF99" s="43">
        <v>0</v>
      </c>
      <c r="AG99" s="43"/>
      <c r="AH99" s="43">
        <f>SUM(F99:AF99)</f>
        <v>0</v>
      </c>
    </row>
    <row r="100" spans="1:65" s="4" customFormat="1" x14ac:dyDescent="0.2">
      <c r="A100" s="4">
        <v>44</v>
      </c>
      <c r="B100" s="4" t="s">
        <v>139</v>
      </c>
      <c r="D100" s="4" t="s">
        <v>48</v>
      </c>
      <c r="F100" s="43">
        <v>0</v>
      </c>
      <c r="G100" s="43">
        <v>0</v>
      </c>
      <c r="H100" s="43">
        <v>87979</v>
      </c>
      <c r="I100" s="43">
        <v>0</v>
      </c>
      <c r="J100" s="43">
        <v>0</v>
      </c>
      <c r="K100" s="43">
        <v>0</v>
      </c>
      <c r="L100" s="43">
        <v>3624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6519</v>
      </c>
      <c r="S100" s="43">
        <v>0</v>
      </c>
      <c r="T100" s="43">
        <v>69</v>
      </c>
      <c r="U100" s="43">
        <v>0</v>
      </c>
      <c r="V100" s="43">
        <v>1464</v>
      </c>
      <c r="W100" s="43">
        <v>0</v>
      </c>
      <c r="X100" s="43">
        <v>0</v>
      </c>
      <c r="Y100" s="43">
        <v>0</v>
      </c>
      <c r="Z100" s="43">
        <v>0</v>
      </c>
      <c r="AA100" s="43">
        <v>0</v>
      </c>
      <c r="AB100" s="43">
        <v>0</v>
      </c>
      <c r="AC100" s="43">
        <v>0</v>
      </c>
      <c r="AD100" s="43">
        <v>0</v>
      </c>
      <c r="AE100" s="43">
        <v>0</v>
      </c>
      <c r="AF100" s="43">
        <v>0</v>
      </c>
      <c r="AG100" s="43"/>
      <c r="AH100" s="43">
        <f t="shared" si="3"/>
        <v>99655</v>
      </c>
    </row>
    <row r="101" spans="1:65" s="7" customFormat="1" hidden="1" x14ac:dyDescent="0.2">
      <c r="A101" s="4">
        <v>223</v>
      </c>
      <c r="B101" s="4" t="s">
        <v>140</v>
      </c>
      <c r="C101" s="4"/>
      <c r="D101" s="4" t="s">
        <v>52</v>
      </c>
      <c r="E101" s="4"/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0</v>
      </c>
      <c r="X101" s="43">
        <v>0</v>
      </c>
      <c r="Y101" s="43">
        <v>0</v>
      </c>
      <c r="Z101" s="43">
        <v>0</v>
      </c>
      <c r="AA101" s="43">
        <v>0</v>
      </c>
      <c r="AB101" s="43">
        <v>0</v>
      </c>
      <c r="AC101" s="43">
        <v>0</v>
      </c>
      <c r="AD101" s="43">
        <v>0</v>
      </c>
      <c r="AE101" s="43">
        <v>0</v>
      </c>
      <c r="AF101" s="43">
        <v>0</v>
      </c>
      <c r="AG101" s="43"/>
      <c r="AH101" s="43">
        <f>SUM(F101:AF101)</f>
        <v>0</v>
      </c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</row>
    <row r="102" spans="1:65" s="4" customFormat="1" hidden="1" x14ac:dyDescent="0.2">
      <c r="A102" s="4">
        <v>35</v>
      </c>
      <c r="B102" s="35" t="s">
        <v>141</v>
      </c>
      <c r="C102" s="35"/>
      <c r="D102" s="35" t="s">
        <v>50</v>
      </c>
      <c r="E102" s="35"/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43">
        <v>0</v>
      </c>
      <c r="Y102" s="43">
        <v>0</v>
      </c>
      <c r="Z102" s="43">
        <v>0</v>
      </c>
      <c r="AA102" s="43">
        <v>0</v>
      </c>
      <c r="AB102" s="43">
        <v>0</v>
      </c>
      <c r="AC102" s="43">
        <v>0</v>
      </c>
      <c r="AD102" s="43">
        <v>0</v>
      </c>
      <c r="AE102" s="43">
        <v>0</v>
      </c>
      <c r="AF102" s="43">
        <v>0</v>
      </c>
      <c r="AG102" s="43"/>
      <c r="AH102" s="43">
        <f>SUM(F102:AF102)</f>
        <v>0</v>
      </c>
    </row>
    <row r="103" spans="1:65" s="4" customFormat="1" x14ac:dyDescent="0.2">
      <c r="A103" s="4">
        <v>219</v>
      </c>
      <c r="B103" s="4" t="s">
        <v>301</v>
      </c>
      <c r="D103" s="4" t="s">
        <v>143</v>
      </c>
      <c r="F103" s="43">
        <v>360540</v>
      </c>
      <c r="G103" s="43">
        <v>0</v>
      </c>
      <c r="H103" s="43">
        <v>734515</v>
      </c>
      <c r="I103" s="43">
        <v>0</v>
      </c>
      <c r="J103" s="43">
        <v>0</v>
      </c>
      <c r="K103" s="43">
        <v>0</v>
      </c>
      <c r="L103" s="43">
        <v>26189</v>
      </c>
      <c r="M103" s="43">
        <v>0</v>
      </c>
      <c r="N103" s="43">
        <v>0</v>
      </c>
      <c r="O103" s="43">
        <v>0</v>
      </c>
      <c r="P103" s="43">
        <v>10629</v>
      </c>
      <c r="Q103" s="43">
        <v>0</v>
      </c>
      <c r="R103" s="43">
        <v>1279</v>
      </c>
      <c r="S103" s="43">
        <v>0</v>
      </c>
      <c r="T103" s="43">
        <v>25395</v>
      </c>
      <c r="U103" s="43">
        <v>0</v>
      </c>
      <c r="V103" s="43">
        <v>0</v>
      </c>
      <c r="W103" s="43">
        <v>0</v>
      </c>
      <c r="X103" s="43">
        <v>0</v>
      </c>
      <c r="Y103" s="43">
        <v>0</v>
      </c>
      <c r="Z103" s="43">
        <v>0</v>
      </c>
      <c r="AA103" s="43">
        <v>0</v>
      </c>
      <c r="AB103" s="43">
        <v>0</v>
      </c>
      <c r="AC103" s="43">
        <v>0</v>
      </c>
      <c r="AD103" s="43">
        <v>0</v>
      </c>
      <c r="AE103" s="43">
        <v>0</v>
      </c>
      <c r="AF103" s="43">
        <v>0</v>
      </c>
      <c r="AG103" s="43"/>
      <c r="AH103" s="43">
        <f t="shared" si="3"/>
        <v>1158547</v>
      </c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</row>
    <row r="104" spans="1:65" s="4" customFormat="1" x14ac:dyDescent="0.2">
      <c r="A104" s="4">
        <v>119</v>
      </c>
      <c r="B104" s="4" t="s">
        <v>144</v>
      </c>
      <c r="D104" s="4" t="s">
        <v>15</v>
      </c>
      <c r="F104" s="43">
        <v>4849994</v>
      </c>
      <c r="G104" s="43">
        <v>0</v>
      </c>
      <c r="H104" s="43">
        <v>2485890</v>
      </c>
      <c r="I104" s="43">
        <v>0</v>
      </c>
      <c r="J104" s="43">
        <v>699026</v>
      </c>
      <c r="K104" s="43">
        <v>0</v>
      </c>
      <c r="L104" s="43">
        <v>176744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8283</v>
      </c>
      <c r="S104" s="43">
        <v>0</v>
      </c>
      <c r="T104" s="43">
        <v>34998</v>
      </c>
      <c r="U104" s="43">
        <v>0</v>
      </c>
      <c r="V104" s="43">
        <v>16716</v>
      </c>
      <c r="W104" s="43">
        <v>0</v>
      </c>
      <c r="X104" s="43">
        <v>0</v>
      </c>
      <c r="Y104" s="43">
        <v>0</v>
      </c>
      <c r="Z104" s="43">
        <v>0</v>
      </c>
      <c r="AA104" s="43">
        <v>0</v>
      </c>
      <c r="AB104" s="43">
        <v>3969</v>
      </c>
      <c r="AC104" s="43">
        <v>0</v>
      </c>
      <c r="AD104" s="43">
        <v>0</v>
      </c>
      <c r="AE104" s="43">
        <v>0</v>
      </c>
      <c r="AF104" s="43">
        <v>0</v>
      </c>
      <c r="AG104" s="43"/>
      <c r="AH104" s="43">
        <f t="shared" si="3"/>
        <v>8275620</v>
      </c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</row>
    <row r="105" spans="1:65" s="4" customFormat="1" hidden="1" x14ac:dyDescent="0.2">
      <c r="A105" s="4">
        <v>181</v>
      </c>
      <c r="B105" s="35" t="s">
        <v>145</v>
      </c>
      <c r="C105" s="35"/>
      <c r="D105" s="35" t="s">
        <v>53</v>
      </c>
      <c r="E105" s="35"/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43">
        <v>0</v>
      </c>
      <c r="X105" s="43">
        <v>0</v>
      </c>
      <c r="Y105" s="43">
        <v>0</v>
      </c>
      <c r="Z105" s="43">
        <v>0</v>
      </c>
      <c r="AA105" s="43">
        <v>0</v>
      </c>
      <c r="AB105" s="43">
        <v>0</v>
      </c>
      <c r="AC105" s="43">
        <v>0</v>
      </c>
      <c r="AD105" s="43">
        <v>0</v>
      </c>
      <c r="AE105" s="43">
        <v>0</v>
      </c>
      <c r="AF105" s="43">
        <v>0</v>
      </c>
      <c r="AG105" s="43"/>
      <c r="AH105" s="43">
        <f>SUM(F105:AF105)</f>
        <v>0</v>
      </c>
    </row>
    <row r="106" spans="1:65" s="4" customFormat="1" hidden="1" x14ac:dyDescent="0.2">
      <c r="A106" s="4">
        <v>115</v>
      </c>
      <c r="B106" s="4" t="s">
        <v>32</v>
      </c>
      <c r="D106" s="4" t="s">
        <v>54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3">
        <v>0</v>
      </c>
      <c r="Z106" s="43">
        <v>0</v>
      </c>
      <c r="AA106" s="43">
        <v>0</v>
      </c>
      <c r="AB106" s="43">
        <v>0</v>
      </c>
      <c r="AC106" s="43">
        <v>0</v>
      </c>
      <c r="AD106" s="43">
        <v>0</v>
      </c>
      <c r="AE106" s="43">
        <v>0</v>
      </c>
      <c r="AF106" s="43">
        <v>0</v>
      </c>
      <c r="AG106" s="43"/>
      <c r="AH106" s="43">
        <f>SUM(F106:AF106)</f>
        <v>0</v>
      </c>
    </row>
    <row r="107" spans="1:65" s="4" customFormat="1" hidden="1" x14ac:dyDescent="0.2">
      <c r="A107" s="4">
        <v>115</v>
      </c>
      <c r="B107" s="4" t="s">
        <v>33</v>
      </c>
      <c r="D107" s="4" t="s">
        <v>24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/>
      <c r="AH107" s="43">
        <f>SUM(F107:AF107)</f>
        <v>0</v>
      </c>
    </row>
    <row r="108" spans="1:65" s="4" customFormat="1" x14ac:dyDescent="0.2">
      <c r="A108" s="4">
        <v>19</v>
      </c>
      <c r="B108" s="4" t="s">
        <v>146</v>
      </c>
      <c r="D108" s="4" t="s">
        <v>55</v>
      </c>
      <c r="F108" s="43">
        <v>505680</v>
      </c>
      <c r="G108" s="43">
        <v>0</v>
      </c>
      <c r="H108" s="43">
        <v>546390</v>
      </c>
      <c r="I108" s="43">
        <v>0</v>
      </c>
      <c r="J108" s="43">
        <v>78111</v>
      </c>
      <c r="K108" s="43">
        <v>0</v>
      </c>
      <c r="L108" s="43">
        <v>17004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575</v>
      </c>
      <c r="S108" s="43">
        <v>0</v>
      </c>
      <c r="T108" s="43">
        <v>189</v>
      </c>
      <c r="U108" s="43">
        <v>0</v>
      </c>
      <c r="V108" s="43">
        <v>4055</v>
      </c>
      <c r="W108" s="43">
        <v>0</v>
      </c>
      <c r="X108" s="43">
        <v>0</v>
      </c>
      <c r="Y108" s="43">
        <v>0</v>
      </c>
      <c r="Z108" s="43">
        <v>0</v>
      </c>
      <c r="AA108" s="43">
        <v>0</v>
      </c>
      <c r="AB108" s="43">
        <v>0</v>
      </c>
      <c r="AC108" s="43">
        <v>0</v>
      </c>
      <c r="AD108" s="43">
        <v>0</v>
      </c>
      <c r="AE108" s="43">
        <v>0</v>
      </c>
      <c r="AF108" s="43">
        <v>0</v>
      </c>
      <c r="AG108" s="43"/>
      <c r="AH108" s="43">
        <f>SUM(F108:AF108)</f>
        <v>1152004</v>
      </c>
    </row>
    <row r="109" spans="1:65" s="4" customFormat="1" hidden="1" x14ac:dyDescent="0.2">
      <c r="A109" s="4">
        <v>22</v>
      </c>
      <c r="B109" s="35" t="s">
        <v>302</v>
      </c>
      <c r="C109" s="35"/>
      <c r="D109" s="35" t="s">
        <v>41</v>
      </c>
      <c r="E109" s="35"/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  <c r="S109" s="43">
        <v>0</v>
      </c>
      <c r="T109" s="43">
        <v>0</v>
      </c>
      <c r="U109" s="43">
        <v>0</v>
      </c>
      <c r="V109" s="43">
        <v>0</v>
      </c>
      <c r="W109" s="43">
        <v>0</v>
      </c>
      <c r="X109" s="43">
        <v>0</v>
      </c>
      <c r="Y109" s="43">
        <v>0</v>
      </c>
      <c r="Z109" s="43">
        <v>0</v>
      </c>
      <c r="AA109" s="43">
        <v>0</v>
      </c>
      <c r="AB109" s="43">
        <v>0</v>
      </c>
      <c r="AC109" s="43">
        <v>0</v>
      </c>
      <c r="AD109" s="43">
        <v>0</v>
      </c>
      <c r="AE109" s="43">
        <v>0</v>
      </c>
      <c r="AF109" s="43">
        <v>0</v>
      </c>
      <c r="AG109" s="43"/>
      <c r="AH109" s="43">
        <f>SUM(F109:AF109)</f>
        <v>0</v>
      </c>
    </row>
    <row r="110" spans="1:65" s="4" customFormat="1" x14ac:dyDescent="0.2">
      <c r="A110" s="4">
        <v>226</v>
      </c>
      <c r="B110" s="4" t="s">
        <v>147</v>
      </c>
      <c r="D110" s="4" t="s">
        <v>90</v>
      </c>
      <c r="F110" s="43">
        <v>1129592</v>
      </c>
      <c r="G110" s="43">
        <v>0</v>
      </c>
      <c r="H110" s="43">
        <v>1287617</v>
      </c>
      <c r="I110" s="43">
        <v>0</v>
      </c>
      <c r="J110" s="43">
        <v>176162</v>
      </c>
      <c r="K110" s="43">
        <v>0</v>
      </c>
      <c r="L110" s="43">
        <v>88522</v>
      </c>
      <c r="M110" s="43">
        <v>0</v>
      </c>
      <c r="N110" s="43">
        <v>0</v>
      </c>
      <c r="O110" s="43">
        <v>0</v>
      </c>
      <c r="P110" s="43">
        <v>14941</v>
      </c>
      <c r="Q110" s="43">
        <v>0</v>
      </c>
      <c r="R110" s="43">
        <v>23784</v>
      </c>
      <c r="S110" s="43">
        <v>0</v>
      </c>
      <c r="T110" s="43">
        <v>2483</v>
      </c>
      <c r="U110" s="43">
        <v>0</v>
      </c>
      <c r="V110" s="43">
        <v>16125</v>
      </c>
      <c r="W110" s="43">
        <v>0</v>
      </c>
      <c r="X110" s="43">
        <v>0</v>
      </c>
      <c r="Y110" s="43">
        <v>0</v>
      </c>
      <c r="Z110" s="43">
        <v>99</v>
      </c>
      <c r="AA110" s="43">
        <v>0</v>
      </c>
      <c r="AB110" s="43">
        <v>0</v>
      </c>
      <c r="AC110" s="43">
        <v>0</v>
      </c>
      <c r="AD110" s="43">
        <v>0</v>
      </c>
      <c r="AE110" s="43">
        <v>0</v>
      </c>
      <c r="AF110" s="43">
        <v>0</v>
      </c>
      <c r="AG110" s="43"/>
      <c r="AH110" s="43">
        <f t="shared" si="3"/>
        <v>2739325</v>
      </c>
    </row>
    <row r="111" spans="1:65" s="4" customFormat="1" hidden="1" x14ac:dyDescent="0.2">
      <c r="A111" s="4">
        <v>12</v>
      </c>
      <c r="B111" s="4" t="s">
        <v>148</v>
      </c>
      <c r="D111" s="4" t="s">
        <v>39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3">
        <v>0</v>
      </c>
      <c r="Z111" s="43">
        <v>0</v>
      </c>
      <c r="AA111" s="43">
        <v>0</v>
      </c>
      <c r="AB111" s="43">
        <v>0</v>
      </c>
      <c r="AC111" s="43">
        <v>0</v>
      </c>
      <c r="AD111" s="43">
        <v>0</v>
      </c>
      <c r="AE111" s="43">
        <v>0</v>
      </c>
      <c r="AF111" s="43">
        <v>0</v>
      </c>
      <c r="AG111" s="43"/>
      <c r="AH111" s="43">
        <f t="shared" si="3"/>
        <v>0</v>
      </c>
    </row>
    <row r="112" spans="1:65" s="4" customFormat="1" x14ac:dyDescent="0.2">
      <c r="A112" s="4">
        <v>24</v>
      </c>
      <c r="B112" s="4" t="s">
        <v>583</v>
      </c>
      <c r="D112" s="4" t="s">
        <v>150</v>
      </c>
      <c r="F112" s="43">
        <v>3007985</v>
      </c>
      <c r="G112" s="43">
        <v>0</v>
      </c>
      <c r="H112" s="43">
        <v>0</v>
      </c>
      <c r="I112" s="43">
        <v>0</v>
      </c>
      <c r="J112" s="43">
        <v>4535777</v>
      </c>
      <c r="K112" s="43">
        <v>0</v>
      </c>
      <c r="L112" s="43">
        <v>180658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3">
        <v>1695</v>
      </c>
      <c r="S112" s="43">
        <v>0</v>
      </c>
      <c r="T112" s="43">
        <v>68776</v>
      </c>
      <c r="U112" s="43">
        <v>0</v>
      </c>
      <c r="V112" s="43">
        <f>66896+1000</f>
        <v>67896</v>
      </c>
      <c r="W112" s="43">
        <v>0</v>
      </c>
      <c r="X112" s="43">
        <v>0</v>
      </c>
      <c r="Y112" s="43">
        <v>0</v>
      </c>
      <c r="Z112" s="43">
        <v>108495</v>
      </c>
      <c r="AA112" s="43">
        <v>0</v>
      </c>
      <c r="AB112" s="43">
        <v>0</v>
      </c>
      <c r="AC112" s="43">
        <v>0</v>
      </c>
      <c r="AD112" s="43">
        <v>0</v>
      </c>
      <c r="AE112" s="43">
        <v>0</v>
      </c>
      <c r="AF112" s="43">
        <v>0</v>
      </c>
      <c r="AG112" s="43"/>
      <c r="AH112" s="43">
        <f t="shared" si="3"/>
        <v>7971282</v>
      </c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</row>
    <row r="113" spans="1:65" s="4" customFormat="1" hidden="1" x14ac:dyDescent="0.2">
      <c r="A113" s="4">
        <v>18</v>
      </c>
      <c r="B113" s="4" t="s">
        <v>151</v>
      </c>
      <c r="D113" s="4" t="s">
        <v>79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0</v>
      </c>
      <c r="Y113" s="43">
        <v>0</v>
      </c>
      <c r="Z113" s="43">
        <v>0</v>
      </c>
      <c r="AA113" s="43">
        <v>0</v>
      </c>
      <c r="AB113" s="43">
        <v>0</v>
      </c>
      <c r="AC113" s="43">
        <v>0</v>
      </c>
      <c r="AD113" s="43">
        <v>0</v>
      </c>
      <c r="AE113" s="43">
        <v>0</v>
      </c>
      <c r="AF113" s="43">
        <v>0</v>
      </c>
      <c r="AG113" s="43"/>
      <c r="AH113" s="43">
        <f>SUM(F113:AF113)</f>
        <v>0</v>
      </c>
    </row>
    <row r="114" spans="1:65" s="4" customFormat="1" x14ac:dyDescent="0.2">
      <c r="A114" s="4">
        <v>20</v>
      </c>
      <c r="B114" s="4" t="s">
        <v>584</v>
      </c>
      <c r="D114" s="4" t="s">
        <v>152</v>
      </c>
      <c r="F114" s="43">
        <v>0</v>
      </c>
      <c r="G114" s="43">
        <v>0</v>
      </c>
      <c r="H114" s="43">
        <v>1120307</v>
      </c>
      <c r="I114" s="43">
        <v>0</v>
      </c>
      <c r="J114" s="43">
        <v>0</v>
      </c>
      <c r="K114" s="43">
        <v>0</v>
      </c>
      <c r="L114" s="43">
        <v>35620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18292</v>
      </c>
      <c r="S114" s="43">
        <v>0</v>
      </c>
      <c r="T114" s="43">
        <v>1172</v>
      </c>
      <c r="U114" s="43">
        <v>0</v>
      </c>
      <c r="V114" s="43">
        <v>319998</v>
      </c>
      <c r="W114" s="43">
        <v>0</v>
      </c>
      <c r="X114" s="43">
        <v>0</v>
      </c>
      <c r="Y114" s="43">
        <v>0</v>
      </c>
      <c r="Z114" s="43">
        <v>0</v>
      </c>
      <c r="AA114" s="43">
        <v>0</v>
      </c>
      <c r="AB114" s="43">
        <v>0</v>
      </c>
      <c r="AC114" s="43">
        <v>0</v>
      </c>
      <c r="AD114" s="43">
        <v>0</v>
      </c>
      <c r="AE114" s="43">
        <v>0</v>
      </c>
      <c r="AF114" s="43">
        <v>0</v>
      </c>
      <c r="AG114" s="43"/>
      <c r="AH114" s="43">
        <f t="shared" si="3"/>
        <v>1495389</v>
      </c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</row>
    <row r="115" spans="1:65" s="4" customFormat="1" hidden="1" x14ac:dyDescent="0.2">
      <c r="A115" s="4">
        <v>102</v>
      </c>
      <c r="B115" s="35" t="s">
        <v>153</v>
      </c>
      <c r="C115" s="35"/>
      <c r="D115" s="35" t="s">
        <v>41</v>
      </c>
      <c r="E115" s="35"/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0</v>
      </c>
      <c r="T115" s="43">
        <v>0</v>
      </c>
      <c r="U115" s="43">
        <v>0</v>
      </c>
      <c r="V115" s="43">
        <v>0</v>
      </c>
      <c r="W115" s="43">
        <v>0</v>
      </c>
      <c r="X115" s="43">
        <v>0</v>
      </c>
      <c r="Y115" s="43">
        <v>0</v>
      </c>
      <c r="Z115" s="43">
        <v>0</v>
      </c>
      <c r="AA115" s="43">
        <v>0</v>
      </c>
      <c r="AB115" s="43">
        <v>0</v>
      </c>
      <c r="AC115" s="43">
        <v>0</v>
      </c>
      <c r="AD115" s="43">
        <v>0</v>
      </c>
      <c r="AE115" s="43">
        <v>0</v>
      </c>
      <c r="AF115" s="43">
        <v>0</v>
      </c>
      <c r="AG115" s="43"/>
      <c r="AH115" s="43">
        <f>SUM(F115:AF115)</f>
        <v>0</v>
      </c>
    </row>
    <row r="116" spans="1:65" s="4" customFormat="1" x14ac:dyDescent="0.2">
      <c r="A116" s="4">
        <v>4</v>
      </c>
      <c r="B116" s="4" t="s">
        <v>154</v>
      </c>
      <c r="D116" s="4" t="s">
        <v>59</v>
      </c>
      <c r="F116" s="43">
        <v>0</v>
      </c>
      <c r="G116" s="43">
        <v>0</v>
      </c>
      <c r="H116" s="43">
        <v>60734</v>
      </c>
      <c r="I116" s="43">
        <v>0</v>
      </c>
      <c r="J116" s="43">
        <v>0</v>
      </c>
      <c r="K116" s="43">
        <v>0</v>
      </c>
      <c r="L116" s="43">
        <v>1544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1682</v>
      </c>
      <c r="S116" s="43">
        <v>0</v>
      </c>
      <c r="T116" s="43">
        <v>3</v>
      </c>
      <c r="U116" s="43">
        <v>0</v>
      </c>
      <c r="V116" s="43">
        <v>1249</v>
      </c>
      <c r="W116" s="43">
        <v>0</v>
      </c>
      <c r="X116" s="43">
        <v>0</v>
      </c>
      <c r="Y116" s="43">
        <v>0</v>
      </c>
      <c r="Z116" s="43">
        <v>0</v>
      </c>
      <c r="AA116" s="43">
        <v>0</v>
      </c>
      <c r="AB116" s="43">
        <v>0</v>
      </c>
      <c r="AC116" s="43">
        <v>0</v>
      </c>
      <c r="AD116" s="43">
        <v>0</v>
      </c>
      <c r="AE116" s="43">
        <v>0</v>
      </c>
      <c r="AF116" s="43">
        <v>0</v>
      </c>
      <c r="AG116" s="43"/>
      <c r="AH116" s="43">
        <f t="shared" si="3"/>
        <v>65212</v>
      </c>
    </row>
    <row r="117" spans="1:65" s="4" customFormat="1" x14ac:dyDescent="0.2">
      <c r="A117" s="4">
        <v>173</v>
      </c>
      <c r="B117" s="4" t="s">
        <v>155</v>
      </c>
      <c r="D117" s="4" t="s">
        <v>156</v>
      </c>
      <c r="F117" s="43">
        <v>271091</v>
      </c>
      <c r="G117" s="43">
        <v>0</v>
      </c>
      <c r="H117" s="43">
        <v>353543</v>
      </c>
      <c r="I117" s="43">
        <v>0</v>
      </c>
      <c r="J117" s="43">
        <v>0</v>
      </c>
      <c r="K117" s="43">
        <v>0</v>
      </c>
      <c r="L117" s="43">
        <v>13511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43">
        <v>411</v>
      </c>
      <c r="U117" s="43">
        <v>0</v>
      </c>
      <c r="V117" s="43">
        <v>0</v>
      </c>
      <c r="W117" s="43">
        <v>0</v>
      </c>
      <c r="X117" s="43">
        <v>0</v>
      </c>
      <c r="Y117" s="43">
        <v>0</v>
      </c>
      <c r="Z117" s="43">
        <v>0</v>
      </c>
      <c r="AA117" s="43">
        <v>0</v>
      </c>
      <c r="AB117" s="43">
        <v>0</v>
      </c>
      <c r="AC117" s="43">
        <v>0</v>
      </c>
      <c r="AD117" s="43">
        <v>0</v>
      </c>
      <c r="AE117" s="43">
        <v>0</v>
      </c>
      <c r="AF117" s="43">
        <v>0</v>
      </c>
      <c r="AG117" s="43"/>
      <c r="AH117" s="43">
        <f t="shared" si="3"/>
        <v>638556</v>
      </c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</row>
    <row r="118" spans="1:65" s="4" customFormat="1" hidden="1" x14ac:dyDescent="0.2">
      <c r="A118" s="4">
        <v>168</v>
      </c>
      <c r="B118" s="4" t="s">
        <v>303</v>
      </c>
      <c r="D118" s="4" t="s">
        <v>41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  <c r="X118" s="43">
        <v>0</v>
      </c>
      <c r="Y118" s="43">
        <v>0</v>
      </c>
      <c r="Z118" s="43">
        <v>0</v>
      </c>
      <c r="AA118" s="43">
        <v>0</v>
      </c>
      <c r="AB118" s="43">
        <v>0</v>
      </c>
      <c r="AC118" s="43">
        <v>0</v>
      </c>
      <c r="AD118" s="43">
        <v>0</v>
      </c>
      <c r="AE118" s="43">
        <v>0</v>
      </c>
      <c r="AF118" s="43">
        <v>0</v>
      </c>
      <c r="AG118" s="43"/>
      <c r="AH118" s="43">
        <f>SUM(F118:AF118)</f>
        <v>0</v>
      </c>
    </row>
    <row r="119" spans="1:65" s="4" customFormat="1" hidden="1" x14ac:dyDescent="0.2">
      <c r="A119" s="4">
        <v>144</v>
      </c>
      <c r="B119" s="4" t="s">
        <v>157</v>
      </c>
      <c r="D119" s="4" t="s">
        <v>158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0</v>
      </c>
      <c r="U119" s="43">
        <v>0</v>
      </c>
      <c r="V119" s="43">
        <v>0</v>
      </c>
      <c r="W119" s="43">
        <v>0</v>
      </c>
      <c r="X119" s="43">
        <v>0</v>
      </c>
      <c r="Y119" s="43">
        <v>0</v>
      </c>
      <c r="Z119" s="43">
        <v>0</v>
      </c>
      <c r="AA119" s="43">
        <v>0</v>
      </c>
      <c r="AB119" s="43">
        <v>0</v>
      </c>
      <c r="AC119" s="43">
        <v>0</v>
      </c>
      <c r="AD119" s="43">
        <v>0</v>
      </c>
      <c r="AE119" s="43">
        <v>0</v>
      </c>
      <c r="AF119" s="43">
        <v>0</v>
      </c>
      <c r="AG119" s="43"/>
      <c r="AH119" s="43">
        <f t="shared" si="3"/>
        <v>0</v>
      </c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</row>
    <row r="120" spans="1:65" s="4" customFormat="1" hidden="1" x14ac:dyDescent="0.2">
      <c r="A120" s="4">
        <v>198</v>
      </c>
      <c r="B120" s="35" t="s">
        <v>449</v>
      </c>
      <c r="C120" s="35"/>
      <c r="D120" s="35" t="s">
        <v>55</v>
      </c>
      <c r="E120" s="35"/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0</v>
      </c>
      <c r="AC120" s="43">
        <v>0</v>
      </c>
      <c r="AD120" s="43">
        <v>0</v>
      </c>
      <c r="AE120" s="43">
        <v>0</v>
      </c>
      <c r="AF120" s="43">
        <v>0</v>
      </c>
      <c r="AG120" s="43"/>
      <c r="AH120" s="43">
        <f>SUM(F120:AF120)</f>
        <v>0</v>
      </c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</row>
    <row r="121" spans="1:65" s="4" customFormat="1" x14ac:dyDescent="0.2">
      <c r="A121" s="4">
        <v>33</v>
      </c>
      <c r="B121" s="4" t="s">
        <v>159</v>
      </c>
      <c r="D121" s="4" t="s">
        <v>56</v>
      </c>
      <c r="F121" s="43">
        <v>0</v>
      </c>
      <c r="G121" s="43">
        <v>0</v>
      </c>
      <c r="H121" s="43">
        <v>1076088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50354</v>
      </c>
      <c r="Q121" s="43">
        <v>0</v>
      </c>
      <c r="R121" s="43">
        <v>4909</v>
      </c>
      <c r="S121" s="43">
        <v>0</v>
      </c>
      <c r="T121" s="43">
        <v>15944</v>
      </c>
      <c r="U121" s="43">
        <v>0</v>
      </c>
      <c r="V121" s="43">
        <v>196</v>
      </c>
      <c r="W121" s="43">
        <v>0</v>
      </c>
      <c r="X121" s="43">
        <v>0</v>
      </c>
      <c r="Y121" s="43">
        <v>0</v>
      </c>
      <c r="Z121" s="43">
        <v>0</v>
      </c>
      <c r="AA121" s="43">
        <v>0</v>
      </c>
      <c r="AB121" s="43">
        <v>0</v>
      </c>
      <c r="AC121" s="43">
        <v>0</v>
      </c>
      <c r="AD121" s="43">
        <v>0</v>
      </c>
      <c r="AE121" s="43">
        <v>0</v>
      </c>
      <c r="AF121" s="43">
        <v>0</v>
      </c>
      <c r="AG121" s="43"/>
      <c r="AH121" s="43">
        <f>SUM(F121:AF121)</f>
        <v>1147491</v>
      </c>
    </row>
    <row r="122" spans="1:65" s="4" customFormat="1" x14ac:dyDescent="0.2">
      <c r="A122" s="4">
        <v>166</v>
      </c>
      <c r="B122" s="4" t="s">
        <v>160</v>
      </c>
      <c r="D122" s="4" t="s">
        <v>58</v>
      </c>
      <c r="F122" s="43">
        <v>93470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156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1814</v>
      </c>
      <c r="S122" s="43">
        <v>0</v>
      </c>
      <c r="T122" s="43">
        <v>2043</v>
      </c>
      <c r="U122" s="43">
        <v>0</v>
      </c>
      <c r="V122" s="43">
        <v>0</v>
      </c>
      <c r="W122" s="43">
        <v>0</v>
      </c>
      <c r="X122" s="43">
        <v>0</v>
      </c>
      <c r="Y122" s="43">
        <v>0</v>
      </c>
      <c r="Z122" s="43">
        <v>0</v>
      </c>
      <c r="AA122" s="43">
        <v>0</v>
      </c>
      <c r="AB122" s="43">
        <v>0</v>
      </c>
      <c r="AC122" s="43">
        <v>0</v>
      </c>
      <c r="AD122" s="43">
        <v>0</v>
      </c>
      <c r="AE122" s="43">
        <v>0</v>
      </c>
      <c r="AF122" s="43">
        <v>0</v>
      </c>
      <c r="AG122" s="43"/>
      <c r="AH122" s="43">
        <f t="shared" si="3"/>
        <v>97483</v>
      </c>
    </row>
    <row r="123" spans="1:65" s="4" customFormat="1" hidden="1" x14ac:dyDescent="0.2">
      <c r="A123" s="4">
        <v>143</v>
      </c>
      <c r="B123" s="4" t="s">
        <v>585</v>
      </c>
      <c r="D123" s="4" t="s">
        <v>161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43">
        <v>0</v>
      </c>
      <c r="AB123" s="43">
        <v>0</v>
      </c>
      <c r="AC123" s="43">
        <v>0</v>
      </c>
      <c r="AD123" s="43">
        <v>0</v>
      </c>
      <c r="AE123" s="43">
        <v>0</v>
      </c>
      <c r="AF123" s="43">
        <v>0</v>
      </c>
      <c r="AG123" s="43"/>
      <c r="AH123" s="43">
        <f>SUM(F123:AF123)</f>
        <v>0</v>
      </c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</row>
    <row r="124" spans="1:65" s="4" customFormat="1" hidden="1" x14ac:dyDescent="0.2">
      <c r="A124" s="4">
        <v>47</v>
      </c>
      <c r="B124" s="4" t="s">
        <v>304</v>
      </c>
      <c r="D124" s="4" t="s">
        <v>39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3">
        <v>0</v>
      </c>
      <c r="Z124" s="43">
        <v>0</v>
      </c>
      <c r="AA124" s="43">
        <v>0</v>
      </c>
      <c r="AB124" s="43">
        <v>0</v>
      </c>
      <c r="AC124" s="43">
        <v>0</v>
      </c>
      <c r="AD124" s="43">
        <v>0</v>
      </c>
      <c r="AE124" s="43">
        <v>0</v>
      </c>
      <c r="AF124" s="43">
        <v>0</v>
      </c>
      <c r="AG124" s="43"/>
      <c r="AH124" s="43">
        <f>SUM(F124:AF124)</f>
        <v>0</v>
      </c>
    </row>
    <row r="125" spans="1:65" s="4" customFormat="1" hidden="1" x14ac:dyDescent="0.2">
      <c r="A125" s="4">
        <v>42</v>
      </c>
      <c r="B125" s="35" t="s">
        <v>450</v>
      </c>
      <c r="C125" s="35"/>
      <c r="D125" s="35" t="s">
        <v>54</v>
      </c>
      <c r="E125" s="35"/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3">
        <v>0</v>
      </c>
      <c r="Z125" s="43">
        <v>0</v>
      </c>
      <c r="AA125" s="43">
        <v>0</v>
      </c>
      <c r="AB125" s="43">
        <v>0</v>
      </c>
      <c r="AC125" s="43">
        <v>0</v>
      </c>
      <c r="AD125" s="43">
        <v>0</v>
      </c>
      <c r="AE125" s="43">
        <v>0</v>
      </c>
      <c r="AF125" s="43">
        <v>0</v>
      </c>
      <c r="AG125" s="43"/>
      <c r="AH125" s="43">
        <f>SUM(F125:AF125)</f>
        <v>0</v>
      </c>
    </row>
    <row r="126" spans="1:65" s="4" customFormat="1" x14ac:dyDescent="0.2">
      <c r="A126" s="4">
        <v>151</v>
      </c>
      <c r="B126" s="4" t="s">
        <v>163</v>
      </c>
      <c r="D126" s="4" t="s">
        <v>20</v>
      </c>
      <c r="F126" s="43">
        <v>1691607</v>
      </c>
      <c r="G126" s="43">
        <v>0</v>
      </c>
      <c r="H126" s="43">
        <v>869354</v>
      </c>
      <c r="I126" s="43">
        <v>0</v>
      </c>
      <c r="J126" s="43">
        <v>222934</v>
      </c>
      <c r="K126" s="43">
        <v>0</v>
      </c>
      <c r="L126" s="43">
        <v>67455</v>
      </c>
      <c r="M126" s="43">
        <v>0</v>
      </c>
      <c r="N126" s="43">
        <v>0</v>
      </c>
      <c r="O126" s="43">
        <v>0</v>
      </c>
      <c r="P126" s="43">
        <v>10751</v>
      </c>
      <c r="Q126" s="43">
        <v>0</v>
      </c>
      <c r="R126" s="43">
        <v>0</v>
      </c>
      <c r="S126" s="43">
        <v>0</v>
      </c>
      <c r="T126" s="43">
        <v>1498</v>
      </c>
      <c r="U126" s="43">
        <v>0</v>
      </c>
      <c r="V126" s="43">
        <v>615</v>
      </c>
      <c r="W126" s="43">
        <v>0</v>
      </c>
      <c r="X126" s="43">
        <v>0</v>
      </c>
      <c r="Y126" s="43">
        <v>0</v>
      </c>
      <c r="Z126" s="43">
        <v>13000</v>
      </c>
      <c r="AA126" s="43">
        <v>0</v>
      </c>
      <c r="AB126" s="43">
        <v>0</v>
      </c>
      <c r="AC126" s="43">
        <v>0</v>
      </c>
      <c r="AD126" s="43">
        <v>0</v>
      </c>
      <c r="AE126" s="43">
        <v>0</v>
      </c>
      <c r="AF126" s="43">
        <v>0</v>
      </c>
      <c r="AG126" s="43"/>
      <c r="AH126" s="43">
        <f t="shared" si="3"/>
        <v>2877214</v>
      </c>
    </row>
    <row r="127" spans="1:65" s="4" customFormat="1" hidden="1" x14ac:dyDescent="0.2">
      <c r="A127" s="4">
        <v>10</v>
      </c>
      <c r="B127" s="4" t="s">
        <v>164</v>
      </c>
      <c r="D127" s="4" t="s">
        <v>165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  <c r="Z127" s="43">
        <v>0</v>
      </c>
      <c r="AA127" s="43">
        <v>0</v>
      </c>
      <c r="AB127" s="43">
        <v>0</v>
      </c>
      <c r="AC127" s="43">
        <v>0</v>
      </c>
      <c r="AD127" s="43">
        <v>0</v>
      </c>
      <c r="AE127" s="43">
        <v>0</v>
      </c>
      <c r="AF127" s="43">
        <v>0</v>
      </c>
      <c r="AG127" s="43"/>
      <c r="AH127" s="43">
        <f>SUM(F127:AF127)</f>
        <v>0</v>
      </c>
    </row>
    <row r="128" spans="1:65" s="4" customFormat="1" hidden="1" x14ac:dyDescent="0.2">
      <c r="A128" s="4">
        <v>63</v>
      </c>
      <c r="B128" s="4" t="s">
        <v>35</v>
      </c>
      <c r="D128" s="4" t="s">
        <v>10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0</v>
      </c>
      <c r="X128" s="43">
        <v>0</v>
      </c>
      <c r="Y128" s="43">
        <v>0</v>
      </c>
      <c r="Z128" s="43">
        <v>0</v>
      </c>
      <c r="AA128" s="43">
        <v>0</v>
      </c>
      <c r="AB128" s="43">
        <v>0</v>
      </c>
      <c r="AC128" s="43">
        <v>0</v>
      </c>
      <c r="AD128" s="43">
        <v>0</v>
      </c>
      <c r="AE128" s="43">
        <v>0</v>
      </c>
      <c r="AF128" s="43">
        <v>0</v>
      </c>
      <c r="AG128" s="43"/>
      <c r="AH128" s="43">
        <f>SUM(F128:AF128)</f>
        <v>0</v>
      </c>
    </row>
    <row r="129" spans="1:65" s="4" customFormat="1" hidden="1" x14ac:dyDescent="0.2">
      <c r="A129" s="4">
        <v>244</v>
      </c>
      <c r="B129" s="4" t="s">
        <v>35</v>
      </c>
      <c r="D129" s="4" t="s">
        <v>10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0</v>
      </c>
      <c r="S129" s="43">
        <v>0</v>
      </c>
      <c r="T129" s="43">
        <v>0</v>
      </c>
      <c r="U129" s="43">
        <v>0</v>
      </c>
      <c r="V129" s="43">
        <v>0</v>
      </c>
      <c r="W129" s="43">
        <v>0</v>
      </c>
      <c r="X129" s="43">
        <v>0</v>
      </c>
      <c r="Y129" s="43">
        <v>0</v>
      </c>
      <c r="Z129" s="43">
        <v>0</v>
      </c>
      <c r="AA129" s="43">
        <v>0</v>
      </c>
      <c r="AB129" s="43">
        <v>0</v>
      </c>
      <c r="AC129" s="43">
        <v>0</v>
      </c>
      <c r="AD129" s="43">
        <v>0</v>
      </c>
      <c r="AE129" s="43">
        <v>0</v>
      </c>
      <c r="AF129" s="43">
        <v>0</v>
      </c>
      <c r="AG129" s="43"/>
      <c r="AH129" s="43">
        <f t="shared" si="3"/>
        <v>0</v>
      </c>
    </row>
    <row r="130" spans="1:65" s="4" customFormat="1" x14ac:dyDescent="0.2">
      <c r="A130" s="4">
        <v>201</v>
      </c>
      <c r="B130" s="4" t="s">
        <v>166</v>
      </c>
      <c r="D130" s="4" t="s">
        <v>156</v>
      </c>
      <c r="F130" s="43">
        <v>1134065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20959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29256</v>
      </c>
      <c r="S130" s="43">
        <v>0</v>
      </c>
      <c r="T130" s="43">
        <v>796</v>
      </c>
      <c r="U130" s="43">
        <v>0</v>
      </c>
      <c r="V130" s="43">
        <v>12607</v>
      </c>
      <c r="W130" s="43">
        <v>0</v>
      </c>
      <c r="X130" s="43">
        <v>0</v>
      </c>
      <c r="Y130" s="43">
        <v>0</v>
      </c>
      <c r="Z130" s="43">
        <v>7675</v>
      </c>
      <c r="AA130" s="43">
        <v>0</v>
      </c>
      <c r="AB130" s="43">
        <v>0</v>
      </c>
      <c r="AC130" s="43">
        <v>0</v>
      </c>
      <c r="AD130" s="43">
        <v>0</v>
      </c>
      <c r="AE130" s="43">
        <v>0</v>
      </c>
      <c r="AF130" s="43">
        <v>0</v>
      </c>
      <c r="AG130" s="43"/>
      <c r="AH130" s="43">
        <f t="shared" si="3"/>
        <v>1205358</v>
      </c>
    </row>
    <row r="131" spans="1:65" s="4" customFormat="1" hidden="1" x14ac:dyDescent="0.2">
      <c r="A131" s="4">
        <v>7</v>
      </c>
      <c r="B131" s="35" t="s">
        <v>335</v>
      </c>
      <c r="C131" s="35"/>
      <c r="D131" s="35" t="s">
        <v>51</v>
      </c>
      <c r="E131" s="35"/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43">
        <v>0</v>
      </c>
      <c r="Y131" s="43">
        <v>0</v>
      </c>
      <c r="Z131" s="43">
        <v>0</v>
      </c>
      <c r="AA131" s="43">
        <v>0</v>
      </c>
      <c r="AB131" s="43">
        <v>0</v>
      </c>
      <c r="AC131" s="43">
        <v>0</v>
      </c>
      <c r="AD131" s="43">
        <v>0</v>
      </c>
      <c r="AE131" s="43">
        <v>0</v>
      </c>
      <c r="AF131" s="43">
        <v>0</v>
      </c>
      <c r="AG131" s="43"/>
      <c r="AH131" s="43">
        <f>SUM(F131:AF131)</f>
        <v>0</v>
      </c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</row>
    <row r="132" spans="1:65" s="4" customFormat="1" hidden="1" x14ac:dyDescent="0.2">
      <c r="A132" s="4">
        <v>239</v>
      </c>
      <c r="B132" s="4" t="s">
        <v>167</v>
      </c>
      <c r="D132" s="4" t="s">
        <v>168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0</v>
      </c>
      <c r="S132" s="43">
        <v>0</v>
      </c>
      <c r="T132" s="43">
        <v>0</v>
      </c>
      <c r="U132" s="43">
        <v>0</v>
      </c>
      <c r="V132" s="43">
        <v>0</v>
      </c>
      <c r="W132" s="43">
        <v>0</v>
      </c>
      <c r="X132" s="43">
        <v>0</v>
      </c>
      <c r="Y132" s="43">
        <v>0</v>
      </c>
      <c r="Z132" s="43">
        <v>0</v>
      </c>
      <c r="AA132" s="43">
        <v>0</v>
      </c>
      <c r="AB132" s="43">
        <v>0</v>
      </c>
      <c r="AC132" s="43">
        <v>0</v>
      </c>
      <c r="AD132" s="43">
        <v>0</v>
      </c>
      <c r="AE132" s="43">
        <v>0</v>
      </c>
      <c r="AF132" s="43">
        <v>0</v>
      </c>
      <c r="AG132" s="43"/>
      <c r="AH132" s="43">
        <f>SUM(F132:AF132)</f>
        <v>0</v>
      </c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</row>
    <row r="133" spans="1:65" s="4" customFormat="1" hidden="1" x14ac:dyDescent="0.2">
      <c r="A133" s="4">
        <v>210</v>
      </c>
      <c r="B133" s="35" t="s">
        <v>334</v>
      </c>
      <c r="C133" s="35"/>
      <c r="D133" s="35" t="s">
        <v>57</v>
      </c>
      <c r="E133" s="35"/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3">
        <v>0</v>
      </c>
      <c r="X133" s="43">
        <v>0</v>
      </c>
      <c r="Y133" s="43">
        <v>0</v>
      </c>
      <c r="Z133" s="43">
        <v>0</v>
      </c>
      <c r="AA133" s="43">
        <v>0</v>
      </c>
      <c r="AB133" s="43">
        <v>0</v>
      </c>
      <c r="AC133" s="43">
        <v>0</v>
      </c>
      <c r="AD133" s="43">
        <v>0</v>
      </c>
      <c r="AE133" s="43">
        <v>0</v>
      </c>
      <c r="AF133" s="43">
        <v>0</v>
      </c>
      <c r="AG133" s="43"/>
      <c r="AH133" s="43">
        <f>SUM(F133:AF133)</f>
        <v>0</v>
      </c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</row>
    <row r="134" spans="1:65" s="4" customFormat="1" x14ac:dyDescent="0.2">
      <c r="A134" s="4">
        <v>66</v>
      </c>
      <c r="B134" s="4" t="s">
        <v>169</v>
      </c>
      <c r="D134" s="4" t="s">
        <v>43</v>
      </c>
      <c r="F134" s="43">
        <v>751361.94</v>
      </c>
      <c r="G134" s="43">
        <v>0</v>
      </c>
      <c r="H134" s="43">
        <v>30000</v>
      </c>
      <c r="I134" s="43">
        <v>0</v>
      </c>
      <c r="J134" s="43">
        <v>0</v>
      </c>
      <c r="K134" s="43">
        <v>0</v>
      </c>
      <c r="L134" s="43">
        <v>8967.2000000000007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10409.81</v>
      </c>
      <c r="S134" s="43">
        <v>0</v>
      </c>
      <c r="T134" s="43">
        <v>1012.8</v>
      </c>
      <c r="U134" s="43">
        <v>0</v>
      </c>
      <c r="V134" s="43">
        <v>21957.53</v>
      </c>
      <c r="W134" s="43">
        <v>0</v>
      </c>
      <c r="X134" s="43">
        <v>0</v>
      </c>
      <c r="Y134" s="43">
        <v>0</v>
      </c>
      <c r="Z134" s="43">
        <v>0</v>
      </c>
      <c r="AA134" s="43">
        <v>0</v>
      </c>
      <c r="AB134" s="43">
        <v>0</v>
      </c>
      <c r="AC134" s="43">
        <v>0</v>
      </c>
      <c r="AD134" s="43">
        <v>0</v>
      </c>
      <c r="AE134" s="43">
        <v>0</v>
      </c>
      <c r="AF134" s="43">
        <v>0</v>
      </c>
      <c r="AG134" s="43"/>
      <c r="AH134" s="43">
        <f t="shared" si="3"/>
        <v>823709.28</v>
      </c>
    </row>
    <row r="135" spans="1:65" s="4" customFormat="1" hidden="1" x14ac:dyDescent="0.2">
      <c r="A135" s="4">
        <v>242</v>
      </c>
      <c r="B135" s="4" t="s">
        <v>170</v>
      </c>
      <c r="D135" s="4" t="s">
        <v>171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/>
      <c r="AH135" s="43">
        <f>SUM(F135:AF135)</f>
        <v>0</v>
      </c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</row>
    <row r="136" spans="1:65" s="4" customFormat="1" hidden="1" x14ac:dyDescent="0.2">
      <c r="A136" s="4">
        <v>48</v>
      </c>
      <c r="B136" s="35" t="s">
        <v>172</v>
      </c>
      <c r="C136" s="35"/>
      <c r="D136" s="35" t="s">
        <v>41</v>
      </c>
      <c r="E136" s="35"/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0</v>
      </c>
      <c r="AB136" s="43">
        <v>0</v>
      </c>
      <c r="AC136" s="43">
        <v>0</v>
      </c>
      <c r="AD136" s="43">
        <v>0</v>
      </c>
      <c r="AE136" s="43">
        <v>0</v>
      </c>
      <c r="AF136" s="43">
        <v>0</v>
      </c>
      <c r="AG136" s="43"/>
      <c r="AH136" s="43">
        <f>SUM(F136:AF136)</f>
        <v>0</v>
      </c>
    </row>
    <row r="137" spans="1:65" s="4" customFormat="1" hidden="1" x14ac:dyDescent="0.2">
      <c r="A137" s="4">
        <v>46</v>
      </c>
      <c r="B137" s="4" t="s">
        <v>173</v>
      </c>
      <c r="D137" s="4" t="s">
        <v>54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  <c r="X137" s="43">
        <v>0</v>
      </c>
      <c r="Y137" s="43">
        <v>0</v>
      </c>
      <c r="Z137" s="43">
        <v>0</v>
      </c>
      <c r="AA137" s="43">
        <v>0</v>
      </c>
      <c r="AB137" s="43">
        <v>0</v>
      </c>
      <c r="AC137" s="43">
        <v>0</v>
      </c>
      <c r="AD137" s="43">
        <v>0</v>
      </c>
      <c r="AE137" s="43">
        <v>0</v>
      </c>
      <c r="AF137" s="43">
        <v>0</v>
      </c>
      <c r="AG137" s="43"/>
      <c r="AH137" s="43">
        <f>SUM(F137:AF137)</f>
        <v>0</v>
      </c>
    </row>
    <row r="138" spans="1:65" s="4" customFormat="1" hidden="1" x14ac:dyDescent="0.2">
      <c r="A138" s="4">
        <v>37</v>
      </c>
      <c r="B138" s="4" t="s">
        <v>174</v>
      </c>
      <c r="D138" s="4" t="s">
        <v>13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43">
        <v>0</v>
      </c>
      <c r="AA138" s="43">
        <v>0</v>
      </c>
      <c r="AB138" s="43">
        <v>0</v>
      </c>
      <c r="AC138" s="43">
        <v>0</v>
      </c>
      <c r="AD138" s="43">
        <v>0</v>
      </c>
      <c r="AE138" s="43">
        <v>0</v>
      </c>
      <c r="AF138" s="43">
        <v>0</v>
      </c>
      <c r="AG138" s="43"/>
      <c r="AH138" s="43">
        <f>SUM(F138:AF138)</f>
        <v>0</v>
      </c>
    </row>
    <row r="139" spans="1:65" s="4" customFormat="1" x14ac:dyDescent="0.2">
      <c r="A139" s="4">
        <v>229</v>
      </c>
      <c r="B139" s="15" t="s">
        <v>429</v>
      </c>
      <c r="C139" s="15"/>
      <c r="D139" s="15" t="s">
        <v>17</v>
      </c>
      <c r="E139" s="15"/>
      <c r="F139" s="43">
        <v>1911237</v>
      </c>
      <c r="G139" s="43">
        <v>0</v>
      </c>
      <c r="H139" s="43">
        <v>0</v>
      </c>
      <c r="I139" s="43">
        <v>0</v>
      </c>
      <c r="J139" s="43">
        <v>1999543</v>
      </c>
      <c r="K139" s="43">
        <v>0</v>
      </c>
      <c r="L139" s="43">
        <v>128170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3">
        <v>1306</v>
      </c>
      <c r="S139" s="43">
        <v>0</v>
      </c>
      <c r="T139" s="43">
        <v>13705</v>
      </c>
      <c r="U139" s="43">
        <v>0</v>
      </c>
      <c r="V139" s="43">
        <v>6718</v>
      </c>
      <c r="W139" s="43">
        <v>0</v>
      </c>
      <c r="X139" s="43">
        <v>0</v>
      </c>
      <c r="Y139" s="43">
        <v>0</v>
      </c>
      <c r="Z139" s="43">
        <v>0</v>
      </c>
      <c r="AA139" s="43">
        <v>0</v>
      </c>
      <c r="AB139" s="43">
        <v>0</v>
      </c>
      <c r="AC139" s="43">
        <v>0</v>
      </c>
      <c r="AD139" s="43">
        <v>0</v>
      </c>
      <c r="AE139" s="43">
        <v>0</v>
      </c>
      <c r="AF139" s="43">
        <v>0</v>
      </c>
      <c r="AG139" s="43"/>
      <c r="AH139" s="43">
        <f t="shared" si="3"/>
        <v>4060679</v>
      </c>
    </row>
    <row r="140" spans="1:65" s="4" customFormat="1" x14ac:dyDescent="0.2">
      <c r="A140" s="4">
        <v>99</v>
      </c>
      <c r="B140" s="4" t="s">
        <v>7</v>
      </c>
      <c r="D140" s="4" t="s">
        <v>8</v>
      </c>
      <c r="F140" s="43">
        <v>2536653</v>
      </c>
      <c r="G140" s="43">
        <v>0</v>
      </c>
      <c r="H140" s="43">
        <v>0</v>
      </c>
      <c r="I140" s="43">
        <v>0</v>
      </c>
      <c r="J140" s="43">
        <v>4451527</v>
      </c>
      <c r="K140" s="43">
        <v>0</v>
      </c>
      <c r="L140" s="43">
        <v>193341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31926</v>
      </c>
      <c r="S140" s="43">
        <v>0</v>
      </c>
      <c r="T140" s="43">
        <v>198527</v>
      </c>
      <c r="U140" s="43">
        <v>0</v>
      </c>
      <c r="V140" s="43">
        <v>49254</v>
      </c>
      <c r="W140" s="43">
        <v>0</v>
      </c>
      <c r="X140" s="43">
        <v>0</v>
      </c>
      <c r="Y140" s="43">
        <v>0</v>
      </c>
      <c r="Z140" s="43">
        <v>0</v>
      </c>
      <c r="AA140" s="43">
        <v>0</v>
      </c>
      <c r="AB140" s="43">
        <v>0</v>
      </c>
      <c r="AC140" s="43">
        <v>0</v>
      </c>
      <c r="AD140" s="43">
        <v>0</v>
      </c>
      <c r="AE140" s="43">
        <v>0</v>
      </c>
      <c r="AF140" s="43">
        <v>0</v>
      </c>
      <c r="AG140" s="43"/>
      <c r="AH140" s="43">
        <f t="shared" si="3"/>
        <v>7461228</v>
      </c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</row>
    <row r="141" spans="1:65" s="4" customFormat="1" hidden="1" x14ac:dyDescent="0.2">
      <c r="A141" s="4">
        <v>89</v>
      </c>
      <c r="B141" s="35" t="s">
        <v>175</v>
      </c>
      <c r="C141" s="35"/>
      <c r="D141" s="35" t="s">
        <v>52</v>
      </c>
      <c r="E141" s="35"/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43">
        <v>0</v>
      </c>
      <c r="Y141" s="43">
        <v>0</v>
      </c>
      <c r="Z141" s="43">
        <v>0</v>
      </c>
      <c r="AA141" s="43">
        <v>0</v>
      </c>
      <c r="AB141" s="43">
        <v>0</v>
      </c>
      <c r="AC141" s="43">
        <v>0</v>
      </c>
      <c r="AD141" s="43">
        <v>0</v>
      </c>
      <c r="AE141" s="43">
        <v>0</v>
      </c>
      <c r="AF141" s="43">
        <v>0</v>
      </c>
      <c r="AG141" s="43"/>
      <c r="AH141" s="43">
        <f>SUM(F141:AF141)</f>
        <v>0</v>
      </c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</row>
    <row r="142" spans="1:65" s="4" customFormat="1" hidden="1" x14ac:dyDescent="0.2">
      <c r="A142" s="4">
        <v>170</v>
      </c>
      <c r="B142" s="4" t="s">
        <v>305</v>
      </c>
      <c r="D142" s="4" t="s">
        <v>49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3">
        <v>0</v>
      </c>
      <c r="Z142" s="43">
        <v>0</v>
      </c>
      <c r="AA142" s="43">
        <v>0</v>
      </c>
      <c r="AB142" s="43">
        <v>0</v>
      </c>
      <c r="AC142" s="43">
        <v>0</v>
      </c>
      <c r="AD142" s="43">
        <v>0</v>
      </c>
      <c r="AE142" s="43">
        <v>0</v>
      </c>
      <c r="AF142" s="43">
        <v>0</v>
      </c>
      <c r="AG142" s="43"/>
      <c r="AH142" s="43">
        <f>SUM(F142:AF142)</f>
        <v>0</v>
      </c>
    </row>
    <row r="143" spans="1:65" hidden="1" x14ac:dyDescent="0.2">
      <c r="A143" s="4">
        <v>39</v>
      </c>
      <c r="B143" s="4" t="s">
        <v>176</v>
      </c>
      <c r="C143" s="4"/>
      <c r="D143" s="4" t="s">
        <v>49</v>
      </c>
      <c r="E143" s="4"/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3">
        <v>0</v>
      </c>
      <c r="Z143" s="43">
        <v>0</v>
      </c>
      <c r="AA143" s="43">
        <v>0</v>
      </c>
      <c r="AB143" s="43">
        <v>0</v>
      </c>
      <c r="AC143" s="43">
        <v>0</v>
      </c>
      <c r="AD143" s="43">
        <v>0</v>
      </c>
      <c r="AE143" s="43">
        <v>0</v>
      </c>
      <c r="AF143" s="43">
        <v>0</v>
      </c>
      <c r="AG143" s="43"/>
      <c r="AH143" s="43">
        <f>SUM(F143:AF143)</f>
        <v>0</v>
      </c>
    </row>
    <row r="144" spans="1:65" hidden="1" x14ac:dyDescent="0.2">
      <c r="A144" s="4">
        <v>205</v>
      </c>
      <c r="B144" s="4" t="s">
        <v>177</v>
      </c>
      <c r="C144" s="4"/>
      <c r="D144" s="4" t="s">
        <v>58</v>
      </c>
      <c r="E144" s="4"/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3">
        <v>0</v>
      </c>
      <c r="Z144" s="43">
        <v>0</v>
      </c>
      <c r="AA144" s="43">
        <v>0</v>
      </c>
      <c r="AB144" s="43">
        <v>0</v>
      </c>
      <c r="AC144" s="43">
        <v>0</v>
      </c>
      <c r="AD144" s="43">
        <v>0</v>
      </c>
      <c r="AE144" s="43">
        <v>0</v>
      </c>
      <c r="AF144" s="43">
        <v>0</v>
      </c>
      <c r="AG144" s="43"/>
      <c r="AH144" s="43">
        <f>SUM(F144:AF144)</f>
        <v>0</v>
      </c>
    </row>
    <row r="145" spans="1:65" x14ac:dyDescent="0.2">
      <c r="A145" s="4">
        <v>232</v>
      </c>
      <c r="B145" s="4" t="s">
        <v>558</v>
      </c>
      <c r="C145" s="4"/>
      <c r="D145" s="4" t="s">
        <v>39</v>
      </c>
      <c r="E145" s="4"/>
      <c r="F145" s="43">
        <v>2292378</v>
      </c>
      <c r="G145" s="43">
        <v>0</v>
      </c>
      <c r="H145" s="43">
        <v>2385731</v>
      </c>
      <c r="I145" s="43">
        <v>0</v>
      </c>
      <c r="J145" s="43">
        <v>0</v>
      </c>
      <c r="K145" s="43">
        <v>0</v>
      </c>
      <c r="L145" s="43">
        <v>98611</v>
      </c>
      <c r="M145" s="43">
        <v>0</v>
      </c>
      <c r="N145" s="43">
        <v>0</v>
      </c>
      <c r="O145" s="43">
        <v>0</v>
      </c>
      <c r="P145" s="43">
        <v>822</v>
      </c>
      <c r="Q145" s="43">
        <v>0</v>
      </c>
      <c r="R145" s="43">
        <v>10861</v>
      </c>
      <c r="S145" s="43">
        <v>0</v>
      </c>
      <c r="T145" s="43">
        <v>3329</v>
      </c>
      <c r="U145" s="43">
        <v>0</v>
      </c>
      <c r="V145" s="43">
        <v>62757</v>
      </c>
      <c r="W145" s="43">
        <v>0</v>
      </c>
      <c r="X145" s="43">
        <v>0</v>
      </c>
      <c r="Y145" s="43">
        <v>0</v>
      </c>
      <c r="Z145" s="43">
        <v>17</v>
      </c>
      <c r="AA145" s="43">
        <v>0</v>
      </c>
      <c r="AB145" s="43">
        <v>0</v>
      </c>
      <c r="AC145" s="43">
        <v>0</v>
      </c>
      <c r="AD145" s="43">
        <v>0</v>
      </c>
      <c r="AE145" s="43">
        <v>0</v>
      </c>
      <c r="AF145" s="43">
        <v>0</v>
      </c>
      <c r="AG145" s="43"/>
      <c r="AH145" s="43">
        <f t="shared" si="3"/>
        <v>4854506</v>
      </c>
    </row>
    <row r="146" spans="1:65" s="4" customFormat="1" x14ac:dyDescent="0.2">
      <c r="A146" s="4">
        <v>228</v>
      </c>
      <c r="B146" s="4" t="s">
        <v>178</v>
      </c>
      <c r="D146" s="4" t="s">
        <v>95</v>
      </c>
      <c r="F146" s="43">
        <v>0</v>
      </c>
      <c r="G146" s="43">
        <v>0</v>
      </c>
      <c r="H146" s="43">
        <v>2757362</v>
      </c>
      <c r="I146" s="43">
        <v>0</v>
      </c>
      <c r="J146" s="43">
        <v>0</v>
      </c>
      <c r="K146" s="43">
        <v>0</v>
      </c>
      <c r="L146" s="43">
        <v>56882</v>
      </c>
      <c r="M146" s="43">
        <v>0</v>
      </c>
      <c r="N146" s="43">
        <v>0</v>
      </c>
      <c r="O146" s="43">
        <v>0</v>
      </c>
      <c r="P146" s="43">
        <v>5790</v>
      </c>
      <c r="Q146" s="43">
        <v>0</v>
      </c>
      <c r="R146" s="43">
        <v>1123</v>
      </c>
      <c r="S146" s="43">
        <v>0</v>
      </c>
      <c r="T146" s="43">
        <v>12307</v>
      </c>
      <c r="U146" s="43">
        <v>0</v>
      </c>
      <c r="V146" s="43">
        <v>30310</v>
      </c>
      <c r="W146" s="43">
        <v>0</v>
      </c>
      <c r="X146" s="43">
        <v>9183</v>
      </c>
      <c r="Y146" s="43">
        <v>0</v>
      </c>
      <c r="Z146" s="43">
        <v>0</v>
      </c>
      <c r="AA146" s="43">
        <v>0</v>
      </c>
      <c r="AB146" s="43">
        <v>0</v>
      </c>
      <c r="AC146" s="43">
        <v>0</v>
      </c>
      <c r="AD146" s="43">
        <v>0</v>
      </c>
      <c r="AE146" s="43">
        <v>0</v>
      </c>
      <c r="AF146" s="43">
        <v>0</v>
      </c>
      <c r="AG146" s="43"/>
      <c r="AH146" s="43">
        <f t="shared" si="3"/>
        <v>2872957</v>
      </c>
    </row>
    <row r="147" spans="1:65" s="4" customFormat="1" x14ac:dyDescent="0.2">
      <c r="A147" s="4">
        <v>228</v>
      </c>
      <c r="B147" s="4" t="s">
        <v>640</v>
      </c>
      <c r="D147" s="4" t="s">
        <v>95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157713.01999999999</v>
      </c>
      <c r="O147" s="43">
        <v>0</v>
      </c>
      <c r="P147" s="43">
        <v>0</v>
      </c>
      <c r="Q147" s="43">
        <v>0</v>
      </c>
      <c r="R147" s="43">
        <v>525</v>
      </c>
      <c r="S147" s="43">
        <v>0</v>
      </c>
      <c r="T147" s="43">
        <f>52268.6+26954.77+159575.93</f>
        <v>238799.3</v>
      </c>
      <c r="U147" s="43">
        <v>0</v>
      </c>
      <c r="V147" s="43">
        <v>0</v>
      </c>
      <c r="W147" s="43">
        <v>0</v>
      </c>
      <c r="X147" s="43">
        <v>0</v>
      </c>
      <c r="Y147" s="43">
        <v>0</v>
      </c>
      <c r="Z147" s="43">
        <v>0</v>
      </c>
      <c r="AA147" s="43">
        <v>0</v>
      </c>
      <c r="AB147" s="43">
        <v>0</v>
      </c>
      <c r="AC147" s="43">
        <v>0</v>
      </c>
      <c r="AD147" s="43">
        <v>0</v>
      </c>
      <c r="AE147" s="43">
        <v>0</v>
      </c>
      <c r="AF147" s="43">
        <v>0</v>
      </c>
      <c r="AG147" s="43"/>
      <c r="AH147" s="43">
        <f t="shared" ref="AH147" si="4">SUM(F147:AF147)</f>
        <v>397037.31999999995</v>
      </c>
    </row>
    <row r="148" spans="1:65" s="14" customFormat="1" x14ac:dyDescent="0.2">
      <c r="A148" s="4">
        <v>105</v>
      </c>
      <c r="B148" s="4" t="s">
        <v>643</v>
      </c>
      <c r="C148" s="4"/>
      <c r="D148" s="4" t="s">
        <v>85</v>
      </c>
      <c r="E148" s="4"/>
      <c r="F148" s="43">
        <v>0</v>
      </c>
      <c r="G148" s="43">
        <v>0</v>
      </c>
      <c r="H148" s="43">
        <v>1126594</v>
      </c>
      <c r="I148" s="43">
        <v>0</v>
      </c>
      <c r="J148" s="43">
        <v>27528</v>
      </c>
      <c r="K148" s="43">
        <v>0</v>
      </c>
      <c r="L148" s="43">
        <v>15600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3744</v>
      </c>
      <c r="S148" s="43">
        <v>0</v>
      </c>
      <c r="T148" s="43">
        <v>170</v>
      </c>
      <c r="U148" s="43">
        <v>0</v>
      </c>
      <c r="V148" s="43">
        <v>25472</v>
      </c>
      <c r="W148" s="43">
        <v>0</v>
      </c>
      <c r="X148" s="43">
        <v>0</v>
      </c>
      <c r="Y148" s="43">
        <v>0</v>
      </c>
      <c r="Z148" s="43">
        <v>0</v>
      </c>
      <c r="AA148" s="43">
        <v>0</v>
      </c>
      <c r="AB148" s="43">
        <v>0</v>
      </c>
      <c r="AC148" s="43">
        <v>0</v>
      </c>
      <c r="AD148" s="43">
        <v>0</v>
      </c>
      <c r="AE148" s="43">
        <v>0</v>
      </c>
      <c r="AF148" s="43">
        <v>0</v>
      </c>
      <c r="AG148" s="43"/>
      <c r="AH148" s="43">
        <f t="shared" si="3"/>
        <v>1199108</v>
      </c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</row>
    <row r="149" spans="1:65" s="4" customFormat="1" x14ac:dyDescent="0.2">
      <c r="A149" s="4">
        <v>182</v>
      </c>
      <c r="B149" s="4" t="s">
        <v>559</v>
      </c>
      <c r="D149" s="4" t="s">
        <v>179</v>
      </c>
      <c r="F149" s="43">
        <v>0</v>
      </c>
      <c r="G149" s="43">
        <v>0</v>
      </c>
      <c r="H149" s="43">
        <v>761167</v>
      </c>
      <c r="I149" s="43">
        <v>0</v>
      </c>
      <c r="J149" s="43">
        <v>0</v>
      </c>
      <c r="K149" s="43">
        <v>0</v>
      </c>
      <c r="L149" s="43">
        <v>34400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710</v>
      </c>
      <c r="S149" s="43">
        <v>0</v>
      </c>
      <c r="T149" s="43">
        <v>6124</v>
      </c>
      <c r="U149" s="43">
        <v>0</v>
      </c>
      <c r="V149" s="43">
        <v>7590</v>
      </c>
      <c r="W149" s="43">
        <v>0</v>
      </c>
      <c r="X149" s="43">
        <v>0</v>
      </c>
      <c r="Y149" s="43">
        <v>0</v>
      </c>
      <c r="Z149" s="43">
        <v>0</v>
      </c>
      <c r="AA149" s="43">
        <v>0</v>
      </c>
      <c r="AB149" s="43">
        <v>0</v>
      </c>
      <c r="AC149" s="43">
        <v>0</v>
      </c>
      <c r="AD149" s="43">
        <v>0</v>
      </c>
      <c r="AE149" s="43">
        <v>0</v>
      </c>
      <c r="AF149" s="43">
        <v>0</v>
      </c>
      <c r="AG149" s="43"/>
      <c r="AH149" s="43">
        <f t="shared" si="3"/>
        <v>809991</v>
      </c>
    </row>
    <row r="150" spans="1:65" s="4" customFormat="1" x14ac:dyDescent="0.2">
      <c r="A150" s="4">
        <v>27</v>
      </c>
      <c r="B150" s="4" t="s">
        <v>9</v>
      </c>
      <c r="D150" s="4" t="s">
        <v>10</v>
      </c>
      <c r="F150" s="43">
        <v>357881</v>
      </c>
      <c r="G150" s="43">
        <v>0</v>
      </c>
      <c r="H150" s="43">
        <v>462479</v>
      </c>
      <c r="I150" s="43">
        <v>0</v>
      </c>
      <c r="J150" s="43">
        <v>16157</v>
      </c>
      <c r="K150" s="43">
        <v>0</v>
      </c>
      <c r="L150" s="43">
        <v>24705</v>
      </c>
      <c r="M150" s="43">
        <v>0</v>
      </c>
      <c r="N150" s="43">
        <v>0</v>
      </c>
      <c r="O150" s="43">
        <v>0</v>
      </c>
      <c r="P150" s="43">
        <v>1245</v>
      </c>
      <c r="Q150" s="43">
        <v>0</v>
      </c>
      <c r="R150" s="43">
        <v>3982</v>
      </c>
      <c r="S150" s="43">
        <v>0</v>
      </c>
      <c r="T150" s="43">
        <v>10735</v>
      </c>
      <c r="U150" s="43">
        <v>0</v>
      </c>
      <c r="V150" s="43">
        <v>3791</v>
      </c>
      <c r="W150" s="43">
        <v>0</v>
      </c>
      <c r="X150" s="43">
        <v>0</v>
      </c>
      <c r="Y150" s="43">
        <v>0</v>
      </c>
      <c r="Z150" s="43">
        <v>0</v>
      </c>
      <c r="AA150" s="43">
        <v>0</v>
      </c>
      <c r="AB150" s="43">
        <v>0</v>
      </c>
      <c r="AC150" s="43">
        <v>0</v>
      </c>
      <c r="AD150" s="43">
        <v>0</v>
      </c>
      <c r="AE150" s="43">
        <v>0</v>
      </c>
      <c r="AF150" s="43">
        <v>0</v>
      </c>
      <c r="AG150" s="43"/>
      <c r="AH150" s="43">
        <f t="shared" si="3"/>
        <v>880975</v>
      </c>
    </row>
    <row r="151" spans="1:65" x14ac:dyDescent="0.2">
      <c r="A151" s="4">
        <v>67</v>
      </c>
      <c r="B151" s="4" t="s">
        <v>180</v>
      </c>
      <c r="C151" s="4"/>
      <c r="D151" s="4" t="s">
        <v>55</v>
      </c>
      <c r="E151" s="4"/>
      <c r="F151" s="43">
        <v>0</v>
      </c>
      <c r="G151" s="43">
        <v>0</v>
      </c>
      <c r="H151" s="43">
        <v>0</v>
      </c>
      <c r="I151" s="43">
        <v>0</v>
      </c>
      <c r="J151" s="43">
        <v>3576202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141119</v>
      </c>
      <c r="Q151" s="43">
        <v>0</v>
      </c>
      <c r="R151" s="43">
        <v>1600</v>
      </c>
      <c r="S151" s="43">
        <v>0</v>
      </c>
      <c r="T151" s="43">
        <v>2712</v>
      </c>
      <c r="U151" s="43">
        <v>0</v>
      </c>
      <c r="V151" s="43">
        <v>12494</v>
      </c>
      <c r="W151" s="43">
        <v>0</v>
      </c>
      <c r="X151" s="43">
        <v>0</v>
      </c>
      <c r="Y151" s="43">
        <v>0</v>
      </c>
      <c r="Z151" s="43">
        <v>0</v>
      </c>
      <c r="AA151" s="43">
        <v>0</v>
      </c>
      <c r="AB151" s="43">
        <v>0</v>
      </c>
      <c r="AC151" s="43">
        <v>0</v>
      </c>
      <c r="AD151" s="43">
        <v>5000</v>
      </c>
      <c r="AE151" s="43">
        <v>0</v>
      </c>
      <c r="AF151" s="43">
        <v>0</v>
      </c>
      <c r="AG151" s="43"/>
      <c r="AH151" s="43">
        <f t="shared" ref="AH151" si="5">SUM(F151:AF151)</f>
        <v>3739127</v>
      </c>
    </row>
    <row r="152" spans="1:65" s="4" customFormat="1" x14ac:dyDescent="0.2">
      <c r="A152" s="4">
        <v>114</v>
      </c>
      <c r="B152" s="12" t="s">
        <v>181</v>
      </c>
      <c r="C152" s="12"/>
      <c r="D152" s="12" t="s">
        <v>81</v>
      </c>
      <c r="E152" s="12"/>
      <c r="F152" s="43">
        <v>0</v>
      </c>
      <c r="G152" s="43">
        <v>0</v>
      </c>
      <c r="H152" s="43">
        <v>526631</v>
      </c>
      <c r="I152" s="43">
        <v>0</v>
      </c>
      <c r="J152" s="43">
        <v>1134</v>
      </c>
      <c r="K152" s="43">
        <v>0</v>
      </c>
      <c r="L152" s="43">
        <v>12364</v>
      </c>
      <c r="M152" s="43">
        <v>0</v>
      </c>
      <c r="N152" s="43">
        <v>0</v>
      </c>
      <c r="O152" s="43">
        <v>0</v>
      </c>
      <c r="P152" s="43">
        <v>372</v>
      </c>
      <c r="Q152" s="43">
        <v>0</v>
      </c>
      <c r="R152" s="43">
        <v>11145</v>
      </c>
      <c r="S152" s="43">
        <v>0</v>
      </c>
      <c r="T152" s="43">
        <v>667</v>
      </c>
      <c r="U152" s="43">
        <v>0</v>
      </c>
      <c r="V152" s="43">
        <v>2274</v>
      </c>
      <c r="W152" s="43">
        <v>0</v>
      </c>
      <c r="X152" s="43">
        <v>0</v>
      </c>
      <c r="Y152" s="43">
        <v>0</v>
      </c>
      <c r="Z152" s="43">
        <v>0</v>
      </c>
      <c r="AA152" s="43">
        <v>0</v>
      </c>
      <c r="AB152" s="43">
        <v>0</v>
      </c>
      <c r="AC152" s="43">
        <v>0</v>
      </c>
      <c r="AD152" s="43">
        <v>0</v>
      </c>
      <c r="AE152" s="43">
        <v>0</v>
      </c>
      <c r="AF152" s="43">
        <v>0</v>
      </c>
      <c r="AG152" s="43"/>
      <c r="AH152" s="43">
        <f t="shared" si="3"/>
        <v>554587</v>
      </c>
    </row>
    <row r="153" spans="1:65" s="4" customFormat="1" hidden="1" x14ac:dyDescent="0.2">
      <c r="A153" s="4">
        <v>225</v>
      </c>
      <c r="B153" s="4" t="s">
        <v>306</v>
      </c>
      <c r="D153" s="4" t="s">
        <v>23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3">
        <v>0</v>
      </c>
      <c r="X153" s="43">
        <v>0</v>
      </c>
      <c r="Y153" s="43">
        <v>0</v>
      </c>
      <c r="Z153" s="43">
        <v>0</v>
      </c>
      <c r="AA153" s="43">
        <v>0</v>
      </c>
      <c r="AB153" s="43">
        <v>0</v>
      </c>
      <c r="AC153" s="43">
        <v>0</v>
      </c>
      <c r="AD153" s="43">
        <v>0</v>
      </c>
      <c r="AE153" s="43">
        <v>0</v>
      </c>
      <c r="AF153" s="43">
        <v>0</v>
      </c>
      <c r="AG153" s="43"/>
      <c r="AH153" s="43">
        <f>SUM(F153:AF153)</f>
        <v>0</v>
      </c>
    </row>
    <row r="154" spans="1:65" s="4" customFormat="1" x14ac:dyDescent="0.2">
      <c r="A154" s="4">
        <v>224</v>
      </c>
      <c r="B154" s="4" t="s">
        <v>182</v>
      </c>
      <c r="D154" s="4" t="s">
        <v>13</v>
      </c>
      <c r="F154" s="43">
        <v>688539</v>
      </c>
      <c r="G154" s="43">
        <v>0</v>
      </c>
      <c r="H154" s="43">
        <v>558433</v>
      </c>
      <c r="I154" s="43">
        <v>0</v>
      </c>
      <c r="J154" s="43">
        <v>103732</v>
      </c>
      <c r="K154" s="43">
        <v>0</v>
      </c>
      <c r="L154" s="43">
        <v>41264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v>7229</v>
      </c>
      <c r="S154" s="43">
        <v>0</v>
      </c>
      <c r="T154" s="43">
        <v>2121</v>
      </c>
      <c r="U154" s="43">
        <v>0</v>
      </c>
      <c r="V154" s="43">
        <v>8143</v>
      </c>
      <c r="W154" s="43">
        <v>0</v>
      </c>
      <c r="X154" s="43">
        <v>0</v>
      </c>
      <c r="Y154" s="43">
        <v>0</v>
      </c>
      <c r="Z154" s="43">
        <v>0</v>
      </c>
      <c r="AA154" s="43">
        <v>0</v>
      </c>
      <c r="AB154" s="43">
        <v>0</v>
      </c>
      <c r="AC154" s="43">
        <v>0</v>
      </c>
      <c r="AD154" s="43">
        <v>0</v>
      </c>
      <c r="AE154" s="43">
        <v>0</v>
      </c>
      <c r="AF154" s="43">
        <v>0</v>
      </c>
      <c r="AG154" s="43"/>
      <c r="AH154" s="43">
        <f t="shared" si="3"/>
        <v>1409461</v>
      </c>
    </row>
    <row r="155" spans="1:65" s="4" customFormat="1" x14ac:dyDescent="0.2">
      <c r="A155" s="4">
        <v>184</v>
      </c>
      <c r="B155" s="4" t="s">
        <v>586</v>
      </c>
      <c r="D155" s="4" t="s">
        <v>183</v>
      </c>
      <c r="F155" s="43">
        <v>3195888</v>
      </c>
      <c r="G155" s="43">
        <v>0</v>
      </c>
      <c r="H155" s="43">
        <v>3339802</v>
      </c>
      <c r="I155" s="43">
        <v>0</v>
      </c>
      <c r="J155" s="43">
        <v>438610</v>
      </c>
      <c r="K155" s="43">
        <v>0</v>
      </c>
      <c r="L155" s="43">
        <v>214019</v>
      </c>
      <c r="M155" s="43">
        <v>0</v>
      </c>
      <c r="N155" s="43">
        <v>0</v>
      </c>
      <c r="O155" s="43">
        <v>0</v>
      </c>
      <c r="P155" s="43">
        <v>20000</v>
      </c>
      <c r="Q155" s="43">
        <v>0</v>
      </c>
      <c r="R155" s="43">
        <v>32855</v>
      </c>
      <c r="S155" s="43">
        <v>0</v>
      </c>
      <c r="T155" s="43">
        <v>17293</v>
      </c>
      <c r="U155" s="43">
        <v>0</v>
      </c>
      <c r="V155" s="43">
        <v>147141</v>
      </c>
      <c r="W155" s="43">
        <v>0</v>
      </c>
      <c r="X155" s="43">
        <v>0</v>
      </c>
      <c r="Y155" s="43">
        <v>0</v>
      </c>
      <c r="Z155" s="43">
        <v>0</v>
      </c>
      <c r="AA155" s="43">
        <v>0</v>
      </c>
      <c r="AB155" s="43">
        <v>0</v>
      </c>
      <c r="AC155" s="43">
        <v>0</v>
      </c>
      <c r="AD155" s="43">
        <v>0</v>
      </c>
      <c r="AE155" s="43">
        <v>0</v>
      </c>
      <c r="AF155" s="43">
        <v>0</v>
      </c>
      <c r="AG155" s="43"/>
      <c r="AH155" s="43">
        <f t="shared" si="3"/>
        <v>7405608</v>
      </c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</row>
    <row r="156" spans="1:65" s="4" customFormat="1" hidden="1" x14ac:dyDescent="0.2">
      <c r="A156" s="4">
        <v>212</v>
      </c>
      <c r="B156" s="4" t="s">
        <v>184</v>
      </c>
      <c r="D156" s="4" t="s">
        <v>100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3">
        <v>0</v>
      </c>
      <c r="Z156" s="43">
        <v>0</v>
      </c>
      <c r="AA156" s="43">
        <v>0</v>
      </c>
      <c r="AB156" s="43">
        <v>0</v>
      </c>
      <c r="AC156" s="43">
        <v>0</v>
      </c>
      <c r="AD156" s="43">
        <v>0</v>
      </c>
      <c r="AE156" s="43">
        <v>0</v>
      </c>
      <c r="AF156" s="43">
        <v>0</v>
      </c>
      <c r="AG156" s="43"/>
      <c r="AH156" s="43">
        <f>SUM(F156:AF156)</f>
        <v>0</v>
      </c>
    </row>
    <row r="157" spans="1:65" x14ac:dyDescent="0.2">
      <c r="A157" s="4">
        <v>124</v>
      </c>
      <c r="B157" s="4" t="s">
        <v>185</v>
      </c>
      <c r="C157" s="4"/>
      <c r="D157" s="4" t="s">
        <v>186</v>
      </c>
      <c r="E157" s="4"/>
      <c r="F157" s="43">
        <v>0</v>
      </c>
      <c r="G157" s="43">
        <v>0</v>
      </c>
      <c r="H157" s="43">
        <v>1843987</v>
      </c>
      <c r="I157" s="43">
        <v>0</v>
      </c>
      <c r="J157" s="43">
        <v>12438</v>
      </c>
      <c r="K157" s="43">
        <v>0</v>
      </c>
      <c r="L157" s="43">
        <v>38977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9804</v>
      </c>
      <c r="S157" s="43">
        <v>0</v>
      </c>
      <c r="T157" s="43">
        <v>1927</v>
      </c>
      <c r="U157" s="43">
        <v>0</v>
      </c>
      <c r="V157" s="43">
        <v>12060</v>
      </c>
      <c r="W157" s="43">
        <v>0</v>
      </c>
      <c r="X157" s="43">
        <v>0</v>
      </c>
      <c r="Y157" s="43">
        <v>0</v>
      </c>
      <c r="Z157" s="43">
        <v>0</v>
      </c>
      <c r="AA157" s="43">
        <v>0</v>
      </c>
      <c r="AB157" s="43">
        <v>0</v>
      </c>
      <c r="AC157" s="43">
        <v>0</v>
      </c>
      <c r="AD157" s="43">
        <v>0</v>
      </c>
      <c r="AE157" s="43">
        <v>0</v>
      </c>
      <c r="AF157" s="43">
        <v>0</v>
      </c>
      <c r="AG157" s="43"/>
      <c r="AH157" s="43">
        <f t="shared" ref="AH157" si="6">SUM(F157:AF157)</f>
        <v>1919193</v>
      </c>
    </row>
    <row r="158" spans="1:65" hidden="1" x14ac:dyDescent="0.2">
      <c r="A158" s="4">
        <v>38</v>
      </c>
      <c r="B158" s="35" t="s">
        <v>422</v>
      </c>
      <c r="C158" s="35"/>
      <c r="D158" s="35" t="s">
        <v>11</v>
      </c>
      <c r="E158" s="35"/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0</v>
      </c>
      <c r="Z158" s="43">
        <v>0</v>
      </c>
      <c r="AA158" s="43">
        <v>0</v>
      </c>
      <c r="AB158" s="43">
        <v>0</v>
      </c>
      <c r="AC158" s="43">
        <v>0</v>
      </c>
      <c r="AD158" s="43">
        <v>0</v>
      </c>
      <c r="AE158" s="43">
        <v>0</v>
      </c>
      <c r="AF158" s="43">
        <v>0</v>
      </c>
      <c r="AG158" s="43"/>
      <c r="AH158" s="43">
        <f>SUM(F158:AF158)</f>
        <v>0</v>
      </c>
    </row>
    <row r="159" spans="1:65" s="4" customFormat="1" hidden="1" x14ac:dyDescent="0.2">
      <c r="A159" s="4">
        <v>209</v>
      </c>
      <c r="B159" s="38" t="s">
        <v>187</v>
      </c>
      <c r="C159" s="38"/>
      <c r="D159" s="38" t="s">
        <v>183</v>
      </c>
      <c r="E159" s="38"/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0</v>
      </c>
      <c r="V159" s="43">
        <v>0</v>
      </c>
      <c r="W159" s="43">
        <v>0</v>
      </c>
      <c r="X159" s="43">
        <v>0</v>
      </c>
      <c r="Y159" s="43">
        <v>0</v>
      </c>
      <c r="Z159" s="43">
        <v>0</v>
      </c>
      <c r="AA159" s="43">
        <v>0</v>
      </c>
      <c r="AB159" s="43">
        <v>0</v>
      </c>
      <c r="AC159" s="43">
        <v>0</v>
      </c>
      <c r="AD159" s="43">
        <v>0</v>
      </c>
      <c r="AE159" s="43">
        <v>0</v>
      </c>
      <c r="AF159" s="43">
        <v>0</v>
      </c>
      <c r="AG159" s="43"/>
      <c r="AH159" s="43">
        <f>SUM(F159:AF159)</f>
        <v>0</v>
      </c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</row>
    <row r="160" spans="1:65" s="4" customFormat="1" hidden="1" x14ac:dyDescent="0.2">
      <c r="A160" s="4">
        <v>23</v>
      </c>
      <c r="B160" s="35" t="s">
        <v>188</v>
      </c>
      <c r="C160" s="35"/>
      <c r="D160" s="35" t="s">
        <v>52</v>
      </c>
      <c r="E160" s="35"/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0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43">
        <v>0</v>
      </c>
      <c r="AA160" s="43">
        <v>0</v>
      </c>
      <c r="AB160" s="43">
        <v>0</v>
      </c>
      <c r="AC160" s="43">
        <v>0</v>
      </c>
      <c r="AD160" s="43">
        <v>0</v>
      </c>
      <c r="AE160" s="43">
        <v>0</v>
      </c>
      <c r="AF160" s="43">
        <v>0</v>
      </c>
      <c r="AG160" s="43"/>
      <c r="AH160" s="43">
        <f>SUM(F160:AF160)</f>
        <v>0</v>
      </c>
    </row>
    <row r="161" spans="1:65" s="4" customFormat="1" hidden="1" x14ac:dyDescent="0.2">
      <c r="A161" s="4">
        <v>241</v>
      </c>
      <c r="B161" s="4" t="s">
        <v>189</v>
      </c>
      <c r="D161" s="4" t="s">
        <v>59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3">
        <v>0</v>
      </c>
      <c r="Z161" s="43">
        <v>0</v>
      </c>
      <c r="AA161" s="43">
        <v>0</v>
      </c>
      <c r="AB161" s="43">
        <v>0</v>
      </c>
      <c r="AC161" s="43">
        <v>0</v>
      </c>
      <c r="AD161" s="43">
        <v>0</v>
      </c>
      <c r="AE161" s="43">
        <v>0</v>
      </c>
      <c r="AF161" s="43">
        <v>0</v>
      </c>
      <c r="AG161" s="43"/>
      <c r="AH161" s="43">
        <f>SUM(F161:AF161)</f>
        <v>0</v>
      </c>
    </row>
    <row r="162" spans="1:65" s="4" customFormat="1" x14ac:dyDescent="0.2">
      <c r="A162" s="4">
        <v>246</v>
      </c>
      <c r="B162" s="4" t="s">
        <v>190</v>
      </c>
      <c r="D162" s="4" t="s">
        <v>191</v>
      </c>
      <c r="F162" s="43">
        <v>605713</v>
      </c>
      <c r="G162" s="43">
        <v>0</v>
      </c>
      <c r="H162" s="43">
        <v>617541</v>
      </c>
      <c r="I162" s="43">
        <v>0</v>
      </c>
      <c r="J162" s="43">
        <v>239834</v>
      </c>
      <c r="K162" s="43">
        <v>0</v>
      </c>
      <c r="L162" s="43">
        <v>63454</v>
      </c>
      <c r="M162" s="43">
        <v>0</v>
      </c>
      <c r="N162" s="43">
        <v>0</v>
      </c>
      <c r="O162" s="43">
        <v>0</v>
      </c>
      <c r="P162" s="43">
        <v>0</v>
      </c>
      <c r="Q162" s="43">
        <v>0</v>
      </c>
      <c r="R162" s="43">
        <v>13643</v>
      </c>
      <c r="S162" s="43">
        <v>0</v>
      </c>
      <c r="T162" s="43">
        <v>776</v>
      </c>
      <c r="U162" s="43">
        <v>0</v>
      </c>
      <c r="V162" s="43">
        <v>0</v>
      </c>
      <c r="W162" s="43">
        <v>0</v>
      </c>
      <c r="X162" s="43">
        <v>0</v>
      </c>
      <c r="Y162" s="43">
        <v>0</v>
      </c>
      <c r="Z162" s="43">
        <v>0</v>
      </c>
      <c r="AA162" s="43">
        <v>0</v>
      </c>
      <c r="AB162" s="43">
        <v>0</v>
      </c>
      <c r="AC162" s="43">
        <v>0</v>
      </c>
      <c r="AD162" s="43">
        <v>0</v>
      </c>
      <c r="AE162" s="43">
        <v>0</v>
      </c>
      <c r="AF162" s="43">
        <v>0</v>
      </c>
      <c r="AG162" s="43"/>
      <c r="AH162" s="43">
        <f t="shared" ref="AH162:AH232" si="7">SUM(F162:AF162)</f>
        <v>1540961</v>
      </c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</row>
    <row r="163" spans="1:65" s="4" customFormat="1" hidden="1" x14ac:dyDescent="0.2">
      <c r="A163" s="4">
        <v>157</v>
      </c>
      <c r="B163" s="35" t="s">
        <v>192</v>
      </c>
      <c r="C163" s="35"/>
      <c r="D163" s="35" t="s">
        <v>52</v>
      </c>
      <c r="E163" s="35"/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43">
        <v>0</v>
      </c>
      <c r="Y163" s="43">
        <v>0</v>
      </c>
      <c r="Z163" s="43">
        <v>0</v>
      </c>
      <c r="AA163" s="43">
        <v>0</v>
      </c>
      <c r="AB163" s="43">
        <v>0</v>
      </c>
      <c r="AC163" s="43">
        <v>0</v>
      </c>
      <c r="AD163" s="43">
        <v>0</v>
      </c>
      <c r="AE163" s="43">
        <v>0</v>
      </c>
      <c r="AF163" s="43">
        <v>0</v>
      </c>
      <c r="AG163" s="43"/>
      <c r="AH163" s="43">
        <f>SUM(F163:AF163)</f>
        <v>0</v>
      </c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</row>
    <row r="164" spans="1:65" s="4" customFormat="1" x14ac:dyDescent="0.2">
      <c r="A164" s="4">
        <v>43</v>
      </c>
      <c r="B164" s="35" t="s">
        <v>451</v>
      </c>
      <c r="C164" s="35"/>
      <c r="D164" s="35" t="s">
        <v>23</v>
      </c>
      <c r="E164" s="35"/>
      <c r="F164" s="43">
        <v>799227</v>
      </c>
      <c r="G164" s="43">
        <v>0</v>
      </c>
      <c r="H164" s="43">
        <v>1241060</v>
      </c>
      <c r="I164" s="43">
        <v>0</v>
      </c>
      <c r="J164" s="43">
        <v>119143</v>
      </c>
      <c r="K164" s="43">
        <v>0</v>
      </c>
      <c r="L164" s="43">
        <v>44469</v>
      </c>
      <c r="M164" s="43">
        <v>0</v>
      </c>
      <c r="N164" s="43">
        <v>0</v>
      </c>
      <c r="O164" s="43">
        <v>0</v>
      </c>
      <c r="P164" s="43">
        <v>0</v>
      </c>
      <c r="Q164" s="43">
        <v>0</v>
      </c>
      <c r="R164" s="43">
        <v>7706</v>
      </c>
      <c r="S164" s="43">
        <v>0</v>
      </c>
      <c r="T164" s="43">
        <v>507</v>
      </c>
      <c r="U164" s="43">
        <v>0</v>
      </c>
      <c r="V164" s="43">
        <v>12784</v>
      </c>
      <c r="W164" s="43">
        <v>0</v>
      </c>
      <c r="X164" s="43">
        <v>0</v>
      </c>
      <c r="Y164" s="43">
        <v>0</v>
      </c>
      <c r="Z164" s="43">
        <v>0</v>
      </c>
      <c r="AA164" s="43">
        <v>0</v>
      </c>
      <c r="AB164" s="43">
        <v>0</v>
      </c>
      <c r="AC164" s="43">
        <v>0</v>
      </c>
      <c r="AD164" s="43">
        <v>0</v>
      </c>
      <c r="AE164" s="43">
        <v>0</v>
      </c>
      <c r="AF164" s="43">
        <v>0</v>
      </c>
      <c r="AG164" s="43"/>
      <c r="AH164" s="43">
        <f t="shared" si="7"/>
        <v>2224896</v>
      </c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</row>
    <row r="165" spans="1:65" s="4" customFormat="1" hidden="1" x14ac:dyDescent="0.2">
      <c r="A165" s="4">
        <v>28</v>
      </c>
      <c r="B165" s="3" t="s">
        <v>336</v>
      </c>
      <c r="D165" s="4" t="s">
        <v>137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43">
        <v>0</v>
      </c>
      <c r="Y165" s="43">
        <v>0</v>
      </c>
      <c r="Z165" s="43">
        <v>0</v>
      </c>
      <c r="AA165" s="43">
        <v>0</v>
      </c>
      <c r="AB165" s="43">
        <v>0</v>
      </c>
      <c r="AC165" s="43">
        <v>0</v>
      </c>
      <c r="AD165" s="43">
        <v>0</v>
      </c>
      <c r="AE165" s="43">
        <v>0</v>
      </c>
      <c r="AF165" s="43">
        <v>0</v>
      </c>
      <c r="AG165" s="43"/>
      <c r="AH165" s="43">
        <f>SUM(F165:AF165)</f>
        <v>0</v>
      </c>
    </row>
    <row r="166" spans="1:65" s="4" customFormat="1" x14ac:dyDescent="0.2">
      <c r="A166" s="4">
        <v>113</v>
      </c>
      <c r="B166" s="4" t="s">
        <v>431</v>
      </c>
      <c r="D166" s="4" t="s">
        <v>54</v>
      </c>
      <c r="F166" s="43">
        <v>300672</v>
      </c>
      <c r="G166" s="43">
        <v>0</v>
      </c>
      <c r="H166" s="43">
        <v>812363</v>
      </c>
      <c r="I166" s="43">
        <v>0</v>
      </c>
      <c r="J166" s="43">
        <v>56625</v>
      </c>
      <c r="K166" s="43">
        <v>0</v>
      </c>
      <c r="L166" s="43">
        <v>20872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1497</v>
      </c>
      <c r="S166" s="43">
        <v>0</v>
      </c>
      <c r="T166" s="43">
        <v>4259</v>
      </c>
      <c r="U166" s="43">
        <v>0</v>
      </c>
      <c r="V166" s="43">
        <v>16172</v>
      </c>
      <c r="W166" s="43">
        <v>0</v>
      </c>
      <c r="X166" s="43">
        <v>0</v>
      </c>
      <c r="Y166" s="43">
        <v>0</v>
      </c>
      <c r="Z166" s="43">
        <v>0</v>
      </c>
      <c r="AA166" s="43">
        <v>0</v>
      </c>
      <c r="AB166" s="43">
        <v>0</v>
      </c>
      <c r="AC166" s="43">
        <v>0</v>
      </c>
      <c r="AD166" s="43">
        <v>0</v>
      </c>
      <c r="AE166" s="43">
        <v>0</v>
      </c>
      <c r="AF166" s="43">
        <v>0</v>
      </c>
      <c r="AG166" s="43"/>
      <c r="AH166" s="43">
        <f t="shared" si="7"/>
        <v>1212460</v>
      </c>
    </row>
    <row r="167" spans="1:65" s="4" customFormat="1" hidden="1" x14ac:dyDescent="0.2">
      <c r="A167" s="4">
        <v>136</v>
      </c>
      <c r="B167" s="35" t="s">
        <v>194</v>
      </c>
      <c r="C167" s="35"/>
      <c r="D167" s="35" t="s">
        <v>60</v>
      </c>
      <c r="E167" s="35"/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3">
        <v>0</v>
      </c>
      <c r="Z167" s="43">
        <v>0</v>
      </c>
      <c r="AA167" s="43">
        <v>0</v>
      </c>
      <c r="AB167" s="43">
        <v>0</v>
      </c>
      <c r="AC167" s="43">
        <v>0</v>
      </c>
      <c r="AD167" s="43">
        <v>0</v>
      </c>
      <c r="AE167" s="43">
        <v>0</v>
      </c>
      <c r="AF167" s="43">
        <v>0</v>
      </c>
      <c r="AG167" s="43"/>
      <c r="AH167" s="43">
        <f>SUM(F167:AF167)</f>
        <v>0</v>
      </c>
    </row>
    <row r="168" spans="1:65" s="4" customFormat="1" x14ac:dyDescent="0.2">
      <c r="A168" s="4">
        <v>160</v>
      </c>
      <c r="B168" s="7" t="s">
        <v>587</v>
      </c>
      <c r="C168" s="7"/>
      <c r="D168" s="7" t="s">
        <v>18</v>
      </c>
      <c r="E168" s="7"/>
      <c r="F168" s="43">
        <v>4300245</v>
      </c>
      <c r="G168" s="43">
        <v>0</v>
      </c>
      <c r="H168" s="43">
        <f>3039678+3934</f>
        <v>3043612</v>
      </c>
      <c r="I168" s="43">
        <v>0</v>
      </c>
      <c r="J168" s="43">
        <v>584941</v>
      </c>
      <c r="K168" s="43">
        <v>0</v>
      </c>
      <c r="L168" s="43">
        <v>311013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38528</v>
      </c>
      <c r="S168" s="43">
        <v>0</v>
      </c>
      <c r="T168" s="43">
        <v>13887</v>
      </c>
      <c r="U168" s="43">
        <v>0</v>
      </c>
      <c r="V168" s="43">
        <v>55853</v>
      </c>
      <c r="W168" s="43">
        <v>0</v>
      </c>
      <c r="X168" s="43">
        <v>0</v>
      </c>
      <c r="Y168" s="43">
        <v>0</v>
      </c>
      <c r="Z168" s="43">
        <v>0</v>
      </c>
      <c r="AA168" s="43">
        <v>0</v>
      </c>
      <c r="AB168" s="43">
        <v>0</v>
      </c>
      <c r="AC168" s="43">
        <v>0</v>
      </c>
      <c r="AD168" s="43">
        <v>0</v>
      </c>
      <c r="AE168" s="43">
        <v>0</v>
      </c>
      <c r="AF168" s="43">
        <v>0</v>
      </c>
      <c r="AG168" s="43"/>
      <c r="AH168" s="43">
        <f t="shared" si="7"/>
        <v>8348079</v>
      </c>
    </row>
    <row r="169" spans="1:65" s="4" customFormat="1" hidden="1" x14ac:dyDescent="0.2">
      <c r="A169" s="4">
        <v>190</v>
      </c>
      <c r="B169" s="35" t="s">
        <v>481</v>
      </c>
      <c r="C169" s="35"/>
      <c r="D169" s="35" t="s">
        <v>424</v>
      </c>
      <c r="E169" s="35"/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3">
        <v>0</v>
      </c>
      <c r="Z169" s="43">
        <v>0</v>
      </c>
      <c r="AA169" s="43">
        <v>0</v>
      </c>
      <c r="AB169" s="43">
        <v>0</v>
      </c>
      <c r="AC169" s="43">
        <v>0</v>
      </c>
      <c r="AD169" s="43">
        <v>0</v>
      </c>
      <c r="AE169" s="43">
        <v>0</v>
      </c>
      <c r="AF169" s="43">
        <v>0</v>
      </c>
      <c r="AG169" s="43"/>
      <c r="AH169" s="43">
        <f>SUM(F169:AF169)</f>
        <v>0</v>
      </c>
    </row>
    <row r="170" spans="1:65" s="4" customFormat="1" x14ac:dyDescent="0.2">
      <c r="A170" s="4">
        <v>149</v>
      </c>
      <c r="B170" s="4" t="s">
        <v>12</v>
      </c>
      <c r="D170" s="4" t="s">
        <v>13</v>
      </c>
      <c r="F170" s="43">
        <v>2047953</v>
      </c>
      <c r="G170" s="43">
        <v>0</v>
      </c>
      <c r="H170" s="43">
        <v>1479778</v>
      </c>
      <c r="I170" s="43">
        <v>0</v>
      </c>
      <c r="J170" s="43">
        <v>0</v>
      </c>
      <c r="K170" s="43">
        <v>0</v>
      </c>
      <c r="L170" s="43">
        <v>118199</v>
      </c>
      <c r="M170" s="43">
        <v>0</v>
      </c>
      <c r="N170" s="43">
        <v>0</v>
      </c>
      <c r="O170" s="43">
        <v>0</v>
      </c>
      <c r="P170" s="43">
        <v>0</v>
      </c>
      <c r="Q170" s="43">
        <v>0</v>
      </c>
      <c r="R170" s="43">
        <v>3070</v>
      </c>
      <c r="S170" s="43">
        <v>0</v>
      </c>
      <c r="T170" s="43">
        <v>2044</v>
      </c>
      <c r="U170" s="43">
        <v>0</v>
      </c>
      <c r="V170" s="43">
        <v>33961</v>
      </c>
      <c r="W170" s="43">
        <v>0</v>
      </c>
      <c r="X170" s="43">
        <v>0</v>
      </c>
      <c r="Y170" s="43">
        <v>0</v>
      </c>
      <c r="Z170" s="43">
        <v>0</v>
      </c>
      <c r="AA170" s="43">
        <v>0</v>
      </c>
      <c r="AB170" s="43">
        <v>0</v>
      </c>
      <c r="AC170" s="43">
        <v>0</v>
      </c>
      <c r="AD170" s="43">
        <v>0</v>
      </c>
      <c r="AE170" s="43">
        <v>0</v>
      </c>
      <c r="AF170" s="43">
        <v>0</v>
      </c>
      <c r="AG170" s="43"/>
      <c r="AH170" s="43">
        <f t="shared" si="7"/>
        <v>3685005</v>
      </c>
    </row>
    <row r="171" spans="1:65" s="4" customFormat="1" hidden="1" x14ac:dyDescent="0.2">
      <c r="A171" s="4">
        <v>128</v>
      </c>
      <c r="B171" s="35" t="s">
        <v>588</v>
      </c>
      <c r="C171" s="35"/>
      <c r="D171" s="35" t="s">
        <v>48</v>
      </c>
      <c r="E171" s="35"/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3">
        <v>0</v>
      </c>
      <c r="Z171" s="43">
        <v>0</v>
      </c>
      <c r="AA171" s="43">
        <v>0</v>
      </c>
      <c r="AB171" s="43">
        <v>0</v>
      </c>
      <c r="AC171" s="43">
        <v>0</v>
      </c>
      <c r="AD171" s="43">
        <v>0</v>
      </c>
      <c r="AE171" s="43">
        <v>0</v>
      </c>
      <c r="AF171" s="43">
        <v>0</v>
      </c>
      <c r="AG171" s="43"/>
      <c r="AH171" s="43">
        <f>SUM(F171:AF171)</f>
        <v>0</v>
      </c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</row>
    <row r="172" spans="1:65" s="4" customFormat="1" hidden="1" x14ac:dyDescent="0.2">
      <c r="A172" s="4">
        <v>110</v>
      </c>
      <c r="B172" s="4" t="s">
        <v>195</v>
      </c>
      <c r="D172" s="4" t="s">
        <v>8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3">
        <v>0</v>
      </c>
      <c r="X172" s="43">
        <v>0</v>
      </c>
      <c r="Y172" s="43">
        <v>0</v>
      </c>
      <c r="Z172" s="43">
        <v>0</v>
      </c>
      <c r="AA172" s="43">
        <v>0</v>
      </c>
      <c r="AB172" s="43">
        <v>0</v>
      </c>
      <c r="AC172" s="43">
        <v>0</v>
      </c>
      <c r="AD172" s="43">
        <v>0</v>
      </c>
      <c r="AE172" s="43">
        <v>0</v>
      </c>
      <c r="AF172" s="43">
        <v>0</v>
      </c>
      <c r="AG172" s="43"/>
      <c r="AH172" s="43">
        <f t="shared" si="7"/>
        <v>0</v>
      </c>
    </row>
    <row r="173" spans="1:65" s="4" customFormat="1" x14ac:dyDescent="0.2">
      <c r="A173" s="4">
        <v>149</v>
      </c>
      <c r="B173" s="4" t="s">
        <v>652</v>
      </c>
      <c r="D173" s="4" t="s">
        <v>8</v>
      </c>
      <c r="F173" s="43">
        <v>2971372</v>
      </c>
      <c r="G173" s="43">
        <v>0</v>
      </c>
      <c r="H173" s="43">
        <v>4405470</v>
      </c>
      <c r="I173" s="43">
        <v>0</v>
      </c>
      <c r="J173" s="43">
        <v>0</v>
      </c>
      <c r="K173" s="43">
        <v>0</v>
      </c>
      <c r="L173" s="43">
        <v>256122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25162</v>
      </c>
      <c r="S173" s="43">
        <v>0</v>
      </c>
      <c r="T173" s="43">
        <v>16551</v>
      </c>
      <c r="U173" s="43">
        <v>0</v>
      </c>
      <c r="V173" s="43">
        <v>42865</v>
      </c>
      <c r="W173" s="43">
        <v>0</v>
      </c>
      <c r="X173" s="43">
        <v>0</v>
      </c>
      <c r="Y173" s="43">
        <v>0</v>
      </c>
      <c r="Z173" s="43">
        <v>0</v>
      </c>
      <c r="AA173" s="43">
        <v>0</v>
      </c>
      <c r="AB173" s="43">
        <v>0</v>
      </c>
      <c r="AC173" s="43">
        <v>0</v>
      </c>
      <c r="AD173" s="43">
        <v>0</v>
      </c>
      <c r="AE173" s="43">
        <v>0</v>
      </c>
      <c r="AF173" s="43">
        <v>0</v>
      </c>
      <c r="AG173" s="43"/>
      <c r="AH173" s="43">
        <f t="shared" ref="AH173" si="8">SUM(F173:AF173)</f>
        <v>7717542</v>
      </c>
    </row>
    <row r="174" spans="1:65" s="4" customFormat="1" hidden="1" x14ac:dyDescent="0.2">
      <c r="A174" s="4">
        <v>253</v>
      </c>
      <c r="B174" s="4" t="s">
        <v>196</v>
      </c>
      <c r="D174" s="4" t="s">
        <v>165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43">
        <v>0</v>
      </c>
      <c r="Y174" s="43">
        <v>0</v>
      </c>
      <c r="Z174" s="43">
        <v>0</v>
      </c>
      <c r="AA174" s="43">
        <v>0</v>
      </c>
      <c r="AB174" s="43">
        <v>0</v>
      </c>
      <c r="AC174" s="43">
        <v>0</v>
      </c>
      <c r="AD174" s="43">
        <v>0</v>
      </c>
      <c r="AE174" s="43">
        <v>0</v>
      </c>
      <c r="AF174" s="43">
        <v>0</v>
      </c>
      <c r="AG174" s="43"/>
      <c r="AH174" s="43">
        <f>SUM(F174:AF174)</f>
        <v>0</v>
      </c>
    </row>
    <row r="175" spans="1:65" s="4" customFormat="1" hidden="1" x14ac:dyDescent="0.2">
      <c r="A175" s="4">
        <v>1</v>
      </c>
      <c r="B175" s="4" t="s">
        <v>197</v>
      </c>
      <c r="D175" s="4" t="s">
        <v>51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3">
        <v>0</v>
      </c>
      <c r="Z175" s="43">
        <v>0</v>
      </c>
      <c r="AA175" s="43">
        <v>0</v>
      </c>
      <c r="AB175" s="43">
        <v>0</v>
      </c>
      <c r="AC175" s="43">
        <v>0</v>
      </c>
      <c r="AD175" s="43">
        <v>0</v>
      </c>
      <c r="AE175" s="43">
        <v>0</v>
      </c>
      <c r="AF175" s="43">
        <v>0</v>
      </c>
      <c r="AG175" s="43"/>
      <c r="AH175" s="43">
        <f>SUM(F175:AF175)</f>
        <v>0</v>
      </c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</row>
    <row r="176" spans="1:65" s="4" customFormat="1" hidden="1" x14ac:dyDescent="0.2">
      <c r="A176" s="4">
        <v>73</v>
      </c>
      <c r="B176" s="4" t="s">
        <v>198</v>
      </c>
      <c r="D176" s="4" t="s">
        <v>23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0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3">
        <v>0</v>
      </c>
      <c r="Z176" s="43">
        <v>0</v>
      </c>
      <c r="AA176" s="43">
        <v>0</v>
      </c>
      <c r="AB176" s="43">
        <v>0</v>
      </c>
      <c r="AC176" s="43">
        <v>0</v>
      </c>
      <c r="AD176" s="43">
        <v>0</v>
      </c>
      <c r="AE176" s="43">
        <v>0</v>
      </c>
      <c r="AF176" s="43">
        <v>0</v>
      </c>
      <c r="AG176" s="43"/>
      <c r="AH176" s="43">
        <f>SUM(F176:AF176)</f>
        <v>0</v>
      </c>
    </row>
    <row r="177" spans="1:65" s="4" customFormat="1" hidden="1" x14ac:dyDescent="0.2">
      <c r="A177" s="4">
        <v>163</v>
      </c>
      <c r="B177" s="4" t="s">
        <v>307</v>
      </c>
      <c r="D177" s="4" t="s">
        <v>61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0</v>
      </c>
      <c r="Y177" s="43">
        <v>0</v>
      </c>
      <c r="Z177" s="43">
        <v>0</v>
      </c>
      <c r="AA177" s="43">
        <v>0</v>
      </c>
      <c r="AB177" s="43">
        <v>0</v>
      </c>
      <c r="AC177" s="43">
        <v>0</v>
      </c>
      <c r="AD177" s="43">
        <v>0</v>
      </c>
      <c r="AE177" s="43">
        <v>0</v>
      </c>
      <c r="AF177" s="43">
        <v>0</v>
      </c>
      <c r="AG177" s="43"/>
      <c r="AH177" s="43">
        <f>SUM(F177:AF177)</f>
        <v>0</v>
      </c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</row>
    <row r="178" spans="1:65" s="4" customFormat="1" hidden="1" x14ac:dyDescent="0.2">
      <c r="A178" s="4">
        <v>146</v>
      </c>
      <c r="B178" s="35" t="s">
        <v>499</v>
      </c>
      <c r="C178" s="35"/>
      <c r="D178" s="35" t="s">
        <v>62</v>
      </c>
      <c r="E178" s="35"/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3">
        <v>0</v>
      </c>
      <c r="Z178" s="43">
        <v>0</v>
      </c>
      <c r="AA178" s="43">
        <v>0</v>
      </c>
      <c r="AB178" s="43">
        <v>0</v>
      </c>
      <c r="AC178" s="43">
        <v>0</v>
      </c>
      <c r="AD178" s="43">
        <v>0</v>
      </c>
      <c r="AE178" s="43">
        <v>0</v>
      </c>
      <c r="AF178" s="43">
        <v>0</v>
      </c>
      <c r="AG178" s="43"/>
      <c r="AH178" s="43">
        <f>SUM(F178:AF178)</f>
        <v>0</v>
      </c>
    </row>
    <row r="179" spans="1:65" s="4" customFormat="1" x14ac:dyDescent="0.2">
      <c r="A179" s="4">
        <v>227</v>
      </c>
      <c r="B179" s="4" t="s">
        <v>200</v>
      </c>
      <c r="D179" s="4" t="s">
        <v>87</v>
      </c>
      <c r="F179" s="43">
        <v>92080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4245</v>
      </c>
      <c r="M179" s="43">
        <v>0</v>
      </c>
      <c r="N179" s="43">
        <v>0</v>
      </c>
      <c r="O179" s="43">
        <v>0</v>
      </c>
      <c r="P179" s="43">
        <v>0</v>
      </c>
      <c r="Q179" s="43">
        <v>0</v>
      </c>
      <c r="R179" s="43">
        <v>4158</v>
      </c>
      <c r="S179" s="43">
        <v>0</v>
      </c>
      <c r="T179" s="43">
        <v>700</v>
      </c>
      <c r="U179" s="43">
        <v>0</v>
      </c>
      <c r="V179" s="43">
        <v>2330</v>
      </c>
      <c r="W179" s="43">
        <v>0</v>
      </c>
      <c r="X179" s="43">
        <v>0</v>
      </c>
      <c r="Y179" s="43">
        <v>0</v>
      </c>
      <c r="Z179" s="43">
        <v>0</v>
      </c>
      <c r="AA179" s="43">
        <v>0</v>
      </c>
      <c r="AB179" s="43">
        <v>0</v>
      </c>
      <c r="AC179" s="43">
        <v>0</v>
      </c>
      <c r="AD179" s="43">
        <v>0</v>
      </c>
      <c r="AE179" s="43">
        <v>0</v>
      </c>
      <c r="AF179" s="43">
        <v>0</v>
      </c>
      <c r="AG179" s="43"/>
      <c r="AH179" s="43">
        <f t="shared" si="7"/>
        <v>103513</v>
      </c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</row>
    <row r="180" spans="1:65" s="4" customFormat="1" x14ac:dyDescent="0.2">
      <c r="A180" s="4">
        <v>108</v>
      </c>
      <c r="B180" s="4" t="s">
        <v>201</v>
      </c>
      <c r="D180" s="4" t="s">
        <v>202</v>
      </c>
      <c r="F180" s="43">
        <v>0</v>
      </c>
      <c r="G180" s="43">
        <v>0</v>
      </c>
      <c r="H180" s="43">
        <v>203850</v>
      </c>
      <c r="I180" s="43">
        <v>0</v>
      </c>
      <c r="J180" s="43">
        <v>0</v>
      </c>
      <c r="K180" s="43">
        <v>0</v>
      </c>
      <c r="L180" s="43">
        <v>10490</v>
      </c>
      <c r="M180" s="43">
        <v>0</v>
      </c>
      <c r="N180" s="43">
        <v>0</v>
      </c>
      <c r="O180" s="43">
        <v>0</v>
      </c>
      <c r="P180" s="43">
        <v>0</v>
      </c>
      <c r="Q180" s="43">
        <v>0</v>
      </c>
      <c r="R180" s="43">
        <v>3392</v>
      </c>
      <c r="S180" s="43">
        <v>0</v>
      </c>
      <c r="T180" s="43">
        <v>3982</v>
      </c>
      <c r="U180" s="43">
        <v>0</v>
      </c>
      <c r="V180" s="43">
        <v>4021</v>
      </c>
      <c r="W180" s="43">
        <v>0</v>
      </c>
      <c r="X180" s="43">
        <v>0</v>
      </c>
      <c r="Y180" s="43">
        <v>0</v>
      </c>
      <c r="Z180" s="43">
        <v>0</v>
      </c>
      <c r="AA180" s="43">
        <v>0</v>
      </c>
      <c r="AB180" s="43">
        <v>0</v>
      </c>
      <c r="AC180" s="43">
        <v>0</v>
      </c>
      <c r="AD180" s="43">
        <v>0</v>
      </c>
      <c r="AE180" s="43">
        <v>0</v>
      </c>
      <c r="AF180" s="43">
        <v>0</v>
      </c>
      <c r="AG180" s="43"/>
      <c r="AH180" s="43">
        <f t="shared" si="7"/>
        <v>225735</v>
      </c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</row>
    <row r="181" spans="1:65" s="4" customFormat="1" x14ac:dyDescent="0.2"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H181" s="8" t="s">
        <v>576</v>
      </c>
    </row>
    <row r="182" spans="1:65" s="4" customFormat="1" hidden="1" x14ac:dyDescent="0.2"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</row>
    <row r="183" spans="1:65" x14ac:dyDescent="0.2">
      <c r="B183" s="3" t="s">
        <v>513</v>
      </c>
    </row>
    <row r="184" spans="1:65" x14ac:dyDescent="0.2">
      <c r="B184" s="3" t="s">
        <v>632</v>
      </c>
    </row>
    <row r="185" spans="1:65" hidden="1" x14ac:dyDescent="0.2">
      <c r="B185" s="83" t="s">
        <v>5</v>
      </c>
      <c r="F185" s="3">
        <v>0</v>
      </c>
      <c r="H185" s="3">
        <v>0</v>
      </c>
      <c r="J185" s="3">
        <v>0</v>
      </c>
      <c r="L185" s="3">
        <v>0</v>
      </c>
      <c r="N185" s="3">
        <v>0</v>
      </c>
      <c r="P185" s="3">
        <v>0</v>
      </c>
      <c r="R185" s="3">
        <v>0</v>
      </c>
      <c r="T185" s="3">
        <v>0</v>
      </c>
      <c r="V185" s="3">
        <v>0</v>
      </c>
      <c r="X185" s="3">
        <v>0</v>
      </c>
      <c r="Z185" s="3">
        <v>0</v>
      </c>
      <c r="AB185" s="3">
        <v>0</v>
      </c>
      <c r="AD185" s="3">
        <v>0</v>
      </c>
      <c r="AF185" s="3">
        <v>0</v>
      </c>
    </row>
    <row r="186" spans="1:65" s="36" customFormat="1" x14ac:dyDescent="0.2">
      <c r="B186" s="86" t="s">
        <v>5</v>
      </c>
      <c r="H186" s="36" t="s">
        <v>280</v>
      </c>
    </row>
    <row r="187" spans="1:65" s="36" customFormat="1" x14ac:dyDescent="0.2">
      <c r="F187" s="36" t="s">
        <v>29</v>
      </c>
      <c r="H187" s="36" t="s">
        <v>281</v>
      </c>
      <c r="P187" s="36" t="s">
        <v>27</v>
      </c>
      <c r="R187" s="36" t="s">
        <v>287</v>
      </c>
      <c r="X187" s="36" t="s">
        <v>292</v>
      </c>
      <c r="AD187" s="36" t="s">
        <v>0</v>
      </c>
    </row>
    <row r="188" spans="1:65" s="36" customFormat="1" ht="12" customHeight="1" x14ac:dyDescent="0.2">
      <c r="F188" s="36" t="s">
        <v>0</v>
      </c>
      <c r="H188" s="36" t="s">
        <v>282</v>
      </c>
      <c r="J188" s="36" t="s">
        <v>344</v>
      </c>
      <c r="L188" s="36" t="s">
        <v>284</v>
      </c>
      <c r="P188" s="36" t="s">
        <v>286</v>
      </c>
      <c r="R188" s="36" t="s">
        <v>288</v>
      </c>
      <c r="T188" s="36" t="s">
        <v>290</v>
      </c>
      <c r="X188" s="36" t="s">
        <v>293</v>
      </c>
      <c r="AD188" s="36" t="s">
        <v>294</v>
      </c>
      <c r="AF188" s="36" t="s">
        <v>549</v>
      </c>
    </row>
    <row r="189" spans="1:65" s="36" customFormat="1" ht="12" customHeight="1" x14ac:dyDescent="0.2">
      <c r="A189" s="36" t="s">
        <v>563</v>
      </c>
      <c r="B189" s="37" t="s">
        <v>3</v>
      </c>
      <c r="D189" s="37" t="s">
        <v>4</v>
      </c>
      <c r="F189" s="37" t="s">
        <v>279</v>
      </c>
      <c r="H189" s="37" t="s">
        <v>283</v>
      </c>
      <c r="I189" s="44"/>
      <c r="J189" s="37" t="s">
        <v>345</v>
      </c>
      <c r="L189" s="37" t="s">
        <v>285</v>
      </c>
      <c r="N189" s="37" t="s">
        <v>546</v>
      </c>
      <c r="P189" s="37" t="s">
        <v>548</v>
      </c>
      <c r="R189" s="37" t="s">
        <v>289</v>
      </c>
      <c r="T189" s="37" t="s">
        <v>291</v>
      </c>
      <c r="V189" s="37" t="s">
        <v>1</v>
      </c>
      <c r="X189" s="37" t="s">
        <v>30</v>
      </c>
      <c r="Z189" s="37" t="s">
        <v>500</v>
      </c>
      <c r="AB189" s="37" t="s">
        <v>501</v>
      </c>
      <c r="AD189" s="37" t="s">
        <v>295</v>
      </c>
      <c r="AF189" s="37" t="s">
        <v>416</v>
      </c>
      <c r="AH189" s="45" t="s">
        <v>26</v>
      </c>
    </row>
    <row r="190" spans="1:65" s="36" customFormat="1" ht="12" customHeight="1" x14ac:dyDescent="0.2">
      <c r="B190" s="44"/>
      <c r="D190" s="44"/>
      <c r="F190" s="44"/>
      <c r="H190" s="44"/>
      <c r="I190" s="44"/>
      <c r="J190" s="44"/>
      <c r="L190" s="44"/>
      <c r="N190" s="44"/>
      <c r="P190" s="44"/>
      <c r="R190" s="44"/>
      <c r="T190" s="44"/>
      <c r="V190" s="44"/>
      <c r="X190" s="44"/>
      <c r="Z190" s="44"/>
      <c r="AB190" s="44"/>
      <c r="AD190" s="44"/>
      <c r="AF190" s="44"/>
      <c r="AH190" s="57"/>
    </row>
    <row r="191" spans="1:65" s="4" customFormat="1" x14ac:dyDescent="0.2">
      <c r="A191" s="4">
        <v>72</v>
      </c>
      <c r="B191" s="4" t="s">
        <v>203</v>
      </c>
      <c r="D191" s="4" t="s">
        <v>13</v>
      </c>
      <c r="F191" s="93">
        <v>1035483</v>
      </c>
      <c r="G191" s="93">
        <v>0</v>
      </c>
      <c r="H191" s="93">
        <v>1262490</v>
      </c>
      <c r="I191" s="93">
        <v>0</v>
      </c>
      <c r="J191" s="93">
        <v>195121</v>
      </c>
      <c r="K191" s="93">
        <v>0</v>
      </c>
      <c r="L191" s="93">
        <v>83766</v>
      </c>
      <c r="M191" s="93">
        <v>0</v>
      </c>
      <c r="N191" s="93">
        <v>0</v>
      </c>
      <c r="O191" s="93">
        <v>0</v>
      </c>
      <c r="P191" s="93">
        <v>0</v>
      </c>
      <c r="Q191" s="93">
        <v>0</v>
      </c>
      <c r="R191" s="93">
        <v>3140</v>
      </c>
      <c r="S191" s="93">
        <v>0</v>
      </c>
      <c r="T191" s="93">
        <v>7013</v>
      </c>
      <c r="U191" s="93">
        <v>0</v>
      </c>
      <c r="V191" s="93">
        <v>8628</v>
      </c>
      <c r="W191" s="93">
        <v>0</v>
      </c>
      <c r="X191" s="93">
        <v>0</v>
      </c>
      <c r="Y191" s="93">
        <v>0</v>
      </c>
      <c r="Z191" s="93">
        <v>0</v>
      </c>
      <c r="AA191" s="93">
        <v>0</v>
      </c>
      <c r="AB191" s="93">
        <v>0</v>
      </c>
      <c r="AC191" s="93">
        <v>0</v>
      </c>
      <c r="AD191" s="93">
        <v>0</v>
      </c>
      <c r="AE191" s="93">
        <v>0</v>
      </c>
      <c r="AF191" s="93">
        <v>0</v>
      </c>
      <c r="AG191" s="93"/>
      <c r="AH191" s="93">
        <f>SUM(F191:AF191)</f>
        <v>2595641</v>
      </c>
    </row>
    <row r="192" spans="1:65" s="4" customFormat="1" hidden="1" x14ac:dyDescent="0.2">
      <c r="A192" s="4">
        <v>21</v>
      </c>
      <c r="B192" s="4" t="s">
        <v>204</v>
      </c>
      <c r="D192" s="4" t="s">
        <v>66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3">
        <v>0</v>
      </c>
      <c r="Q192" s="43">
        <v>0</v>
      </c>
      <c r="R192" s="43">
        <v>0</v>
      </c>
      <c r="S192" s="43">
        <v>0</v>
      </c>
      <c r="T192" s="43">
        <v>0</v>
      </c>
      <c r="U192" s="43">
        <v>0</v>
      </c>
      <c r="V192" s="43">
        <v>0</v>
      </c>
      <c r="W192" s="43">
        <v>0</v>
      </c>
      <c r="X192" s="43">
        <v>0</v>
      </c>
      <c r="Y192" s="43">
        <v>0</v>
      </c>
      <c r="Z192" s="43">
        <v>0</v>
      </c>
      <c r="AA192" s="43">
        <v>0</v>
      </c>
      <c r="AB192" s="43">
        <v>0</v>
      </c>
      <c r="AC192" s="43">
        <v>0</v>
      </c>
      <c r="AD192" s="43">
        <v>0</v>
      </c>
      <c r="AE192" s="43">
        <v>0</v>
      </c>
      <c r="AF192" s="43">
        <v>0</v>
      </c>
      <c r="AG192" s="43"/>
      <c r="AH192" s="43">
        <f>SUM(F192:AF192)</f>
        <v>0</v>
      </c>
    </row>
    <row r="193" spans="1:65" s="4" customFormat="1" hidden="1" x14ac:dyDescent="0.2">
      <c r="A193" s="4">
        <v>125</v>
      </c>
      <c r="B193" s="4" t="s">
        <v>205</v>
      </c>
      <c r="D193" s="4" t="s">
        <v>10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0</v>
      </c>
      <c r="W193" s="43">
        <v>0</v>
      </c>
      <c r="X193" s="43">
        <v>0</v>
      </c>
      <c r="Y193" s="43">
        <v>0</v>
      </c>
      <c r="Z193" s="43">
        <v>0</v>
      </c>
      <c r="AA193" s="43">
        <v>0</v>
      </c>
      <c r="AB193" s="43">
        <v>0</v>
      </c>
      <c r="AC193" s="43">
        <v>0</v>
      </c>
      <c r="AD193" s="43">
        <v>0</v>
      </c>
      <c r="AE193" s="43">
        <v>0</v>
      </c>
      <c r="AF193" s="43">
        <v>0</v>
      </c>
      <c r="AG193" s="43"/>
      <c r="AH193" s="43">
        <f>SUM(F193:AF193)</f>
        <v>0</v>
      </c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</row>
    <row r="194" spans="1:65" s="4" customFormat="1" x14ac:dyDescent="0.2">
      <c r="A194" s="4">
        <v>140</v>
      </c>
      <c r="B194" s="4" t="s">
        <v>423</v>
      </c>
      <c r="D194" s="4" t="s">
        <v>14</v>
      </c>
      <c r="F194" s="43">
        <v>1063476</v>
      </c>
      <c r="G194" s="43">
        <v>0</v>
      </c>
      <c r="H194" s="43">
        <v>1231187</v>
      </c>
      <c r="I194" s="43">
        <v>0</v>
      </c>
      <c r="J194" s="43">
        <v>157042</v>
      </c>
      <c r="K194" s="43">
        <v>0</v>
      </c>
      <c r="L194" s="43">
        <v>32016</v>
      </c>
      <c r="M194" s="43">
        <v>0</v>
      </c>
      <c r="N194" s="43">
        <v>0</v>
      </c>
      <c r="O194" s="43">
        <v>0</v>
      </c>
      <c r="P194" s="43">
        <v>0</v>
      </c>
      <c r="Q194" s="43">
        <v>0</v>
      </c>
      <c r="R194" s="43">
        <v>0</v>
      </c>
      <c r="S194" s="43">
        <v>0</v>
      </c>
      <c r="T194" s="43">
        <v>947</v>
      </c>
      <c r="U194" s="43">
        <v>0</v>
      </c>
      <c r="V194" s="43">
        <v>21023</v>
      </c>
      <c r="W194" s="43">
        <v>0</v>
      </c>
      <c r="X194" s="43">
        <v>0</v>
      </c>
      <c r="Y194" s="43">
        <v>0</v>
      </c>
      <c r="Z194" s="43">
        <v>0</v>
      </c>
      <c r="AA194" s="43">
        <v>0</v>
      </c>
      <c r="AB194" s="43">
        <v>0</v>
      </c>
      <c r="AC194" s="43">
        <v>0</v>
      </c>
      <c r="AD194" s="43">
        <v>0</v>
      </c>
      <c r="AE194" s="43">
        <v>0</v>
      </c>
      <c r="AF194" s="43">
        <v>0</v>
      </c>
      <c r="AG194" s="43"/>
      <c r="AH194" s="43">
        <f>SUM(F194:AF194)</f>
        <v>2505691</v>
      </c>
    </row>
    <row r="195" spans="1:65" s="4" customFormat="1" x14ac:dyDescent="0.2">
      <c r="A195" s="4">
        <v>187</v>
      </c>
      <c r="B195" s="4" t="s">
        <v>589</v>
      </c>
      <c r="D195" s="4" t="s">
        <v>207</v>
      </c>
      <c r="F195" s="88">
        <v>1658673</v>
      </c>
      <c r="G195" s="88">
        <v>0</v>
      </c>
      <c r="H195" s="88">
        <v>0</v>
      </c>
      <c r="I195" s="88">
        <v>0</v>
      </c>
      <c r="J195" s="88">
        <v>2373877</v>
      </c>
      <c r="K195" s="88">
        <v>0</v>
      </c>
      <c r="L195" s="88">
        <v>84448</v>
      </c>
      <c r="M195" s="88">
        <v>0</v>
      </c>
      <c r="N195" s="88">
        <v>0</v>
      </c>
      <c r="O195" s="88">
        <v>0</v>
      </c>
      <c r="P195" s="88">
        <v>23434</v>
      </c>
      <c r="Q195" s="88">
        <v>0</v>
      </c>
      <c r="R195" s="88">
        <v>22109</v>
      </c>
      <c r="S195" s="88">
        <v>0</v>
      </c>
      <c r="T195" s="88">
        <v>22292</v>
      </c>
      <c r="U195" s="88">
        <v>0</v>
      </c>
      <c r="V195" s="88">
        <v>46630</v>
      </c>
      <c r="W195" s="88">
        <v>0</v>
      </c>
      <c r="X195" s="88">
        <v>0</v>
      </c>
      <c r="Y195" s="88">
        <v>0</v>
      </c>
      <c r="Z195" s="88">
        <v>0</v>
      </c>
      <c r="AA195" s="88">
        <v>0</v>
      </c>
      <c r="AB195" s="88">
        <v>0</v>
      </c>
      <c r="AC195" s="88">
        <v>0</v>
      </c>
      <c r="AD195" s="88">
        <v>0</v>
      </c>
      <c r="AE195" s="88">
        <v>0</v>
      </c>
      <c r="AF195" s="88">
        <v>0</v>
      </c>
      <c r="AG195" s="88"/>
      <c r="AH195" s="88">
        <f t="shared" si="7"/>
        <v>4231463</v>
      </c>
    </row>
    <row r="196" spans="1:65" s="4" customFormat="1" hidden="1" x14ac:dyDescent="0.2">
      <c r="A196" s="4">
        <v>17</v>
      </c>
      <c r="B196" s="4" t="s">
        <v>308</v>
      </c>
      <c r="D196" s="4" t="s">
        <v>58</v>
      </c>
      <c r="F196" s="91">
        <v>0</v>
      </c>
      <c r="G196" s="91">
        <v>0</v>
      </c>
      <c r="H196" s="91">
        <v>0</v>
      </c>
      <c r="I196" s="91">
        <v>0</v>
      </c>
      <c r="J196" s="91">
        <v>0</v>
      </c>
      <c r="K196" s="91">
        <v>0</v>
      </c>
      <c r="L196" s="91">
        <v>0</v>
      </c>
      <c r="M196" s="91">
        <v>0</v>
      </c>
      <c r="N196" s="91">
        <v>0</v>
      </c>
      <c r="O196" s="91">
        <v>0</v>
      </c>
      <c r="P196" s="91">
        <v>0</v>
      </c>
      <c r="Q196" s="91">
        <v>0</v>
      </c>
      <c r="R196" s="91">
        <v>0</v>
      </c>
      <c r="S196" s="91">
        <v>0</v>
      </c>
      <c r="T196" s="91">
        <v>0</v>
      </c>
      <c r="U196" s="91">
        <v>0</v>
      </c>
      <c r="V196" s="91">
        <v>0</v>
      </c>
      <c r="W196" s="91">
        <v>0</v>
      </c>
      <c r="X196" s="91">
        <v>0</v>
      </c>
      <c r="Y196" s="91">
        <v>0</v>
      </c>
      <c r="Z196" s="91">
        <v>0</v>
      </c>
      <c r="AA196" s="91">
        <v>0</v>
      </c>
      <c r="AB196" s="91">
        <v>0</v>
      </c>
      <c r="AC196" s="91">
        <v>0</v>
      </c>
      <c r="AD196" s="91">
        <v>0</v>
      </c>
      <c r="AE196" s="91">
        <v>0</v>
      </c>
      <c r="AF196" s="91">
        <v>0</v>
      </c>
      <c r="AG196" s="15"/>
      <c r="AH196" s="15">
        <f>SUM(F196:AF196)</f>
        <v>0</v>
      </c>
    </row>
    <row r="197" spans="1:65" s="4" customFormat="1" hidden="1" x14ac:dyDescent="0.2">
      <c r="A197" s="4">
        <v>109</v>
      </c>
      <c r="B197" s="35" t="s">
        <v>452</v>
      </c>
      <c r="C197" s="35"/>
      <c r="D197" s="35" t="s">
        <v>208</v>
      </c>
      <c r="E197" s="35"/>
      <c r="F197" s="91">
        <v>0</v>
      </c>
      <c r="G197" s="91">
        <v>0</v>
      </c>
      <c r="H197" s="91">
        <v>0</v>
      </c>
      <c r="I197" s="91">
        <v>0</v>
      </c>
      <c r="J197" s="91">
        <v>0</v>
      </c>
      <c r="K197" s="91">
        <v>0</v>
      </c>
      <c r="L197" s="91">
        <v>0</v>
      </c>
      <c r="M197" s="91">
        <v>0</v>
      </c>
      <c r="N197" s="91">
        <v>0</v>
      </c>
      <c r="O197" s="91">
        <v>0</v>
      </c>
      <c r="P197" s="91">
        <v>0</v>
      </c>
      <c r="Q197" s="91">
        <v>0</v>
      </c>
      <c r="R197" s="91">
        <v>0</v>
      </c>
      <c r="S197" s="91">
        <v>0</v>
      </c>
      <c r="T197" s="91">
        <v>0</v>
      </c>
      <c r="U197" s="91">
        <v>0</v>
      </c>
      <c r="V197" s="91">
        <v>0</v>
      </c>
      <c r="W197" s="91">
        <v>0</v>
      </c>
      <c r="X197" s="91">
        <v>0</v>
      </c>
      <c r="Y197" s="91">
        <v>0</v>
      </c>
      <c r="Z197" s="91">
        <v>0</v>
      </c>
      <c r="AA197" s="91">
        <v>0</v>
      </c>
      <c r="AB197" s="91">
        <v>0</v>
      </c>
      <c r="AC197" s="91">
        <v>0</v>
      </c>
      <c r="AD197" s="91">
        <v>0</v>
      </c>
      <c r="AE197" s="91">
        <v>0</v>
      </c>
      <c r="AF197" s="91">
        <v>0</v>
      </c>
      <c r="AG197" s="35"/>
      <c r="AH197" s="4">
        <f t="shared" si="7"/>
        <v>0</v>
      </c>
    </row>
    <row r="198" spans="1:65" s="4" customFormat="1" ht="12" hidden="1" customHeight="1" x14ac:dyDescent="0.2">
      <c r="A198" s="4">
        <v>207</v>
      </c>
      <c r="B198" s="4" t="s">
        <v>432</v>
      </c>
      <c r="D198" s="4" t="s">
        <v>54</v>
      </c>
      <c r="F198" s="91">
        <v>0</v>
      </c>
      <c r="G198" s="91">
        <v>0</v>
      </c>
      <c r="H198" s="91">
        <v>0</v>
      </c>
      <c r="I198" s="91">
        <v>0</v>
      </c>
      <c r="J198" s="91">
        <v>0</v>
      </c>
      <c r="K198" s="91">
        <v>0</v>
      </c>
      <c r="L198" s="91">
        <v>0</v>
      </c>
      <c r="M198" s="91">
        <v>0</v>
      </c>
      <c r="N198" s="91">
        <v>0</v>
      </c>
      <c r="O198" s="91">
        <v>0</v>
      </c>
      <c r="P198" s="91">
        <v>0</v>
      </c>
      <c r="Q198" s="91">
        <v>0</v>
      </c>
      <c r="R198" s="91">
        <v>0</v>
      </c>
      <c r="S198" s="91">
        <v>0</v>
      </c>
      <c r="T198" s="91">
        <v>0</v>
      </c>
      <c r="U198" s="91">
        <v>0</v>
      </c>
      <c r="V198" s="91">
        <v>0</v>
      </c>
      <c r="W198" s="91">
        <v>0</v>
      </c>
      <c r="X198" s="91">
        <v>0</v>
      </c>
      <c r="Y198" s="91">
        <v>0</v>
      </c>
      <c r="Z198" s="91">
        <v>0</v>
      </c>
      <c r="AA198" s="91">
        <v>0</v>
      </c>
      <c r="AB198" s="91">
        <v>0</v>
      </c>
      <c r="AC198" s="91">
        <v>0</v>
      </c>
      <c r="AD198" s="91">
        <v>0</v>
      </c>
      <c r="AE198" s="91">
        <v>0</v>
      </c>
      <c r="AF198" s="91">
        <v>0</v>
      </c>
      <c r="AH198" s="4">
        <f t="shared" si="7"/>
        <v>0</v>
      </c>
    </row>
    <row r="199" spans="1:65" s="4" customFormat="1" hidden="1" x14ac:dyDescent="0.2">
      <c r="A199" s="4">
        <v>243</v>
      </c>
      <c r="B199" s="35" t="s">
        <v>453</v>
      </c>
      <c r="C199" s="35"/>
      <c r="D199" s="35" t="s">
        <v>112</v>
      </c>
      <c r="E199" s="35"/>
      <c r="F199" s="91">
        <v>0</v>
      </c>
      <c r="G199" s="91">
        <v>0</v>
      </c>
      <c r="H199" s="91">
        <v>0</v>
      </c>
      <c r="I199" s="91">
        <v>0</v>
      </c>
      <c r="J199" s="91">
        <v>0</v>
      </c>
      <c r="K199" s="91">
        <v>0</v>
      </c>
      <c r="L199" s="91">
        <v>0</v>
      </c>
      <c r="M199" s="91">
        <v>0</v>
      </c>
      <c r="N199" s="91">
        <v>0</v>
      </c>
      <c r="O199" s="91">
        <v>0</v>
      </c>
      <c r="P199" s="91">
        <v>0</v>
      </c>
      <c r="Q199" s="91">
        <v>0</v>
      </c>
      <c r="R199" s="91">
        <v>0</v>
      </c>
      <c r="S199" s="91">
        <v>0</v>
      </c>
      <c r="T199" s="91">
        <v>0</v>
      </c>
      <c r="U199" s="91">
        <v>0</v>
      </c>
      <c r="V199" s="91">
        <v>0</v>
      </c>
      <c r="W199" s="91">
        <v>0</v>
      </c>
      <c r="X199" s="91">
        <v>0</v>
      </c>
      <c r="Y199" s="91">
        <v>0</v>
      </c>
      <c r="Z199" s="91">
        <v>0</v>
      </c>
      <c r="AA199" s="91">
        <v>0</v>
      </c>
      <c r="AB199" s="91">
        <v>0</v>
      </c>
      <c r="AC199" s="91">
        <v>0</v>
      </c>
      <c r="AD199" s="91">
        <v>0</v>
      </c>
      <c r="AE199" s="91">
        <v>0</v>
      </c>
      <c r="AF199" s="91">
        <v>0</v>
      </c>
      <c r="AG199" s="15"/>
      <c r="AH199" s="15">
        <f>SUM(F199:AF199)</f>
        <v>0</v>
      </c>
    </row>
    <row r="200" spans="1:65" s="4" customFormat="1" x14ac:dyDescent="0.2">
      <c r="A200" s="4">
        <v>6</v>
      </c>
      <c r="B200" s="4" t="s">
        <v>337</v>
      </c>
      <c r="D200" s="4" t="s">
        <v>87</v>
      </c>
      <c r="F200" s="43">
        <v>199447.92</v>
      </c>
      <c r="G200" s="43">
        <v>0</v>
      </c>
      <c r="H200" s="43">
        <v>3000</v>
      </c>
      <c r="I200" s="43">
        <v>0</v>
      </c>
      <c r="J200" s="43">
        <v>0</v>
      </c>
      <c r="K200" s="43">
        <v>0</v>
      </c>
      <c r="L200" s="43">
        <f>4239.29+4004.03</f>
        <v>8243.32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1043.72</v>
      </c>
      <c r="S200" s="43">
        <v>0</v>
      </c>
      <c r="T200" s="43">
        <v>3479.64</v>
      </c>
      <c r="U200" s="43">
        <v>0</v>
      </c>
      <c r="V200" s="43">
        <v>75.510000000000005</v>
      </c>
      <c r="W200" s="43">
        <v>0</v>
      </c>
      <c r="X200" s="43">
        <v>0</v>
      </c>
      <c r="Y200" s="43">
        <v>0</v>
      </c>
      <c r="Z200" s="43">
        <v>6237.16</v>
      </c>
      <c r="AA200" s="43">
        <v>0</v>
      </c>
      <c r="AB200" s="43">
        <v>0</v>
      </c>
      <c r="AC200" s="43">
        <v>0</v>
      </c>
      <c r="AD200" s="43">
        <v>0</v>
      </c>
      <c r="AE200" s="43">
        <v>0</v>
      </c>
      <c r="AF200" s="43">
        <v>0</v>
      </c>
      <c r="AG200" s="43"/>
      <c r="AH200" s="43">
        <f t="shared" si="7"/>
        <v>221527.27000000005</v>
      </c>
    </row>
    <row r="201" spans="1:65" s="4" customFormat="1" hidden="1" x14ac:dyDescent="0.2">
      <c r="A201" s="4">
        <v>68</v>
      </c>
      <c r="B201" s="35" t="s">
        <v>209</v>
      </c>
      <c r="C201" s="35"/>
      <c r="D201" s="35" t="s">
        <v>79</v>
      </c>
      <c r="E201" s="35"/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3">
        <v>0</v>
      </c>
      <c r="Q201" s="43">
        <v>0</v>
      </c>
      <c r="R201" s="43">
        <v>0</v>
      </c>
      <c r="S201" s="43">
        <v>0</v>
      </c>
      <c r="T201" s="43">
        <v>0</v>
      </c>
      <c r="U201" s="43">
        <v>0</v>
      </c>
      <c r="V201" s="43">
        <v>0</v>
      </c>
      <c r="W201" s="43">
        <v>0</v>
      </c>
      <c r="X201" s="43">
        <v>0</v>
      </c>
      <c r="Y201" s="43">
        <v>0</v>
      </c>
      <c r="Z201" s="43">
        <v>0</v>
      </c>
      <c r="AA201" s="43">
        <v>0</v>
      </c>
      <c r="AB201" s="43">
        <v>0</v>
      </c>
      <c r="AC201" s="43">
        <v>0</v>
      </c>
      <c r="AD201" s="43">
        <v>0</v>
      </c>
      <c r="AE201" s="43">
        <v>0</v>
      </c>
      <c r="AF201" s="43">
        <v>0</v>
      </c>
      <c r="AG201" s="43"/>
      <c r="AH201" s="43">
        <f>SUM(F201:AF201)</f>
        <v>0</v>
      </c>
    </row>
    <row r="202" spans="1:65" s="4" customFormat="1" hidden="1" x14ac:dyDescent="0.2">
      <c r="A202" s="4">
        <v>196</v>
      </c>
      <c r="B202" s="35" t="s">
        <v>454</v>
      </c>
      <c r="C202" s="35"/>
      <c r="D202" s="35" t="s">
        <v>64</v>
      </c>
      <c r="E202" s="35"/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43">
        <v>0</v>
      </c>
      <c r="R202" s="43">
        <v>0</v>
      </c>
      <c r="S202" s="43">
        <v>0</v>
      </c>
      <c r="T202" s="43">
        <v>0</v>
      </c>
      <c r="U202" s="43">
        <v>0</v>
      </c>
      <c r="V202" s="43">
        <v>0</v>
      </c>
      <c r="W202" s="43">
        <v>0</v>
      </c>
      <c r="X202" s="43">
        <v>0</v>
      </c>
      <c r="Y202" s="43">
        <v>0</v>
      </c>
      <c r="Z202" s="43">
        <v>0</v>
      </c>
      <c r="AA202" s="43">
        <v>0</v>
      </c>
      <c r="AB202" s="43">
        <v>0</v>
      </c>
      <c r="AC202" s="43">
        <v>0</v>
      </c>
      <c r="AD202" s="43">
        <v>0</v>
      </c>
      <c r="AE202" s="43">
        <v>0</v>
      </c>
      <c r="AF202" s="43">
        <v>0</v>
      </c>
      <c r="AG202" s="43"/>
      <c r="AH202" s="43">
        <f>SUM(F202:AF202)</f>
        <v>0</v>
      </c>
    </row>
    <row r="203" spans="1:65" s="4" customFormat="1" hidden="1" x14ac:dyDescent="0.2">
      <c r="A203" s="4">
        <v>45</v>
      </c>
      <c r="B203" s="4" t="s">
        <v>210</v>
      </c>
      <c r="D203" s="4" t="s">
        <v>24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v>0</v>
      </c>
      <c r="P203" s="43">
        <v>0</v>
      </c>
      <c r="Q203" s="43">
        <v>0</v>
      </c>
      <c r="R203" s="43">
        <v>0</v>
      </c>
      <c r="S203" s="43">
        <v>0</v>
      </c>
      <c r="T203" s="43">
        <v>0</v>
      </c>
      <c r="U203" s="43">
        <v>0</v>
      </c>
      <c r="V203" s="43">
        <v>0</v>
      </c>
      <c r="W203" s="43">
        <v>0</v>
      </c>
      <c r="X203" s="43">
        <v>0</v>
      </c>
      <c r="Y203" s="43">
        <v>0</v>
      </c>
      <c r="Z203" s="43">
        <v>0</v>
      </c>
      <c r="AA203" s="43">
        <v>0</v>
      </c>
      <c r="AB203" s="43">
        <v>0</v>
      </c>
      <c r="AC203" s="43">
        <v>0</v>
      </c>
      <c r="AD203" s="43">
        <v>0</v>
      </c>
      <c r="AE203" s="43">
        <v>0</v>
      </c>
      <c r="AF203" s="43">
        <v>0</v>
      </c>
      <c r="AG203" s="43"/>
      <c r="AH203" s="43">
        <f>SUM(F203:AF203)</f>
        <v>0</v>
      </c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</row>
    <row r="204" spans="1:65" s="4" customFormat="1" x14ac:dyDescent="0.2">
      <c r="A204" s="4">
        <v>88</v>
      </c>
      <c r="B204" s="4" t="s">
        <v>211</v>
      </c>
      <c r="D204" s="4" t="s">
        <v>54</v>
      </c>
      <c r="F204" s="43">
        <v>253675</v>
      </c>
      <c r="G204" s="43">
        <v>0</v>
      </c>
      <c r="H204" s="43">
        <v>481580</v>
      </c>
      <c r="I204" s="43">
        <v>0</v>
      </c>
      <c r="J204" s="43">
        <v>0</v>
      </c>
      <c r="K204" s="43">
        <v>0</v>
      </c>
      <c r="L204" s="43">
        <v>10285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4828</v>
      </c>
      <c r="S204" s="43">
        <v>0</v>
      </c>
      <c r="T204" s="43">
        <v>546</v>
      </c>
      <c r="U204" s="43">
        <v>0</v>
      </c>
      <c r="V204" s="43">
        <v>1901</v>
      </c>
      <c r="W204" s="43">
        <v>0</v>
      </c>
      <c r="X204" s="43">
        <v>0</v>
      </c>
      <c r="Y204" s="43">
        <v>0</v>
      </c>
      <c r="Z204" s="43">
        <v>0</v>
      </c>
      <c r="AA204" s="43">
        <v>0</v>
      </c>
      <c r="AB204" s="43">
        <v>0</v>
      </c>
      <c r="AC204" s="43">
        <v>0</v>
      </c>
      <c r="AD204" s="43">
        <v>0</v>
      </c>
      <c r="AE204" s="43">
        <v>0</v>
      </c>
      <c r="AF204" s="43">
        <v>0</v>
      </c>
      <c r="AG204" s="43"/>
      <c r="AH204" s="43">
        <f t="shared" si="7"/>
        <v>752815</v>
      </c>
    </row>
    <row r="205" spans="1:65" s="4" customFormat="1" hidden="1" x14ac:dyDescent="0.2">
      <c r="A205" s="39">
        <v>197.1</v>
      </c>
      <c r="B205" s="4" t="s">
        <v>214</v>
      </c>
      <c r="D205" s="4" t="s">
        <v>40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3">
        <v>0</v>
      </c>
      <c r="X205" s="43">
        <v>0</v>
      </c>
      <c r="Y205" s="43">
        <v>0</v>
      </c>
      <c r="Z205" s="43">
        <v>0</v>
      </c>
      <c r="AA205" s="43">
        <v>0</v>
      </c>
      <c r="AB205" s="43">
        <v>0</v>
      </c>
      <c r="AC205" s="43">
        <v>0</v>
      </c>
      <c r="AD205" s="43">
        <v>0</v>
      </c>
      <c r="AE205" s="43">
        <v>0</v>
      </c>
      <c r="AF205" s="43">
        <v>0</v>
      </c>
      <c r="AG205" s="43"/>
      <c r="AH205" s="43">
        <f>SUM(F205:AF205)</f>
        <v>0</v>
      </c>
    </row>
    <row r="206" spans="1:65" s="4" customFormat="1" hidden="1" x14ac:dyDescent="0.2">
      <c r="A206" s="4">
        <v>92</v>
      </c>
      <c r="B206" s="35" t="s">
        <v>215</v>
      </c>
      <c r="C206" s="35"/>
      <c r="D206" s="35" t="s">
        <v>63</v>
      </c>
      <c r="E206" s="35"/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43">
        <v>0</v>
      </c>
      <c r="Z206" s="43">
        <v>0</v>
      </c>
      <c r="AA206" s="43">
        <v>0</v>
      </c>
      <c r="AB206" s="43">
        <v>0</v>
      </c>
      <c r="AC206" s="43">
        <v>0</v>
      </c>
      <c r="AD206" s="43">
        <v>0</v>
      </c>
      <c r="AE206" s="43">
        <v>0</v>
      </c>
      <c r="AF206" s="43">
        <v>0</v>
      </c>
      <c r="AG206" s="43"/>
      <c r="AH206" s="43">
        <f>SUM(F206:AF206)</f>
        <v>0</v>
      </c>
    </row>
    <row r="207" spans="1:65" s="4" customFormat="1" hidden="1" x14ac:dyDescent="0.2">
      <c r="A207" s="4">
        <v>139</v>
      </c>
      <c r="B207" s="4" t="s">
        <v>216</v>
      </c>
      <c r="D207" s="4" t="s">
        <v>23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3">
        <v>0</v>
      </c>
      <c r="X207" s="43">
        <v>0</v>
      </c>
      <c r="Y207" s="43">
        <v>0</v>
      </c>
      <c r="Z207" s="43">
        <v>0</v>
      </c>
      <c r="AA207" s="43">
        <v>0</v>
      </c>
      <c r="AB207" s="43">
        <v>0</v>
      </c>
      <c r="AC207" s="43">
        <v>0</v>
      </c>
      <c r="AD207" s="43">
        <v>0</v>
      </c>
      <c r="AE207" s="43">
        <v>0</v>
      </c>
      <c r="AF207" s="43">
        <v>0</v>
      </c>
      <c r="AG207" s="43"/>
      <c r="AH207" s="43">
        <f t="shared" si="7"/>
        <v>0</v>
      </c>
    </row>
    <row r="208" spans="1:65" s="4" customFormat="1" x14ac:dyDescent="0.2">
      <c r="B208" s="4" t="s">
        <v>603</v>
      </c>
      <c r="D208" s="4" t="s">
        <v>54</v>
      </c>
      <c r="F208" s="43">
        <v>0</v>
      </c>
      <c r="G208" s="43">
        <v>0</v>
      </c>
      <c r="H208" s="43">
        <v>0</v>
      </c>
      <c r="I208" s="43">
        <v>0</v>
      </c>
      <c r="J208" s="43">
        <v>248494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228312</v>
      </c>
      <c r="Q208" s="43">
        <v>0</v>
      </c>
      <c r="R208" s="43">
        <v>0</v>
      </c>
      <c r="S208" s="43">
        <v>0</v>
      </c>
      <c r="T208" s="43">
        <v>1682</v>
      </c>
      <c r="U208" s="43">
        <v>0</v>
      </c>
      <c r="V208" s="43">
        <v>88989</v>
      </c>
      <c r="W208" s="43">
        <v>0</v>
      </c>
      <c r="X208" s="43">
        <v>0</v>
      </c>
      <c r="Y208" s="43">
        <v>0</v>
      </c>
      <c r="Z208" s="43">
        <v>0</v>
      </c>
      <c r="AA208" s="43">
        <v>0</v>
      </c>
      <c r="AB208" s="43">
        <v>0</v>
      </c>
      <c r="AC208" s="43">
        <v>0</v>
      </c>
      <c r="AD208" s="43">
        <v>0</v>
      </c>
      <c r="AE208" s="43">
        <v>0</v>
      </c>
      <c r="AF208" s="43">
        <v>0</v>
      </c>
      <c r="AG208" s="43"/>
      <c r="AH208" s="43">
        <f t="shared" si="7"/>
        <v>567477</v>
      </c>
    </row>
    <row r="209" spans="1:65" s="4" customFormat="1" x14ac:dyDescent="0.2">
      <c r="A209" s="4">
        <v>132</v>
      </c>
      <c r="B209" s="4" t="s">
        <v>434</v>
      </c>
      <c r="D209" s="4" t="s">
        <v>63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3">
        <v>17975</v>
      </c>
      <c r="Q209" s="43">
        <v>0</v>
      </c>
      <c r="R209" s="43">
        <v>0</v>
      </c>
      <c r="S209" s="43">
        <v>0</v>
      </c>
      <c r="T209" s="43">
        <v>45</v>
      </c>
      <c r="U209" s="43">
        <v>0</v>
      </c>
      <c r="V209" s="43">
        <v>0</v>
      </c>
      <c r="W209" s="43">
        <v>0</v>
      </c>
      <c r="X209" s="43">
        <v>0</v>
      </c>
      <c r="Y209" s="43">
        <v>0</v>
      </c>
      <c r="Z209" s="43">
        <v>28760</v>
      </c>
      <c r="AA209" s="43">
        <v>0</v>
      </c>
      <c r="AB209" s="43">
        <v>0</v>
      </c>
      <c r="AC209" s="43">
        <v>0</v>
      </c>
      <c r="AD209" s="43">
        <v>0</v>
      </c>
      <c r="AE209" s="43">
        <v>0</v>
      </c>
      <c r="AF209" s="43">
        <v>0</v>
      </c>
      <c r="AG209" s="43"/>
      <c r="AH209" s="43">
        <f t="shared" si="7"/>
        <v>46780</v>
      </c>
    </row>
    <row r="210" spans="1:65" s="4" customFormat="1" hidden="1" x14ac:dyDescent="0.2">
      <c r="A210" s="4">
        <v>9</v>
      </c>
      <c r="B210" s="4" t="s">
        <v>217</v>
      </c>
      <c r="D210" s="4" t="s">
        <v>87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0</v>
      </c>
      <c r="O210" s="43">
        <v>0</v>
      </c>
      <c r="P210" s="43">
        <v>0</v>
      </c>
      <c r="Q210" s="43">
        <v>0</v>
      </c>
      <c r="R210" s="43">
        <v>0</v>
      </c>
      <c r="S210" s="43">
        <v>0</v>
      </c>
      <c r="T210" s="43">
        <v>0</v>
      </c>
      <c r="U210" s="43">
        <v>0</v>
      </c>
      <c r="V210" s="43">
        <v>0</v>
      </c>
      <c r="W210" s="43">
        <v>0</v>
      </c>
      <c r="X210" s="43">
        <v>0</v>
      </c>
      <c r="Y210" s="43">
        <v>0</v>
      </c>
      <c r="Z210" s="43">
        <v>0</v>
      </c>
      <c r="AA210" s="43">
        <v>0</v>
      </c>
      <c r="AB210" s="43">
        <v>0</v>
      </c>
      <c r="AC210" s="43">
        <v>0</v>
      </c>
      <c r="AD210" s="43">
        <v>0</v>
      </c>
      <c r="AE210" s="43">
        <v>0</v>
      </c>
      <c r="AF210" s="43">
        <v>0</v>
      </c>
      <c r="AG210" s="43"/>
      <c r="AH210" s="43">
        <f>SUM(F210:AF210)</f>
        <v>0</v>
      </c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</row>
    <row r="211" spans="1:65" s="4" customFormat="1" x14ac:dyDescent="0.2">
      <c r="A211" s="4">
        <v>107</v>
      </c>
      <c r="B211" s="4" t="s">
        <v>218</v>
      </c>
      <c r="D211" s="4" t="s">
        <v>156</v>
      </c>
      <c r="F211" s="43">
        <v>235626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10542</v>
      </c>
      <c r="M211" s="43">
        <v>0</v>
      </c>
      <c r="N211" s="43">
        <v>0</v>
      </c>
      <c r="O211" s="43">
        <v>0</v>
      </c>
      <c r="P211" s="43">
        <v>0</v>
      </c>
      <c r="Q211" s="43">
        <v>0</v>
      </c>
      <c r="R211" s="43">
        <v>15896</v>
      </c>
      <c r="S211" s="43">
        <v>0</v>
      </c>
      <c r="T211" s="43">
        <v>622</v>
      </c>
      <c r="U211" s="43">
        <v>0</v>
      </c>
      <c r="V211" s="43">
        <v>4211</v>
      </c>
      <c r="W211" s="43">
        <v>0</v>
      </c>
      <c r="X211" s="43">
        <v>0</v>
      </c>
      <c r="Y211" s="43">
        <v>0</v>
      </c>
      <c r="Z211" s="43">
        <v>0</v>
      </c>
      <c r="AA211" s="43">
        <v>0</v>
      </c>
      <c r="AB211" s="43">
        <v>0</v>
      </c>
      <c r="AC211" s="43">
        <v>0</v>
      </c>
      <c r="AD211" s="43">
        <v>0</v>
      </c>
      <c r="AE211" s="43">
        <v>0</v>
      </c>
      <c r="AF211" s="43">
        <v>0</v>
      </c>
      <c r="AG211" s="43"/>
      <c r="AH211" s="43">
        <f t="shared" si="7"/>
        <v>266897</v>
      </c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</row>
    <row r="212" spans="1:65" s="4" customFormat="1" x14ac:dyDescent="0.2">
      <c r="A212" s="4">
        <v>240</v>
      </c>
      <c r="B212" s="4" t="s">
        <v>219</v>
      </c>
      <c r="D212" s="4" t="s">
        <v>168</v>
      </c>
      <c r="F212" s="43">
        <v>0</v>
      </c>
      <c r="G212" s="43">
        <v>0</v>
      </c>
      <c r="H212" s="43">
        <v>199023</v>
      </c>
      <c r="I212" s="43">
        <v>0</v>
      </c>
      <c r="J212" s="43">
        <v>0</v>
      </c>
      <c r="K212" s="43">
        <v>0</v>
      </c>
      <c r="L212" s="43">
        <v>9188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43">
        <v>1818</v>
      </c>
      <c r="S212" s="43">
        <v>0</v>
      </c>
      <c r="T212" s="43">
        <v>9153</v>
      </c>
      <c r="U212" s="43">
        <v>0</v>
      </c>
      <c r="V212" s="43">
        <v>23774</v>
      </c>
      <c r="W212" s="43">
        <v>0</v>
      </c>
      <c r="X212" s="43">
        <v>0</v>
      </c>
      <c r="Y212" s="43">
        <v>0</v>
      </c>
      <c r="Z212" s="43">
        <v>0</v>
      </c>
      <c r="AA212" s="43">
        <v>0</v>
      </c>
      <c r="AB212" s="43">
        <v>0</v>
      </c>
      <c r="AC212" s="43">
        <v>0</v>
      </c>
      <c r="AD212" s="43">
        <v>0</v>
      </c>
      <c r="AE212" s="43">
        <v>0</v>
      </c>
      <c r="AF212" s="43">
        <v>0</v>
      </c>
      <c r="AG212" s="43"/>
      <c r="AH212" s="43">
        <f t="shared" si="7"/>
        <v>242956</v>
      </c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</row>
    <row r="213" spans="1:65" s="4" customFormat="1" hidden="1" x14ac:dyDescent="0.2">
      <c r="A213" s="4">
        <v>237</v>
      </c>
      <c r="B213" s="4" t="s">
        <v>220</v>
      </c>
      <c r="D213" s="4" t="s">
        <v>55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v>0</v>
      </c>
      <c r="P213" s="43">
        <v>0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43">
        <v>0</v>
      </c>
      <c r="X213" s="43">
        <v>0</v>
      </c>
      <c r="Y213" s="43">
        <v>0</v>
      </c>
      <c r="Z213" s="43">
        <v>0</v>
      </c>
      <c r="AA213" s="43">
        <v>0</v>
      </c>
      <c r="AB213" s="43">
        <v>0</v>
      </c>
      <c r="AC213" s="43">
        <v>0</v>
      </c>
      <c r="AD213" s="43">
        <v>0</v>
      </c>
      <c r="AE213" s="43">
        <v>0</v>
      </c>
      <c r="AF213" s="43">
        <v>0</v>
      </c>
      <c r="AG213" s="43"/>
      <c r="AH213" s="43">
        <f>SUM(F213:AF213)</f>
        <v>0</v>
      </c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</row>
    <row r="214" spans="1:65" s="7" customFormat="1" x14ac:dyDescent="0.2">
      <c r="A214" s="4">
        <v>167</v>
      </c>
      <c r="B214" s="4" t="s">
        <v>222</v>
      </c>
      <c r="C214" s="4"/>
      <c r="D214" s="4" t="s">
        <v>223</v>
      </c>
      <c r="E214" s="4"/>
      <c r="F214" s="43">
        <v>331366</v>
      </c>
      <c r="G214" s="43">
        <v>0</v>
      </c>
      <c r="H214" s="43">
        <v>508123</v>
      </c>
      <c r="I214" s="43">
        <v>0</v>
      </c>
      <c r="J214" s="43">
        <v>28890</v>
      </c>
      <c r="K214" s="43">
        <v>0</v>
      </c>
      <c r="L214" s="43">
        <v>40776</v>
      </c>
      <c r="M214" s="43">
        <v>0</v>
      </c>
      <c r="N214" s="43">
        <v>0</v>
      </c>
      <c r="O214" s="43">
        <v>0</v>
      </c>
      <c r="P214" s="43">
        <v>0</v>
      </c>
      <c r="Q214" s="43">
        <v>0</v>
      </c>
      <c r="R214" s="43">
        <v>22125</v>
      </c>
      <c r="S214" s="43">
        <v>0</v>
      </c>
      <c r="T214" s="43">
        <v>5388</v>
      </c>
      <c r="U214" s="43">
        <v>0</v>
      </c>
      <c r="V214" s="43">
        <v>120</v>
      </c>
      <c r="W214" s="43">
        <v>0</v>
      </c>
      <c r="X214" s="43">
        <v>0</v>
      </c>
      <c r="Y214" s="43">
        <v>0</v>
      </c>
      <c r="Z214" s="43">
        <v>0</v>
      </c>
      <c r="AA214" s="43">
        <v>0</v>
      </c>
      <c r="AB214" s="43">
        <v>0</v>
      </c>
      <c r="AC214" s="43">
        <v>0</v>
      </c>
      <c r="AD214" s="43">
        <v>0</v>
      </c>
      <c r="AE214" s="43">
        <v>0</v>
      </c>
      <c r="AF214" s="43">
        <v>0</v>
      </c>
      <c r="AG214" s="43"/>
      <c r="AH214" s="43">
        <f t="shared" si="7"/>
        <v>936788</v>
      </c>
    </row>
    <row r="215" spans="1:65" s="4" customFormat="1" hidden="1" x14ac:dyDescent="0.2">
      <c r="A215" s="4">
        <v>217</v>
      </c>
      <c r="B215" s="35" t="s">
        <v>224</v>
      </c>
      <c r="C215" s="35"/>
      <c r="D215" s="35" t="s">
        <v>39</v>
      </c>
      <c r="E215" s="35"/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>
        <v>0</v>
      </c>
      <c r="P215" s="43">
        <v>0</v>
      </c>
      <c r="Q215" s="43">
        <v>0</v>
      </c>
      <c r="R215" s="43">
        <v>0</v>
      </c>
      <c r="S215" s="43">
        <v>0</v>
      </c>
      <c r="T215" s="43">
        <v>0</v>
      </c>
      <c r="U215" s="43">
        <v>0</v>
      </c>
      <c r="V215" s="43">
        <v>0</v>
      </c>
      <c r="W215" s="43">
        <v>0</v>
      </c>
      <c r="X215" s="43">
        <v>0</v>
      </c>
      <c r="Y215" s="43">
        <v>0</v>
      </c>
      <c r="Z215" s="43">
        <v>0</v>
      </c>
      <c r="AA215" s="43">
        <v>0</v>
      </c>
      <c r="AB215" s="43">
        <v>0</v>
      </c>
      <c r="AC215" s="43">
        <v>0</v>
      </c>
      <c r="AD215" s="43">
        <v>0</v>
      </c>
      <c r="AE215" s="43">
        <v>0</v>
      </c>
      <c r="AF215" s="43">
        <v>0</v>
      </c>
      <c r="AG215" s="43"/>
      <c r="AH215" s="43">
        <f t="shared" ref="AH215:AH220" si="9">SUM(F215:AF215)</f>
        <v>0</v>
      </c>
    </row>
    <row r="216" spans="1:65" s="4" customFormat="1" hidden="1" x14ac:dyDescent="0.2">
      <c r="A216" s="4">
        <v>193</v>
      </c>
      <c r="B216" s="35" t="s">
        <v>456</v>
      </c>
      <c r="C216" s="35"/>
      <c r="D216" s="35" t="s">
        <v>58</v>
      </c>
      <c r="E216" s="35"/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0</v>
      </c>
      <c r="V216" s="43">
        <v>0</v>
      </c>
      <c r="W216" s="43">
        <v>0</v>
      </c>
      <c r="X216" s="43">
        <v>0</v>
      </c>
      <c r="Y216" s="43">
        <v>0</v>
      </c>
      <c r="Z216" s="43">
        <v>0</v>
      </c>
      <c r="AA216" s="43">
        <v>0</v>
      </c>
      <c r="AB216" s="43">
        <v>0</v>
      </c>
      <c r="AC216" s="43">
        <v>0</v>
      </c>
      <c r="AD216" s="43">
        <v>0</v>
      </c>
      <c r="AE216" s="43">
        <v>0</v>
      </c>
      <c r="AF216" s="43">
        <v>0</v>
      </c>
      <c r="AG216" s="43"/>
      <c r="AH216" s="43">
        <f t="shared" si="9"/>
        <v>0</v>
      </c>
    </row>
    <row r="217" spans="1:65" s="4" customFormat="1" hidden="1" x14ac:dyDescent="0.2">
      <c r="A217" s="4">
        <v>191</v>
      </c>
      <c r="B217" s="4" t="s">
        <v>226</v>
      </c>
      <c r="D217" s="4" t="s">
        <v>227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>
        <v>0</v>
      </c>
      <c r="P217" s="43">
        <v>0</v>
      </c>
      <c r="Q217" s="43">
        <v>0</v>
      </c>
      <c r="R217" s="43">
        <v>0</v>
      </c>
      <c r="S217" s="43">
        <v>0</v>
      </c>
      <c r="T217" s="43">
        <v>0</v>
      </c>
      <c r="U217" s="43">
        <v>0</v>
      </c>
      <c r="V217" s="43">
        <v>0</v>
      </c>
      <c r="W217" s="43">
        <v>0</v>
      </c>
      <c r="X217" s="43">
        <v>0</v>
      </c>
      <c r="Y217" s="43">
        <v>0</v>
      </c>
      <c r="Z217" s="43">
        <v>0</v>
      </c>
      <c r="AA217" s="43">
        <v>0</v>
      </c>
      <c r="AB217" s="43">
        <v>0</v>
      </c>
      <c r="AC217" s="43">
        <v>0</v>
      </c>
      <c r="AD217" s="43">
        <v>0</v>
      </c>
      <c r="AE217" s="43">
        <v>0</v>
      </c>
      <c r="AF217" s="43">
        <v>0</v>
      </c>
      <c r="AG217" s="43"/>
      <c r="AH217" s="43">
        <f t="shared" si="9"/>
        <v>0</v>
      </c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</row>
    <row r="218" spans="1:65" s="4" customFormat="1" hidden="1" x14ac:dyDescent="0.2">
      <c r="A218" s="4">
        <v>255</v>
      </c>
      <c r="B218" s="4" t="s">
        <v>229</v>
      </c>
      <c r="D218" s="4" t="s">
        <v>63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3">
        <v>0</v>
      </c>
      <c r="X218" s="43">
        <v>0</v>
      </c>
      <c r="Y218" s="43">
        <v>0</v>
      </c>
      <c r="Z218" s="43">
        <v>0</v>
      </c>
      <c r="AA218" s="43">
        <v>0</v>
      </c>
      <c r="AB218" s="43">
        <v>0</v>
      </c>
      <c r="AC218" s="43">
        <v>0</v>
      </c>
      <c r="AD218" s="43">
        <v>0</v>
      </c>
      <c r="AE218" s="43">
        <v>0</v>
      </c>
      <c r="AF218" s="43">
        <v>0</v>
      </c>
      <c r="AG218" s="43"/>
      <c r="AH218" s="43">
        <f t="shared" si="9"/>
        <v>0</v>
      </c>
    </row>
    <row r="219" spans="1:65" s="4" customFormat="1" hidden="1" x14ac:dyDescent="0.2">
      <c r="A219" s="4">
        <v>214</v>
      </c>
      <c r="B219" s="4" t="s">
        <v>230</v>
      </c>
      <c r="D219" s="4" t="s">
        <v>20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43">
        <v>0</v>
      </c>
      <c r="T219" s="43">
        <v>0</v>
      </c>
      <c r="U219" s="43">
        <v>0</v>
      </c>
      <c r="V219" s="43">
        <v>0</v>
      </c>
      <c r="W219" s="43">
        <v>0</v>
      </c>
      <c r="X219" s="43">
        <v>0</v>
      </c>
      <c r="Y219" s="43">
        <v>0</v>
      </c>
      <c r="Z219" s="43">
        <v>0</v>
      </c>
      <c r="AA219" s="43">
        <v>0</v>
      </c>
      <c r="AB219" s="43">
        <v>0</v>
      </c>
      <c r="AC219" s="43">
        <v>0</v>
      </c>
      <c r="AD219" s="43">
        <v>0</v>
      </c>
      <c r="AE219" s="43">
        <v>0</v>
      </c>
      <c r="AF219" s="43">
        <v>0</v>
      </c>
      <c r="AG219" s="43"/>
      <c r="AH219" s="43">
        <f t="shared" si="9"/>
        <v>0</v>
      </c>
    </row>
    <row r="220" spans="1:65" s="4" customFormat="1" hidden="1" x14ac:dyDescent="0.2">
      <c r="A220" s="4">
        <v>129</v>
      </c>
      <c r="B220" s="35" t="s">
        <v>590</v>
      </c>
      <c r="C220" s="35"/>
      <c r="D220" s="35" t="s">
        <v>64</v>
      </c>
      <c r="E220" s="35"/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0</v>
      </c>
      <c r="W220" s="43">
        <v>0</v>
      </c>
      <c r="X220" s="43">
        <v>0</v>
      </c>
      <c r="Y220" s="43">
        <v>0</v>
      </c>
      <c r="Z220" s="43">
        <v>0</v>
      </c>
      <c r="AA220" s="43">
        <v>0</v>
      </c>
      <c r="AB220" s="43">
        <v>0</v>
      </c>
      <c r="AC220" s="43">
        <v>0</v>
      </c>
      <c r="AD220" s="43">
        <v>0</v>
      </c>
      <c r="AE220" s="43">
        <v>0</v>
      </c>
      <c r="AF220" s="43">
        <v>0</v>
      </c>
      <c r="AG220" s="43"/>
      <c r="AH220" s="43">
        <f t="shared" si="9"/>
        <v>0</v>
      </c>
    </row>
    <row r="221" spans="1:65" s="4" customFormat="1" x14ac:dyDescent="0.2">
      <c r="A221" s="4">
        <v>200</v>
      </c>
      <c r="B221" s="4" t="s">
        <v>231</v>
      </c>
      <c r="D221" s="4" t="s">
        <v>66</v>
      </c>
      <c r="F221" s="43">
        <v>0</v>
      </c>
      <c r="G221" s="43">
        <v>0</v>
      </c>
      <c r="H221" s="43">
        <v>206482</v>
      </c>
      <c r="I221" s="43">
        <v>0</v>
      </c>
      <c r="J221" s="43">
        <v>0</v>
      </c>
      <c r="K221" s="43">
        <v>0</v>
      </c>
      <c r="L221" s="43">
        <v>1931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20</v>
      </c>
      <c r="S221" s="43">
        <v>0</v>
      </c>
      <c r="T221" s="43">
        <v>36</v>
      </c>
      <c r="U221" s="43">
        <v>0</v>
      </c>
      <c r="V221" s="43">
        <v>121</v>
      </c>
      <c r="W221" s="43">
        <v>0</v>
      </c>
      <c r="X221" s="43">
        <v>0</v>
      </c>
      <c r="Y221" s="43">
        <v>0</v>
      </c>
      <c r="Z221" s="43">
        <v>0</v>
      </c>
      <c r="AA221" s="43">
        <v>0</v>
      </c>
      <c r="AB221" s="43">
        <v>0</v>
      </c>
      <c r="AC221" s="43">
        <v>0</v>
      </c>
      <c r="AD221" s="43">
        <v>0</v>
      </c>
      <c r="AE221" s="43">
        <v>0</v>
      </c>
      <c r="AF221" s="43">
        <v>0</v>
      </c>
      <c r="AG221" s="43"/>
      <c r="AH221" s="43">
        <f>SUM(F221:AF221)</f>
        <v>208590</v>
      </c>
    </row>
    <row r="222" spans="1:65" s="4" customFormat="1" x14ac:dyDescent="0.2">
      <c r="A222" s="4">
        <v>172</v>
      </c>
      <c r="B222" s="4" t="s">
        <v>232</v>
      </c>
      <c r="D222" s="4" t="s">
        <v>13</v>
      </c>
      <c r="F222" s="43">
        <v>882638.22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>
        <v>0</v>
      </c>
      <c r="P222" s="43">
        <v>0</v>
      </c>
      <c r="Q222" s="43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0</v>
      </c>
      <c r="W222" s="43">
        <v>0</v>
      </c>
      <c r="X222" s="43">
        <v>0</v>
      </c>
      <c r="Y222" s="43">
        <v>0</v>
      </c>
      <c r="Z222" s="43">
        <v>0</v>
      </c>
      <c r="AA222" s="43">
        <v>0</v>
      </c>
      <c r="AB222" s="43">
        <v>0</v>
      </c>
      <c r="AC222" s="43">
        <v>0</v>
      </c>
      <c r="AD222" s="43">
        <v>0</v>
      </c>
      <c r="AE222" s="43">
        <v>0</v>
      </c>
      <c r="AF222" s="43">
        <v>0</v>
      </c>
      <c r="AG222" s="43"/>
      <c r="AH222" s="43">
        <f>SUM(F222:AF222)</f>
        <v>882638.22</v>
      </c>
    </row>
    <row r="223" spans="1:65" s="4" customFormat="1" x14ac:dyDescent="0.2">
      <c r="A223" s="4">
        <v>213</v>
      </c>
      <c r="B223" s="4" t="s">
        <v>233</v>
      </c>
      <c r="D223" s="4" t="s">
        <v>234</v>
      </c>
      <c r="F223" s="43">
        <v>0</v>
      </c>
      <c r="G223" s="43">
        <v>0</v>
      </c>
      <c r="H223" s="43">
        <v>0</v>
      </c>
      <c r="I223" s="43">
        <v>0</v>
      </c>
      <c r="J223" s="43">
        <v>1410767</v>
      </c>
      <c r="K223" s="43">
        <v>0</v>
      </c>
      <c r="L223" s="43">
        <v>59934</v>
      </c>
      <c r="M223" s="43">
        <v>0</v>
      </c>
      <c r="N223" s="43">
        <v>0</v>
      </c>
      <c r="O223" s="43">
        <v>0</v>
      </c>
      <c r="P223" s="43">
        <v>0</v>
      </c>
      <c r="Q223" s="43">
        <v>0</v>
      </c>
      <c r="R223" s="43">
        <v>3107</v>
      </c>
      <c r="S223" s="43">
        <v>0</v>
      </c>
      <c r="T223" s="43">
        <v>45691</v>
      </c>
      <c r="U223" s="43">
        <v>0</v>
      </c>
      <c r="V223" s="43">
        <v>9737</v>
      </c>
      <c r="W223" s="43">
        <v>0</v>
      </c>
      <c r="X223" s="43">
        <v>0</v>
      </c>
      <c r="Y223" s="43">
        <v>0</v>
      </c>
      <c r="Z223" s="43">
        <v>0</v>
      </c>
      <c r="AA223" s="43">
        <v>0</v>
      </c>
      <c r="AB223" s="43">
        <v>0</v>
      </c>
      <c r="AC223" s="43">
        <v>0</v>
      </c>
      <c r="AD223" s="43">
        <v>0</v>
      </c>
      <c r="AE223" s="43">
        <v>0</v>
      </c>
      <c r="AF223" s="43">
        <v>0</v>
      </c>
      <c r="AG223" s="43"/>
      <c r="AH223" s="43">
        <f t="shared" si="7"/>
        <v>1529236</v>
      </c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</row>
    <row r="224" spans="1:65" s="4" customFormat="1" hidden="1" x14ac:dyDescent="0.2">
      <c r="A224" s="4">
        <v>122</v>
      </c>
      <c r="B224" s="4" t="s">
        <v>310</v>
      </c>
      <c r="D224" s="4" t="s">
        <v>65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>
        <v>0</v>
      </c>
      <c r="P224" s="43">
        <v>0</v>
      </c>
      <c r="Q224" s="43">
        <v>0</v>
      </c>
      <c r="R224" s="43">
        <v>0</v>
      </c>
      <c r="S224" s="43">
        <v>0</v>
      </c>
      <c r="T224" s="43">
        <v>0</v>
      </c>
      <c r="U224" s="43">
        <v>0</v>
      </c>
      <c r="V224" s="43">
        <v>0</v>
      </c>
      <c r="W224" s="43">
        <v>0</v>
      </c>
      <c r="X224" s="43">
        <v>0</v>
      </c>
      <c r="Y224" s="43">
        <v>0</v>
      </c>
      <c r="Z224" s="43">
        <v>0</v>
      </c>
      <c r="AA224" s="43">
        <v>0</v>
      </c>
      <c r="AB224" s="43">
        <v>0</v>
      </c>
      <c r="AC224" s="43">
        <v>0</v>
      </c>
      <c r="AD224" s="43">
        <v>0</v>
      </c>
      <c r="AE224" s="43">
        <v>0</v>
      </c>
      <c r="AF224" s="43">
        <v>0</v>
      </c>
      <c r="AG224" s="43"/>
      <c r="AH224" s="43">
        <f>SUM(F224:AF224)</f>
        <v>0</v>
      </c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</row>
    <row r="225" spans="1:65" s="4" customFormat="1" hidden="1" x14ac:dyDescent="0.2">
      <c r="A225" s="4">
        <v>257</v>
      </c>
      <c r="B225" s="4" t="s">
        <v>570</v>
      </c>
      <c r="D225" s="4" t="s">
        <v>51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3">
        <v>0</v>
      </c>
      <c r="R225" s="43">
        <v>0</v>
      </c>
      <c r="S225" s="43">
        <v>0</v>
      </c>
      <c r="T225" s="43">
        <v>0</v>
      </c>
      <c r="U225" s="43">
        <v>0</v>
      </c>
      <c r="V225" s="43">
        <v>0</v>
      </c>
      <c r="W225" s="43">
        <v>0</v>
      </c>
      <c r="X225" s="43">
        <v>0</v>
      </c>
      <c r="Y225" s="43">
        <v>0</v>
      </c>
      <c r="Z225" s="43">
        <v>0</v>
      </c>
      <c r="AA225" s="43">
        <v>0</v>
      </c>
      <c r="AB225" s="43">
        <v>0</v>
      </c>
      <c r="AC225" s="43">
        <v>0</v>
      </c>
      <c r="AD225" s="43">
        <v>0</v>
      </c>
      <c r="AE225" s="43">
        <v>0</v>
      </c>
      <c r="AF225" s="43">
        <v>0</v>
      </c>
      <c r="AG225" s="43"/>
      <c r="AH225" s="43">
        <f>SUM(F225:AF225)</f>
        <v>0</v>
      </c>
    </row>
    <row r="226" spans="1:65" s="4" customFormat="1" hidden="1" x14ac:dyDescent="0.2">
      <c r="A226" s="4">
        <v>236</v>
      </c>
      <c r="B226" s="4" t="s">
        <v>235</v>
      </c>
      <c r="D226" s="4" t="s">
        <v>10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0</v>
      </c>
      <c r="O226" s="43">
        <v>0</v>
      </c>
      <c r="P226" s="43">
        <v>0</v>
      </c>
      <c r="Q226" s="43">
        <v>0</v>
      </c>
      <c r="R226" s="43">
        <v>0</v>
      </c>
      <c r="S226" s="43">
        <v>0</v>
      </c>
      <c r="T226" s="43">
        <v>0</v>
      </c>
      <c r="U226" s="43">
        <v>0</v>
      </c>
      <c r="V226" s="43">
        <v>0</v>
      </c>
      <c r="W226" s="43">
        <v>0</v>
      </c>
      <c r="X226" s="43">
        <v>0</v>
      </c>
      <c r="Y226" s="43">
        <v>0</v>
      </c>
      <c r="Z226" s="43">
        <v>0</v>
      </c>
      <c r="AA226" s="43">
        <v>0</v>
      </c>
      <c r="AB226" s="43">
        <v>0</v>
      </c>
      <c r="AC226" s="43">
        <v>0</v>
      </c>
      <c r="AD226" s="43">
        <v>0</v>
      </c>
      <c r="AE226" s="43">
        <v>0</v>
      </c>
      <c r="AF226" s="43">
        <v>0</v>
      </c>
      <c r="AG226" s="43"/>
      <c r="AH226" s="43">
        <f>SUM(F226:AF226)</f>
        <v>0</v>
      </c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</row>
    <row r="227" spans="1:65" s="4" customFormat="1" x14ac:dyDescent="0.2">
      <c r="A227" s="4">
        <v>59</v>
      </c>
      <c r="B227" s="4" t="s">
        <v>591</v>
      </c>
      <c r="D227" s="4" t="s">
        <v>171</v>
      </c>
      <c r="F227" s="43">
        <v>0</v>
      </c>
      <c r="G227" s="43">
        <v>0</v>
      </c>
      <c r="H227" s="43">
        <v>1942374</v>
      </c>
      <c r="I227" s="43">
        <v>0</v>
      </c>
      <c r="J227" s="43">
        <v>2784</v>
      </c>
      <c r="K227" s="43">
        <v>0</v>
      </c>
      <c r="L227" s="43">
        <v>32102</v>
      </c>
      <c r="M227" s="43">
        <v>0</v>
      </c>
      <c r="N227" s="43">
        <v>0</v>
      </c>
      <c r="O227" s="43">
        <v>0</v>
      </c>
      <c r="P227" s="43">
        <v>18927</v>
      </c>
      <c r="Q227" s="43">
        <v>0</v>
      </c>
      <c r="R227" s="43">
        <v>19412</v>
      </c>
      <c r="S227" s="43">
        <v>0</v>
      </c>
      <c r="T227" s="43">
        <v>1938</v>
      </c>
      <c r="U227" s="43">
        <v>0</v>
      </c>
      <c r="V227" s="43">
        <v>25407</v>
      </c>
      <c r="W227" s="43">
        <v>0</v>
      </c>
      <c r="X227" s="43">
        <v>0</v>
      </c>
      <c r="Y227" s="43">
        <v>0</v>
      </c>
      <c r="Z227" s="43">
        <v>0</v>
      </c>
      <c r="AA227" s="43">
        <v>0</v>
      </c>
      <c r="AB227" s="43">
        <v>0</v>
      </c>
      <c r="AC227" s="43">
        <v>0</v>
      </c>
      <c r="AD227" s="43">
        <v>0</v>
      </c>
      <c r="AE227" s="43">
        <v>0</v>
      </c>
      <c r="AF227" s="43">
        <v>0</v>
      </c>
      <c r="AG227" s="43"/>
      <c r="AH227" s="43">
        <f t="shared" si="7"/>
        <v>2042944</v>
      </c>
    </row>
    <row r="228" spans="1:65" s="4" customFormat="1" hidden="1" x14ac:dyDescent="0.2">
      <c r="B228" s="4" t="s">
        <v>604</v>
      </c>
      <c r="D228" s="4" t="s">
        <v>156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v>0</v>
      </c>
      <c r="O228" s="43">
        <v>0</v>
      </c>
      <c r="P228" s="43">
        <v>0</v>
      </c>
      <c r="Q228" s="43">
        <v>0</v>
      </c>
      <c r="R228" s="43">
        <v>0</v>
      </c>
      <c r="S228" s="43">
        <v>0</v>
      </c>
      <c r="T228" s="43">
        <v>0</v>
      </c>
      <c r="U228" s="43">
        <v>0</v>
      </c>
      <c r="V228" s="43">
        <v>0</v>
      </c>
      <c r="W228" s="43">
        <v>0</v>
      </c>
      <c r="X228" s="43">
        <v>0</v>
      </c>
      <c r="Y228" s="43">
        <v>0</v>
      </c>
      <c r="Z228" s="43">
        <v>0</v>
      </c>
      <c r="AA228" s="43">
        <v>0</v>
      </c>
      <c r="AB228" s="43">
        <v>0</v>
      </c>
      <c r="AC228" s="43">
        <v>0</v>
      </c>
      <c r="AD228" s="43">
        <v>0</v>
      </c>
      <c r="AE228" s="43">
        <v>0</v>
      </c>
      <c r="AF228" s="43">
        <v>0</v>
      </c>
      <c r="AG228" s="43"/>
      <c r="AH228" s="43">
        <f t="shared" si="7"/>
        <v>0</v>
      </c>
    </row>
    <row r="229" spans="1:65" s="4" customFormat="1" x14ac:dyDescent="0.2">
      <c r="A229" s="4">
        <v>74</v>
      </c>
      <c r="B229" s="4" t="s">
        <v>436</v>
      </c>
      <c r="D229" s="4" t="s">
        <v>17</v>
      </c>
      <c r="F229" s="43">
        <v>3325662</v>
      </c>
      <c r="G229" s="43">
        <v>0</v>
      </c>
      <c r="H229" s="43">
        <v>1032295</v>
      </c>
      <c r="I229" s="43">
        <v>0</v>
      </c>
      <c r="J229" s="43">
        <v>389915</v>
      </c>
      <c r="K229" s="43">
        <v>0</v>
      </c>
      <c r="L229" s="43">
        <v>90727</v>
      </c>
      <c r="M229" s="43">
        <v>0</v>
      </c>
      <c r="N229" s="43">
        <v>0</v>
      </c>
      <c r="O229" s="43">
        <v>0</v>
      </c>
      <c r="P229" s="43">
        <v>0</v>
      </c>
      <c r="Q229" s="43">
        <v>0</v>
      </c>
      <c r="R229" s="43">
        <v>24300</v>
      </c>
      <c r="S229" s="43">
        <v>0</v>
      </c>
      <c r="T229" s="43">
        <v>12470</v>
      </c>
      <c r="U229" s="43">
        <v>0</v>
      </c>
      <c r="V229" s="43">
        <v>27196</v>
      </c>
      <c r="W229" s="43">
        <v>0</v>
      </c>
      <c r="X229" s="43">
        <v>0</v>
      </c>
      <c r="Y229" s="43">
        <v>0</v>
      </c>
      <c r="Z229" s="43">
        <v>3646</v>
      </c>
      <c r="AA229" s="43">
        <v>0</v>
      </c>
      <c r="AB229" s="43">
        <v>0</v>
      </c>
      <c r="AC229" s="43">
        <v>0</v>
      </c>
      <c r="AD229" s="43">
        <v>0</v>
      </c>
      <c r="AE229" s="43">
        <v>0</v>
      </c>
      <c r="AF229" s="43">
        <v>0</v>
      </c>
      <c r="AG229" s="43"/>
      <c r="AH229" s="43">
        <f t="shared" si="7"/>
        <v>4906211</v>
      </c>
    </row>
    <row r="230" spans="1:65" s="4" customFormat="1" x14ac:dyDescent="0.2">
      <c r="A230" s="4">
        <v>249</v>
      </c>
      <c r="B230" s="4" t="s">
        <v>21</v>
      </c>
      <c r="D230" s="4" t="s">
        <v>22</v>
      </c>
      <c r="F230" s="43">
        <v>914870</v>
      </c>
      <c r="G230" s="43">
        <v>0</v>
      </c>
      <c r="H230" s="43">
        <v>0</v>
      </c>
      <c r="I230" s="43">
        <v>0</v>
      </c>
      <c r="J230" s="43">
        <v>2251512</v>
      </c>
      <c r="K230" s="43">
        <v>0</v>
      </c>
      <c r="L230" s="43">
        <v>51835</v>
      </c>
      <c r="M230" s="43">
        <v>0</v>
      </c>
      <c r="N230" s="43">
        <v>0</v>
      </c>
      <c r="O230" s="43">
        <v>0</v>
      </c>
      <c r="P230" s="43">
        <v>0</v>
      </c>
      <c r="Q230" s="43">
        <v>0</v>
      </c>
      <c r="R230" s="43">
        <v>10970</v>
      </c>
      <c r="S230" s="43">
        <v>0</v>
      </c>
      <c r="T230" s="43">
        <v>1140</v>
      </c>
      <c r="U230" s="43">
        <v>0</v>
      </c>
      <c r="V230" s="43">
        <v>39287</v>
      </c>
      <c r="W230" s="43">
        <v>0</v>
      </c>
      <c r="X230" s="43">
        <v>0</v>
      </c>
      <c r="Y230" s="43">
        <v>0</v>
      </c>
      <c r="Z230" s="43">
        <v>0</v>
      </c>
      <c r="AA230" s="43">
        <v>0</v>
      </c>
      <c r="AB230" s="43">
        <v>0</v>
      </c>
      <c r="AC230" s="43">
        <v>0</v>
      </c>
      <c r="AD230" s="43">
        <v>0</v>
      </c>
      <c r="AE230" s="43">
        <v>0</v>
      </c>
      <c r="AF230" s="43">
        <v>0</v>
      </c>
      <c r="AG230" s="43"/>
      <c r="AH230" s="43">
        <f t="shared" si="7"/>
        <v>3269614</v>
      </c>
    </row>
    <row r="231" spans="1:65" s="4" customFormat="1" x14ac:dyDescent="0.2">
      <c r="A231" s="4">
        <v>208</v>
      </c>
      <c r="B231" s="4" t="s">
        <v>592</v>
      </c>
      <c r="D231" s="4" t="s">
        <v>100</v>
      </c>
      <c r="F231" s="43">
        <v>751586</v>
      </c>
      <c r="G231" s="43">
        <v>0</v>
      </c>
      <c r="H231" s="43">
        <v>0</v>
      </c>
      <c r="I231" s="43">
        <v>0</v>
      </c>
      <c r="J231" s="43">
        <v>1016141</v>
      </c>
      <c r="K231" s="43">
        <v>0</v>
      </c>
      <c r="L231" s="43">
        <v>13401</v>
      </c>
      <c r="M231" s="43">
        <v>0</v>
      </c>
      <c r="N231" s="43">
        <v>0</v>
      </c>
      <c r="O231" s="43">
        <v>0</v>
      </c>
      <c r="P231" s="43">
        <v>0</v>
      </c>
      <c r="Q231" s="43">
        <v>0</v>
      </c>
      <c r="R231" s="43">
        <v>1913</v>
      </c>
      <c r="S231" s="43">
        <v>0</v>
      </c>
      <c r="T231" s="43">
        <v>1110</v>
      </c>
      <c r="U231" s="43">
        <v>0</v>
      </c>
      <c r="V231" s="43">
        <f>17555+14209</f>
        <v>31764</v>
      </c>
      <c r="W231" s="43">
        <v>0</v>
      </c>
      <c r="X231" s="43">
        <v>0</v>
      </c>
      <c r="Y231" s="43">
        <v>0</v>
      </c>
      <c r="Z231" s="43">
        <v>0</v>
      </c>
      <c r="AA231" s="43">
        <v>0</v>
      </c>
      <c r="AB231" s="43">
        <v>0</v>
      </c>
      <c r="AC231" s="43">
        <v>0</v>
      </c>
      <c r="AD231" s="43">
        <v>0</v>
      </c>
      <c r="AE231" s="43">
        <v>0</v>
      </c>
      <c r="AF231" s="43">
        <v>0</v>
      </c>
      <c r="AG231" s="43"/>
      <c r="AH231" s="43">
        <f t="shared" si="7"/>
        <v>1815915</v>
      </c>
    </row>
    <row r="232" spans="1:65" s="4" customFormat="1" x14ac:dyDescent="0.2">
      <c r="B232" s="4" t="s">
        <v>605</v>
      </c>
      <c r="C232" s="15"/>
      <c r="D232" s="15" t="s">
        <v>565</v>
      </c>
      <c r="F232" s="43">
        <v>15948657</v>
      </c>
      <c r="G232" s="43">
        <v>0</v>
      </c>
      <c r="H232" s="43">
        <v>0</v>
      </c>
      <c r="I232" s="43">
        <v>0</v>
      </c>
      <c r="J232" s="43">
        <v>37380155</v>
      </c>
      <c r="K232" s="43">
        <v>0</v>
      </c>
      <c r="L232" s="43">
        <v>1836534</v>
      </c>
      <c r="M232" s="43">
        <v>0</v>
      </c>
      <c r="N232" s="43">
        <v>0</v>
      </c>
      <c r="O232" s="43">
        <v>0</v>
      </c>
      <c r="P232" s="43">
        <v>270</v>
      </c>
      <c r="Q232" s="43">
        <v>0</v>
      </c>
      <c r="R232" s="43">
        <v>146327</v>
      </c>
      <c r="S232" s="43">
        <v>0</v>
      </c>
      <c r="T232" s="43">
        <v>43645</v>
      </c>
      <c r="U232" s="43">
        <v>0</v>
      </c>
      <c r="V232" s="43">
        <v>1115893</v>
      </c>
      <c r="W232" s="43">
        <v>0</v>
      </c>
      <c r="X232" s="43">
        <v>0</v>
      </c>
      <c r="Y232" s="43">
        <v>0</v>
      </c>
      <c r="Z232" s="43">
        <v>0</v>
      </c>
      <c r="AA232" s="43">
        <v>0</v>
      </c>
      <c r="AB232" s="43">
        <v>0</v>
      </c>
      <c r="AC232" s="43">
        <v>0</v>
      </c>
      <c r="AD232" s="43">
        <v>0</v>
      </c>
      <c r="AE232" s="43">
        <v>0</v>
      </c>
      <c r="AF232" s="43">
        <v>0</v>
      </c>
      <c r="AG232" s="43"/>
      <c r="AH232" s="43">
        <f t="shared" si="7"/>
        <v>56471481</v>
      </c>
    </row>
    <row r="233" spans="1:65" s="4" customFormat="1" hidden="1" x14ac:dyDescent="0.2">
      <c r="A233" s="4">
        <v>64</v>
      </c>
      <c r="B233" s="35" t="s">
        <v>236</v>
      </c>
      <c r="C233" s="35"/>
      <c r="D233" s="35" t="s">
        <v>44</v>
      </c>
      <c r="E233" s="35"/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3">
        <v>0</v>
      </c>
      <c r="R233" s="43">
        <v>0</v>
      </c>
      <c r="S233" s="43">
        <v>0</v>
      </c>
      <c r="T233" s="43">
        <v>0</v>
      </c>
      <c r="U233" s="43">
        <v>0</v>
      </c>
      <c r="V233" s="43">
        <v>0</v>
      </c>
      <c r="W233" s="43">
        <v>0</v>
      </c>
      <c r="X233" s="43">
        <v>0</v>
      </c>
      <c r="Y233" s="43">
        <v>0</v>
      </c>
      <c r="Z233" s="43">
        <v>0</v>
      </c>
      <c r="AA233" s="43">
        <v>0</v>
      </c>
      <c r="AB233" s="43">
        <v>0</v>
      </c>
      <c r="AC233" s="43">
        <v>0</v>
      </c>
      <c r="AD233" s="43">
        <v>0</v>
      </c>
      <c r="AE233" s="43">
        <v>0</v>
      </c>
      <c r="AF233" s="43">
        <v>0</v>
      </c>
      <c r="AG233" s="43"/>
      <c r="AH233" s="43">
        <f>SUM(F233:AF233)</f>
        <v>0</v>
      </c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</row>
    <row r="234" spans="1:65" s="4" customFormat="1" hidden="1" x14ac:dyDescent="0.2">
      <c r="A234" s="4">
        <v>188</v>
      </c>
      <c r="B234" s="35" t="s">
        <v>568</v>
      </c>
      <c r="C234" s="35"/>
      <c r="D234" s="35" t="s">
        <v>569</v>
      </c>
      <c r="E234" s="35"/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v>0</v>
      </c>
      <c r="O234" s="43">
        <v>0</v>
      </c>
      <c r="P234" s="43">
        <v>0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43">
        <v>0</v>
      </c>
      <c r="W234" s="43">
        <v>0</v>
      </c>
      <c r="X234" s="43">
        <v>0</v>
      </c>
      <c r="Y234" s="43">
        <v>0</v>
      </c>
      <c r="Z234" s="43">
        <v>0</v>
      </c>
      <c r="AA234" s="43">
        <v>0</v>
      </c>
      <c r="AB234" s="43">
        <v>0</v>
      </c>
      <c r="AC234" s="43">
        <v>0</v>
      </c>
      <c r="AD234" s="43">
        <v>0</v>
      </c>
      <c r="AE234" s="43">
        <v>0</v>
      </c>
      <c r="AF234" s="43">
        <v>0</v>
      </c>
      <c r="AG234" s="43"/>
      <c r="AH234" s="43">
        <f>SUM(F234:AF234)</f>
        <v>0</v>
      </c>
    </row>
    <row r="235" spans="1:65" s="4" customFormat="1" hidden="1" x14ac:dyDescent="0.2">
      <c r="A235" s="4">
        <v>16</v>
      </c>
      <c r="B235" s="4" t="s">
        <v>237</v>
      </c>
      <c r="D235" s="4" t="s">
        <v>171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3">
        <v>0</v>
      </c>
      <c r="Q235" s="43">
        <v>0</v>
      </c>
      <c r="R235" s="43">
        <v>0</v>
      </c>
      <c r="S235" s="43">
        <v>0</v>
      </c>
      <c r="T235" s="43">
        <v>0</v>
      </c>
      <c r="U235" s="43">
        <v>0</v>
      </c>
      <c r="V235" s="43">
        <v>0</v>
      </c>
      <c r="W235" s="43">
        <v>0</v>
      </c>
      <c r="X235" s="43">
        <v>0</v>
      </c>
      <c r="Y235" s="43">
        <v>0</v>
      </c>
      <c r="Z235" s="43">
        <v>0</v>
      </c>
      <c r="AA235" s="43">
        <v>0</v>
      </c>
      <c r="AB235" s="43">
        <v>0</v>
      </c>
      <c r="AC235" s="43">
        <v>0</v>
      </c>
      <c r="AD235" s="43">
        <v>0</v>
      </c>
      <c r="AE235" s="43">
        <v>0</v>
      </c>
      <c r="AF235" s="43">
        <v>0</v>
      </c>
      <c r="AG235" s="43"/>
      <c r="AH235" s="43">
        <f>SUM(F235:AF235)</f>
        <v>0</v>
      </c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</row>
    <row r="236" spans="1:65" s="4" customFormat="1" x14ac:dyDescent="0.2">
      <c r="A236" s="4">
        <v>141</v>
      </c>
      <c r="B236" s="4" t="s">
        <v>311</v>
      </c>
      <c r="D236" s="4" t="s">
        <v>213</v>
      </c>
      <c r="F236" s="43">
        <v>10556490</v>
      </c>
      <c r="G236" s="43">
        <v>0</v>
      </c>
      <c r="H236" s="43">
        <v>7409066</v>
      </c>
      <c r="I236" s="43">
        <v>0</v>
      </c>
      <c r="J236" s="43">
        <v>99494</v>
      </c>
      <c r="K236" s="43">
        <v>0</v>
      </c>
      <c r="L236" s="43">
        <v>225512</v>
      </c>
      <c r="M236" s="43">
        <v>0</v>
      </c>
      <c r="N236" s="43">
        <v>0</v>
      </c>
      <c r="O236" s="43">
        <v>0</v>
      </c>
      <c r="P236" s="43">
        <v>0</v>
      </c>
      <c r="Q236" s="43">
        <v>0</v>
      </c>
      <c r="R236" s="43">
        <v>0</v>
      </c>
      <c r="S236" s="43">
        <v>0</v>
      </c>
      <c r="T236" s="43">
        <v>13778</v>
      </c>
      <c r="U236" s="43">
        <v>0</v>
      </c>
      <c r="V236" s="43">
        <v>84893</v>
      </c>
      <c r="W236" s="43">
        <v>0</v>
      </c>
      <c r="X236" s="43">
        <v>0</v>
      </c>
      <c r="Y236" s="43">
        <v>0</v>
      </c>
      <c r="Z236" s="43">
        <v>0</v>
      </c>
      <c r="AA236" s="43">
        <v>0</v>
      </c>
      <c r="AB236" s="43">
        <v>0</v>
      </c>
      <c r="AC236" s="43">
        <v>0</v>
      </c>
      <c r="AD236" s="43">
        <v>0</v>
      </c>
      <c r="AE236" s="43">
        <v>0</v>
      </c>
      <c r="AF236" s="43">
        <v>0</v>
      </c>
      <c r="AG236" s="43"/>
      <c r="AH236" s="43">
        <f t="shared" ref="AH236:AH237" si="10">SUM(F236:AF236)</f>
        <v>18389233</v>
      </c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</row>
    <row r="237" spans="1:65" s="4" customFormat="1" x14ac:dyDescent="0.2">
      <c r="A237" s="4">
        <v>220</v>
      </c>
      <c r="B237" s="4" t="s">
        <v>239</v>
      </c>
      <c r="D237" s="4" t="s">
        <v>191</v>
      </c>
      <c r="F237" s="43">
        <v>0</v>
      </c>
      <c r="G237" s="43">
        <v>0</v>
      </c>
      <c r="H237" s="43">
        <v>273062.27</v>
      </c>
      <c r="I237" s="43">
        <v>0</v>
      </c>
      <c r="J237" s="43">
        <v>0</v>
      </c>
      <c r="K237" s="43">
        <v>0</v>
      </c>
      <c r="L237" s="43">
        <v>4966.1000000000004</v>
      </c>
      <c r="M237" s="43">
        <v>0</v>
      </c>
      <c r="N237" s="43">
        <v>0</v>
      </c>
      <c r="O237" s="43">
        <v>0</v>
      </c>
      <c r="P237" s="43">
        <v>0</v>
      </c>
      <c r="Q237" s="43">
        <v>0</v>
      </c>
      <c r="R237" s="43">
        <v>575</v>
      </c>
      <c r="S237" s="43">
        <v>0</v>
      </c>
      <c r="T237" s="43">
        <v>292.41000000000003</v>
      </c>
      <c r="U237" s="43">
        <v>0</v>
      </c>
      <c r="V237" s="43">
        <v>12385.87</v>
      </c>
      <c r="W237" s="43">
        <v>0</v>
      </c>
      <c r="X237" s="43">
        <v>0</v>
      </c>
      <c r="Y237" s="43">
        <v>0</v>
      </c>
      <c r="Z237" s="43">
        <v>0</v>
      </c>
      <c r="AA237" s="43">
        <v>0</v>
      </c>
      <c r="AB237" s="43">
        <v>0</v>
      </c>
      <c r="AC237" s="43">
        <v>0</v>
      </c>
      <c r="AD237" s="43">
        <v>0</v>
      </c>
      <c r="AE237" s="43">
        <v>0</v>
      </c>
      <c r="AF237" s="43">
        <v>0</v>
      </c>
      <c r="AG237" s="43"/>
      <c r="AH237" s="43">
        <f t="shared" si="10"/>
        <v>291281.64999999997</v>
      </c>
    </row>
    <row r="238" spans="1:65" s="4" customFormat="1" hidden="1" x14ac:dyDescent="0.2">
      <c r="A238" s="4">
        <v>222</v>
      </c>
      <c r="B238" s="38" t="s">
        <v>312</v>
      </c>
      <c r="C238" s="38"/>
      <c r="D238" s="38" t="s">
        <v>59</v>
      </c>
      <c r="E238" s="38"/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3">
        <v>0</v>
      </c>
      <c r="Q238" s="43">
        <v>0</v>
      </c>
      <c r="R238" s="43">
        <v>0</v>
      </c>
      <c r="S238" s="43">
        <v>0</v>
      </c>
      <c r="T238" s="43">
        <v>0</v>
      </c>
      <c r="U238" s="43">
        <v>0</v>
      </c>
      <c r="V238" s="43">
        <v>0</v>
      </c>
      <c r="W238" s="43">
        <v>0</v>
      </c>
      <c r="X238" s="43">
        <v>0</v>
      </c>
      <c r="Y238" s="43">
        <v>0</v>
      </c>
      <c r="Z238" s="43">
        <v>0</v>
      </c>
      <c r="AA238" s="43">
        <v>0</v>
      </c>
      <c r="AB238" s="43">
        <v>0</v>
      </c>
      <c r="AC238" s="43">
        <v>0</v>
      </c>
      <c r="AD238" s="43">
        <v>0</v>
      </c>
      <c r="AE238" s="43">
        <v>0</v>
      </c>
      <c r="AF238" s="43">
        <v>0</v>
      </c>
      <c r="AG238" s="43"/>
      <c r="AH238" s="43">
        <f>SUM(F238:AF238)</f>
        <v>0</v>
      </c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</row>
    <row r="239" spans="1:65" s="4" customFormat="1" hidden="1" x14ac:dyDescent="0.2">
      <c r="A239" s="4">
        <v>155</v>
      </c>
      <c r="B239" s="35" t="s">
        <v>458</v>
      </c>
      <c r="C239" s="35"/>
      <c r="D239" s="35" t="s">
        <v>165</v>
      </c>
      <c r="E239" s="35"/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  <c r="Q239" s="43">
        <v>0</v>
      </c>
      <c r="R239" s="43">
        <v>0</v>
      </c>
      <c r="S239" s="43">
        <v>0</v>
      </c>
      <c r="T239" s="43">
        <v>0</v>
      </c>
      <c r="U239" s="43">
        <v>0</v>
      </c>
      <c r="V239" s="43">
        <v>0</v>
      </c>
      <c r="W239" s="43">
        <v>0</v>
      </c>
      <c r="X239" s="43">
        <v>0</v>
      </c>
      <c r="Y239" s="43">
        <v>0</v>
      </c>
      <c r="Z239" s="43">
        <v>0</v>
      </c>
      <c r="AA239" s="43">
        <v>0</v>
      </c>
      <c r="AB239" s="43">
        <v>0</v>
      </c>
      <c r="AC239" s="43">
        <v>0</v>
      </c>
      <c r="AD239" s="43">
        <v>0</v>
      </c>
      <c r="AE239" s="43">
        <v>0</v>
      </c>
      <c r="AF239" s="43">
        <v>0</v>
      </c>
      <c r="AG239" s="43"/>
      <c r="AH239" s="43">
        <f>SUM(F239:AF239)</f>
        <v>0</v>
      </c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</row>
    <row r="240" spans="1:65" s="4" customFormat="1" hidden="1" x14ac:dyDescent="0.2">
      <c r="A240" s="39">
        <v>130.1</v>
      </c>
      <c r="B240" s="35" t="s">
        <v>241</v>
      </c>
      <c r="C240" s="35"/>
      <c r="D240" s="35" t="s">
        <v>41</v>
      </c>
      <c r="E240" s="35"/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</v>
      </c>
      <c r="Q240" s="43">
        <v>0</v>
      </c>
      <c r="R240" s="43">
        <v>0</v>
      </c>
      <c r="S240" s="43">
        <v>0</v>
      </c>
      <c r="T240" s="43">
        <v>0</v>
      </c>
      <c r="U240" s="43">
        <v>0</v>
      </c>
      <c r="V240" s="43">
        <v>0</v>
      </c>
      <c r="W240" s="43">
        <v>0</v>
      </c>
      <c r="X240" s="43">
        <v>0</v>
      </c>
      <c r="Y240" s="43">
        <v>0</v>
      </c>
      <c r="Z240" s="43">
        <v>0</v>
      </c>
      <c r="AA240" s="43">
        <v>0</v>
      </c>
      <c r="AB240" s="43">
        <v>0</v>
      </c>
      <c r="AC240" s="43">
        <v>0</v>
      </c>
      <c r="AD240" s="43">
        <v>0</v>
      </c>
      <c r="AE240" s="43">
        <v>0</v>
      </c>
      <c r="AF240" s="43">
        <v>0</v>
      </c>
      <c r="AG240" s="43"/>
      <c r="AH240" s="43">
        <f>SUM(F240:AF240)</f>
        <v>0</v>
      </c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</row>
    <row r="241" spans="1:65" s="4" customFormat="1" hidden="1" x14ac:dyDescent="0.2">
      <c r="A241" s="4">
        <v>245</v>
      </c>
      <c r="B241" s="35" t="s">
        <v>339</v>
      </c>
      <c r="C241" s="35"/>
      <c r="D241" s="35" t="s">
        <v>48</v>
      </c>
      <c r="E241" s="35"/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3">
        <v>0</v>
      </c>
      <c r="Q241" s="43">
        <v>0</v>
      </c>
      <c r="R241" s="43">
        <v>0</v>
      </c>
      <c r="S241" s="43">
        <v>0</v>
      </c>
      <c r="T241" s="43">
        <v>0</v>
      </c>
      <c r="U241" s="43">
        <v>0</v>
      </c>
      <c r="V241" s="43">
        <v>0</v>
      </c>
      <c r="W241" s="43">
        <v>0</v>
      </c>
      <c r="X241" s="43">
        <v>0</v>
      </c>
      <c r="Y241" s="43">
        <v>0</v>
      </c>
      <c r="Z241" s="43">
        <v>0</v>
      </c>
      <c r="AA241" s="43">
        <v>0</v>
      </c>
      <c r="AB241" s="43">
        <v>0</v>
      </c>
      <c r="AC241" s="43">
        <v>0</v>
      </c>
      <c r="AD241" s="43">
        <v>0</v>
      </c>
      <c r="AE241" s="43">
        <v>0</v>
      </c>
      <c r="AF241" s="43">
        <v>0</v>
      </c>
      <c r="AG241" s="43"/>
      <c r="AH241" s="43">
        <f>SUM(F241:AF241)</f>
        <v>0</v>
      </c>
    </row>
    <row r="242" spans="1:65" s="4" customFormat="1" x14ac:dyDescent="0.2">
      <c r="A242" s="4">
        <v>211</v>
      </c>
      <c r="B242" s="4" t="s">
        <v>242</v>
      </c>
      <c r="D242" s="4" t="s">
        <v>17</v>
      </c>
      <c r="F242" s="43">
        <v>3144400</v>
      </c>
      <c r="G242" s="43">
        <v>0</v>
      </c>
      <c r="H242" s="43">
        <v>364691</v>
      </c>
      <c r="I242" s="43">
        <v>0</v>
      </c>
      <c r="J242" s="43">
        <v>471703</v>
      </c>
      <c r="K242" s="43">
        <v>0</v>
      </c>
      <c r="L242" s="43">
        <v>70815</v>
      </c>
      <c r="M242" s="43">
        <v>0</v>
      </c>
      <c r="N242" s="43">
        <v>0</v>
      </c>
      <c r="O242" s="43">
        <v>0</v>
      </c>
      <c r="P242" s="43">
        <v>0</v>
      </c>
      <c r="Q242" s="43">
        <v>0</v>
      </c>
      <c r="R242" s="43">
        <v>6620</v>
      </c>
      <c r="S242" s="43">
        <v>0</v>
      </c>
      <c r="T242" s="43">
        <v>5429</v>
      </c>
      <c r="U242" s="43">
        <v>0</v>
      </c>
      <c r="V242" s="43">
        <v>6402</v>
      </c>
      <c r="W242" s="43">
        <v>0</v>
      </c>
      <c r="X242" s="43">
        <v>0</v>
      </c>
      <c r="Y242" s="43">
        <v>0</v>
      </c>
      <c r="Z242" s="43">
        <v>0</v>
      </c>
      <c r="AA242" s="43">
        <v>0</v>
      </c>
      <c r="AB242" s="43">
        <v>0</v>
      </c>
      <c r="AC242" s="43">
        <v>0</v>
      </c>
      <c r="AD242" s="43">
        <v>0</v>
      </c>
      <c r="AE242" s="43">
        <v>0</v>
      </c>
      <c r="AF242" s="43">
        <v>0</v>
      </c>
      <c r="AG242" s="43"/>
      <c r="AH242" s="43">
        <f t="shared" ref="AH242:AH294" si="11">SUM(F242:AF242)</f>
        <v>4070060</v>
      </c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</row>
    <row r="243" spans="1:65" s="74" customFormat="1" hidden="1" x14ac:dyDescent="0.2">
      <c r="A243" s="74">
        <v>218</v>
      </c>
      <c r="B243" s="74" t="s">
        <v>243</v>
      </c>
      <c r="D243" s="74" t="s">
        <v>23</v>
      </c>
      <c r="F243" s="43">
        <f>1217523+844464</f>
        <v>2061987</v>
      </c>
      <c r="G243" s="43">
        <v>0</v>
      </c>
      <c r="H243" s="43">
        <v>6500</v>
      </c>
      <c r="I243" s="43">
        <v>0</v>
      </c>
      <c r="J243" s="43">
        <v>0</v>
      </c>
      <c r="K243" s="43">
        <v>0</v>
      </c>
      <c r="L243" s="43">
        <v>27371</v>
      </c>
      <c r="M243" s="43">
        <v>0</v>
      </c>
      <c r="N243" s="43">
        <v>0</v>
      </c>
      <c r="O243" s="43">
        <v>0</v>
      </c>
      <c r="P243" s="43">
        <v>0</v>
      </c>
      <c r="Q243" s="43">
        <v>0</v>
      </c>
      <c r="R243" s="43">
        <v>4801</v>
      </c>
      <c r="S243" s="43">
        <v>0</v>
      </c>
      <c r="T243" s="43">
        <v>137</v>
      </c>
      <c r="U243" s="43">
        <v>0</v>
      </c>
      <c r="V243" s="43">
        <f>100+642+31265</f>
        <v>32007</v>
      </c>
      <c r="W243" s="43">
        <v>0</v>
      </c>
      <c r="X243" s="43">
        <v>0</v>
      </c>
      <c r="Y243" s="43">
        <v>0</v>
      </c>
      <c r="Z243" s="43">
        <v>0</v>
      </c>
      <c r="AA243" s="43">
        <v>0</v>
      </c>
      <c r="AB243" s="43">
        <v>0</v>
      </c>
      <c r="AC243" s="43">
        <v>0</v>
      </c>
      <c r="AD243" s="43">
        <v>0</v>
      </c>
      <c r="AE243" s="43">
        <v>0</v>
      </c>
      <c r="AF243" s="43">
        <v>0</v>
      </c>
      <c r="AG243" s="43"/>
      <c r="AH243" s="43">
        <f t="shared" si="11"/>
        <v>2132803</v>
      </c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  <c r="AV243" s="73"/>
      <c r="AW243" s="73"/>
      <c r="AX243" s="73"/>
      <c r="AY243" s="73"/>
      <c r="AZ243" s="73"/>
      <c r="BA243" s="73"/>
      <c r="BB243" s="73"/>
      <c r="BC243" s="73"/>
      <c r="BD243" s="73"/>
      <c r="BE243" s="73"/>
      <c r="BF243" s="73"/>
      <c r="BG243" s="73"/>
      <c r="BH243" s="73"/>
      <c r="BI243" s="73"/>
      <c r="BJ243" s="73"/>
      <c r="BK243" s="73"/>
      <c r="BL243" s="73"/>
      <c r="BM243" s="73"/>
    </row>
    <row r="244" spans="1:65" s="4" customFormat="1" x14ac:dyDescent="0.2">
      <c r="A244" s="4">
        <v>154</v>
      </c>
      <c r="B244" s="4" t="s">
        <v>244</v>
      </c>
      <c r="D244" s="4" t="s">
        <v>63</v>
      </c>
      <c r="F244" s="43">
        <v>294279</v>
      </c>
      <c r="G244" s="43">
        <v>0</v>
      </c>
      <c r="H244" s="43">
        <v>471732</v>
      </c>
      <c r="I244" s="43">
        <v>0</v>
      </c>
      <c r="J244" s="43">
        <v>118349</v>
      </c>
      <c r="K244" s="43">
        <v>0</v>
      </c>
      <c r="L244" s="43">
        <v>23935</v>
      </c>
      <c r="M244" s="43">
        <v>0</v>
      </c>
      <c r="N244" s="43">
        <v>0</v>
      </c>
      <c r="O244" s="43">
        <v>0</v>
      </c>
      <c r="P244" s="43">
        <v>0</v>
      </c>
      <c r="Q244" s="43">
        <v>0</v>
      </c>
      <c r="R244" s="43">
        <v>6042</v>
      </c>
      <c r="S244" s="43">
        <v>0</v>
      </c>
      <c r="T244" s="43">
        <v>2626</v>
      </c>
      <c r="U244" s="43">
        <v>0</v>
      </c>
      <c r="V244" s="43">
        <v>9376</v>
      </c>
      <c r="W244" s="43">
        <v>0</v>
      </c>
      <c r="X244" s="43">
        <v>0</v>
      </c>
      <c r="Y244" s="43">
        <v>0</v>
      </c>
      <c r="Z244" s="43">
        <v>0</v>
      </c>
      <c r="AA244" s="43">
        <v>0</v>
      </c>
      <c r="AB244" s="43">
        <v>0</v>
      </c>
      <c r="AC244" s="43">
        <v>0</v>
      </c>
      <c r="AD244" s="43">
        <v>0</v>
      </c>
      <c r="AE244" s="43">
        <v>0</v>
      </c>
      <c r="AF244" s="43">
        <v>0</v>
      </c>
      <c r="AG244" s="43"/>
      <c r="AH244" s="43">
        <f t="shared" si="11"/>
        <v>926339</v>
      </c>
    </row>
    <row r="245" spans="1:65" s="4" customFormat="1" hidden="1" x14ac:dyDescent="0.2">
      <c r="A245" s="4">
        <v>192</v>
      </c>
      <c r="B245" s="35" t="s">
        <v>245</v>
      </c>
      <c r="C245" s="35"/>
      <c r="D245" s="35" t="s">
        <v>67</v>
      </c>
      <c r="E245" s="35"/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3">
        <v>0</v>
      </c>
      <c r="Q245" s="43">
        <v>0</v>
      </c>
      <c r="R245" s="43">
        <v>0</v>
      </c>
      <c r="S245" s="43">
        <v>0</v>
      </c>
      <c r="T245" s="43">
        <v>0</v>
      </c>
      <c r="U245" s="43">
        <v>0</v>
      </c>
      <c r="V245" s="43">
        <v>0</v>
      </c>
      <c r="W245" s="43">
        <v>0</v>
      </c>
      <c r="X245" s="43">
        <v>0</v>
      </c>
      <c r="Y245" s="43">
        <v>0</v>
      </c>
      <c r="Z245" s="43">
        <v>0</v>
      </c>
      <c r="AA245" s="43">
        <v>0</v>
      </c>
      <c r="AB245" s="43">
        <v>0</v>
      </c>
      <c r="AC245" s="43">
        <v>0</v>
      </c>
      <c r="AD245" s="43">
        <v>0</v>
      </c>
      <c r="AE245" s="43">
        <v>0</v>
      </c>
      <c r="AF245" s="43">
        <v>0</v>
      </c>
      <c r="AG245" s="43"/>
      <c r="AH245" s="43">
        <f>SUM(F245:AF245)</f>
        <v>0</v>
      </c>
    </row>
    <row r="246" spans="1:65" s="4" customFormat="1" hidden="1" x14ac:dyDescent="0.2">
      <c r="A246" s="4">
        <v>221</v>
      </c>
      <c r="B246" s="35" t="s">
        <v>343</v>
      </c>
      <c r="C246" s="35"/>
      <c r="D246" s="35" t="s">
        <v>60</v>
      </c>
      <c r="E246" s="35"/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43">
        <v>0</v>
      </c>
      <c r="P246" s="43">
        <v>0</v>
      </c>
      <c r="Q246" s="43">
        <v>0</v>
      </c>
      <c r="R246" s="43">
        <v>0</v>
      </c>
      <c r="S246" s="43">
        <v>0</v>
      </c>
      <c r="T246" s="43">
        <v>0</v>
      </c>
      <c r="U246" s="43">
        <v>0</v>
      </c>
      <c r="V246" s="43">
        <v>0</v>
      </c>
      <c r="W246" s="43">
        <v>0</v>
      </c>
      <c r="X246" s="43">
        <v>0</v>
      </c>
      <c r="Y246" s="43">
        <v>0</v>
      </c>
      <c r="Z246" s="43">
        <v>0</v>
      </c>
      <c r="AA246" s="43">
        <v>0</v>
      </c>
      <c r="AB246" s="43">
        <v>0</v>
      </c>
      <c r="AC246" s="43">
        <v>0</v>
      </c>
      <c r="AD246" s="43">
        <v>0</v>
      </c>
      <c r="AE246" s="43">
        <v>0</v>
      </c>
      <c r="AF246" s="43">
        <v>0</v>
      </c>
      <c r="AG246" s="43"/>
      <c r="AH246" s="43">
        <f>SUM(F246:AF246)</f>
        <v>0</v>
      </c>
    </row>
    <row r="247" spans="1:65" s="4" customFormat="1" x14ac:dyDescent="0.2">
      <c r="A247" s="4">
        <v>199</v>
      </c>
      <c r="B247" s="4" t="s">
        <v>246</v>
      </c>
      <c r="D247" s="4" t="s">
        <v>49</v>
      </c>
      <c r="F247" s="43">
        <v>327302</v>
      </c>
      <c r="G247" s="43">
        <v>0</v>
      </c>
      <c r="H247" s="43">
        <v>696724</v>
      </c>
      <c r="I247" s="43">
        <v>0</v>
      </c>
      <c r="J247" s="43">
        <v>48484</v>
      </c>
      <c r="K247" s="43">
        <v>0</v>
      </c>
      <c r="L247" s="43">
        <v>32747</v>
      </c>
      <c r="M247" s="43">
        <v>0</v>
      </c>
      <c r="N247" s="43">
        <v>0</v>
      </c>
      <c r="O247" s="43">
        <v>0</v>
      </c>
      <c r="P247" s="43">
        <v>0</v>
      </c>
      <c r="Q247" s="43">
        <v>0</v>
      </c>
      <c r="R247" s="43">
        <v>23336</v>
      </c>
      <c r="S247" s="43">
        <v>0</v>
      </c>
      <c r="T247" s="43">
        <v>911</v>
      </c>
      <c r="U247" s="43">
        <v>0</v>
      </c>
      <c r="V247" s="43">
        <v>569</v>
      </c>
      <c r="W247" s="43">
        <v>0</v>
      </c>
      <c r="X247" s="43">
        <v>0</v>
      </c>
      <c r="Y247" s="43">
        <v>0</v>
      </c>
      <c r="Z247" s="43">
        <v>0</v>
      </c>
      <c r="AA247" s="43">
        <v>0</v>
      </c>
      <c r="AB247" s="43">
        <v>0</v>
      </c>
      <c r="AC247" s="43">
        <v>0</v>
      </c>
      <c r="AD247" s="43">
        <v>0</v>
      </c>
      <c r="AE247" s="43">
        <v>0</v>
      </c>
      <c r="AF247" s="43">
        <v>0</v>
      </c>
      <c r="AG247" s="43"/>
      <c r="AH247" s="43">
        <f t="shared" si="11"/>
        <v>1130073</v>
      </c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</row>
    <row r="248" spans="1:65" s="4" customFormat="1" x14ac:dyDescent="0.2">
      <c r="A248" s="4">
        <v>69</v>
      </c>
      <c r="B248" s="4" t="s">
        <v>247</v>
      </c>
      <c r="D248" s="4" t="s">
        <v>52</v>
      </c>
      <c r="F248" s="43">
        <v>479771</v>
      </c>
      <c r="G248" s="43">
        <v>0</v>
      </c>
      <c r="H248" s="43">
        <v>538207</v>
      </c>
      <c r="I248" s="43">
        <v>0</v>
      </c>
      <c r="J248" s="43">
        <v>0</v>
      </c>
      <c r="K248" s="43">
        <v>0</v>
      </c>
      <c r="L248" s="43">
        <v>7077</v>
      </c>
      <c r="M248" s="43">
        <v>0</v>
      </c>
      <c r="N248" s="43">
        <v>0</v>
      </c>
      <c r="O248" s="43">
        <v>0</v>
      </c>
      <c r="P248" s="43">
        <v>0</v>
      </c>
      <c r="Q248" s="43">
        <v>0</v>
      </c>
      <c r="R248" s="43">
        <v>3831</v>
      </c>
      <c r="S248" s="43">
        <v>0</v>
      </c>
      <c r="T248" s="43">
        <v>2560</v>
      </c>
      <c r="U248" s="43">
        <v>0</v>
      </c>
      <c r="V248" s="43">
        <v>15</v>
      </c>
      <c r="W248" s="43">
        <v>0</v>
      </c>
      <c r="X248" s="43">
        <v>0</v>
      </c>
      <c r="Y248" s="43">
        <v>0</v>
      </c>
      <c r="Z248" s="43">
        <v>0</v>
      </c>
      <c r="AA248" s="43">
        <v>0</v>
      </c>
      <c r="AB248" s="43">
        <v>0</v>
      </c>
      <c r="AC248" s="43">
        <v>0</v>
      </c>
      <c r="AD248" s="43">
        <v>0</v>
      </c>
      <c r="AE248" s="43">
        <v>0</v>
      </c>
      <c r="AF248" s="43">
        <v>0</v>
      </c>
      <c r="AG248" s="43"/>
      <c r="AH248" s="43">
        <f t="shared" si="11"/>
        <v>1031461</v>
      </c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</row>
    <row r="249" spans="1:65" s="4" customFormat="1" x14ac:dyDescent="0.2">
      <c r="A249" s="4">
        <v>77</v>
      </c>
      <c r="B249" s="4" t="s">
        <v>313</v>
      </c>
      <c r="D249" s="4" t="s">
        <v>165</v>
      </c>
      <c r="F249" s="43">
        <v>1360678</v>
      </c>
      <c r="G249" s="43">
        <v>0</v>
      </c>
      <c r="H249" s="43">
        <v>1376369</v>
      </c>
      <c r="I249" s="43">
        <v>0</v>
      </c>
      <c r="J249" s="43">
        <v>176711</v>
      </c>
      <c r="K249" s="43">
        <v>0</v>
      </c>
      <c r="L249" s="43">
        <v>60281</v>
      </c>
      <c r="M249" s="43">
        <v>0</v>
      </c>
      <c r="N249" s="43">
        <v>0</v>
      </c>
      <c r="O249" s="43">
        <v>0</v>
      </c>
      <c r="P249" s="43">
        <v>74</v>
      </c>
      <c r="Q249" s="43">
        <v>0</v>
      </c>
      <c r="R249" s="43">
        <v>72158</v>
      </c>
      <c r="S249" s="43">
        <v>0</v>
      </c>
      <c r="T249" s="43">
        <v>12823</v>
      </c>
      <c r="U249" s="43">
        <v>0</v>
      </c>
      <c r="V249" s="43">
        <v>21788</v>
      </c>
      <c r="W249" s="43">
        <v>0</v>
      </c>
      <c r="X249" s="43">
        <v>0</v>
      </c>
      <c r="Y249" s="43">
        <v>0</v>
      </c>
      <c r="Z249" s="43">
        <v>0</v>
      </c>
      <c r="AA249" s="43">
        <v>0</v>
      </c>
      <c r="AB249" s="43">
        <v>0</v>
      </c>
      <c r="AC249" s="43">
        <v>0</v>
      </c>
      <c r="AD249" s="43">
        <v>0</v>
      </c>
      <c r="AE249" s="43">
        <v>0</v>
      </c>
      <c r="AF249" s="43">
        <v>0</v>
      </c>
      <c r="AG249" s="43"/>
      <c r="AH249" s="43">
        <f t="shared" si="11"/>
        <v>3080882</v>
      </c>
    </row>
    <row r="250" spans="1:65" s="4" customFormat="1" hidden="1" x14ac:dyDescent="0.2">
      <c r="A250" s="4">
        <v>127</v>
      </c>
      <c r="B250" s="4" t="s">
        <v>248</v>
      </c>
      <c r="D250" s="4" t="s">
        <v>66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v>0</v>
      </c>
      <c r="O250" s="43">
        <v>0</v>
      </c>
      <c r="P250" s="43">
        <v>0</v>
      </c>
      <c r="Q250" s="43">
        <v>0</v>
      </c>
      <c r="R250" s="43">
        <v>0</v>
      </c>
      <c r="S250" s="43">
        <v>0</v>
      </c>
      <c r="T250" s="43">
        <v>0</v>
      </c>
      <c r="U250" s="43">
        <v>0</v>
      </c>
      <c r="V250" s="43">
        <v>0</v>
      </c>
      <c r="W250" s="43">
        <v>0</v>
      </c>
      <c r="X250" s="43">
        <v>0</v>
      </c>
      <c r="Y250" s="43">
        <v>0</v>
      </c>
      <c r="Z250" s="43">
        <v>0</v>
      </c>
      <c r="AA250" s="43">
        <v>0</v>
      </c>
      <c r="AB250" s="43">
        <v>0</v>
      </c>
      <c r="AC250" s="43">
        <v>0</v>
      </c>
      <c r="AD250" s="43">
        <v>0</v>
      </c>
      <c r="AE250" s="43">
        <v>0</v>
      </c>
      <c r="AF250" s="43">
        <v>0</v>
      </c>
      <c r="AG250" s="43"/>
      <c r="AH250" s="43">
        <f>SUM(F250:AF250)</f>
        <v>0</v>
      </c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</row>
    <row r="251" spans="1:65" s="4" customFormat="1" hidden="1" x14ac:dyDescent="0.2">
      <c r="A251" s="4">
        <v>126</v>
      </c>
      <c r="B251" s="4" t="s">
        <v>249</v>
      </c>
      <c r="D251" s="4" t="s">
        <v>43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v>0</v>
      </c>
      <c r="O251" s="43">
        <v>0</v>
      </c>
      <c r="P251" s="43">
        <v>0</v>
      </c>
      <c r="Q251" s="43">
        <v>0</v>
      </c>
      <c r="R251" s="43">
        <v>0</v>
      </c>
      <c r="S251" s="43">
        <v>0</v>
      </c>
      <c r="T251" s="43">
        <v>0</v>
      </c>
      <c r="U251" s="43">
        <v>0</v>
      </c>
      <c r="V251" s="43">
        <v>0</v>
      </c>
      <c r="W251" s="43">
        <v>0</v>
      </c>
      <c r="X251" s="43">
        <v>0</v>
      </c>
      <c r="Y251" s="43">
        <v>0</v>
      </c>
      <c r="Z251" s="43">
        <v>0</v>
      </c>
      <c r="AA251" s="43">
        <v>0</v>
      </c>
      <c r="AB251" s="43">
        <v>0</v>
      </c>
      <c r="AC251" s="43">
        <v>0</v>
      </c>
      <c r="AD251" s="43">
        <v>0</v>
      </c>
      <c r="AE251" s="43">
        <v>0</v>
      </c>
      <c r="AF251" s="43">
        <v>0</v>
      </c>
      <c r="AG251" s="43"/>
      <c r="AH251" s="43">
        <f>SUM(F251:AF251)</f>
        <v>0</v>
      </c>
    </row>
    <row r="252" spans="1:65" s="4" customFormat="1" hidden="1" x14ac:dyDescent="0.2">
      <c r="A252" s="4">
        <v>120</v>
      </c>
      <c r="B252" s="4" t="s">
        <v>250</v>
      </c>
      <c r="D252" s="4" t="s">
        <v>17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3">
        <v>0</v>
      </c>
      <c r="Q252" s="43">
        <v>0</v>
      </c>
      <c r="R252" s="43">
        <v>0</v>
      </c>
      <c r="S252" s="43">
        <v>0</v>
      </c>
      <c r="T252" s="43">
        <v>0</v>
      </c>
      <c r="U252" s="43">
        <v>0</v>
      </c>
      <c r="V252" s="43">
        <v>0</v>
      </c>
      <c r="W252" s="43">
        <v>0</v>
      </c>
      <c r="X252" s="43">
        <v>0</v>
      </c>
      <c r="Y252" s="43">
        <v>0</v>
      </c>
      <c r="Z252" s="43">
        <v>0</v>
      </c>
      <c r="AA252" s="43">
        <v>0</v>
      </c>
      <c r="AB252" s="43">
        <v>0</v>
      </c>
      <c r="AC252" s="43">
        <v>0</v>
      </c>
      <c r="AD252" s="43">
        <v>0</v>
      </c>
      <c r="AE252" s="43">
        <v>0</v>
      </c>
      <c r="AF252" s="43">
        <v>0</v>
      </c>
      <c r="AG252" s="43"/>
      <c r="AH252" s="43">
        <f t="shared" si="11"/>
        <v>0</v>
      </c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</row>
    <row r="253" spans="1:65" s="4" customFormat="1" x14ac:dyDescent="0.2">
      <c r="A253" s="4">
        <v>77</v>
      </c>
      <c r="B253" s="4" t="s">
        <v>650</v>
      </c>
      <c r="D253" s="4" t="s">
        <v>76</v>
      </c>
      <c r="F253" s="43">
        <v>0</v>
      </c>
      <c r="G253" s="43">
        <v>0</v>
      </c>
      <c r="H253" s="43">
        <v>1345613</v>
      </c>
      <c r="I253" s="43">
        <v>0</v>
      </c>
      <c r="J253" s="43">
        <v>0</v>
      </c>
      <c r="K253" s="43">
        <v>0</v>
      </c>
      <c r="L253" s="43">
        <v>30780</v>
      </c>
      <c r="M253" s="43">
        <v>0</v>
      </c>
      <c r="N253" s="43">
        <v>0</v>
      </c>
      <c r="O253" s="43">
        <v>0</v>
      </c>
      <c r="P253" s="43">
        <v>0</v>
      </c>
      <c r="Q253" s="43">
        <v>0</v>
      </c>
      <c r="R253" s="43">
        <v>15514</v>
      </c>
      <c r="S253" s="43">
        <v>0</v>
      </c>
      <c r="T253" s="43">
        <v>0</v>
      </c>
      <c r="U253" s="43">
        <v>0</v>
      </c>
      <c r="V253" s="43">
        <v>16059</v>
      </c>
      <c r="W253" s="43">
        <v>0</v>
      </c>
      <c r="X253" s="43">
        <v>0</v>
      </c>
      <c r="Y253" s="43">
        <v>0</v>
      </c>
      <c r="Z253" s="43">
        <v>645715</v>
      </c>
      <c r="AA253" s="43">
        <v>0</v>
      </c>
      <c r="AB253" s="43">
        <v>0</v>
      </c>
      <c r="AC253" s="43">
        <v>0</v>
      </c>
      <c r="AD253" s="43">
        <v>0</v>
      </c>
      <c r="AE253" s="43">
        <v>0</v>
      </c>
      <c r="AF253" s="43">
        <v>0</v>
      </c>
      <c r="AG253" s="43"/>
      <c r="AH253" s="43">
        <f t="shared" ref="AH253" si="12">SUM(F253:AF253)</f>
        <v>2053681</v>
      </c>
    </row>
    <row r="254" spans="1:65" s="4" customFormat="1" x14ac:dyDescent="0.2">
      <c r="A254" s="4">
        <v>202</v>
      </c>
      <c r="B254" s="4" t="s">
        <v>438</v>
      </c>
      <c r="D254" s="4" t="s">
        <v>168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3205</v>
      </c>
      <c r="M254" s="43">
        <v>0</v>
      </c>
      <c r="N254" s="43">
        <v>0</v>
      </c>
      <c r="O254" s="43">
        <v>0</v>
      </c>
      <c r="P254" s="43">
        <v>5563</v>
      </c>
      <c r="Q254" s="43">
        <v>0</v>
      </c>
      <c r="R254" s="43">
        <v>0</v>
      </c>
      <c r="S254" s="43">
        <v>0</v>
      </c>
      <c r="T254" s="43">
        <v>675</v>
      </c>
      <c r="U254" s="43">
        <v>0</v>
      </c>
      <c r="V254" s="43">
        <v>363</v>
      </c>
      <c r="W254" s="43">
        <v>0</v>
      </c>
      <c r="X254" s="43">
        <v>0</v>
      </c>
      <c r="Y254" s="43">
        <v>0</v>
      </c>
      <c r="Z254" s="43">
        <v>0</v>
      </c>
      <c r="AA254" s="43">
        <v>0</v>
      </c>
      <c r="AB254" s="43">
        <v>0</v>
      </c>
      <c r="AC254" s="43">
        <v>0</v>
      </c>
      <c r="AD254" s="43">
        <v>0</v>
      </c>
      <c r="AE254" s="43">
        <v>0</v>
      </c>
      <c r="AF254" s="43">
        <v>0</v>
      </c>
      <c r="AG254" s="43"/>
      <c r="AH254" s="43">
        <f t="shared" si="11"/>
        <v>9806</v>
      </c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</row>
    <row r="255" spans="1:65" s="4" customFormat="1" hidden="1" x14ac:dyDescent="0.2">
      <c r="A255" s="4">
        <v>178</v>
      </c>
      <c r="B255" s="4" t="s">
        <v>252</v>
      </c>
      <c r="D255" s="4" t="s">
        <v>90</v>
      </c>
      <c r="F255" s="43">
        <v>2076962</v>
      </c>
      <c r="G255" s="43">
        <v>0</v>
      </c>
      <c r="H255" s="43">
        <v>3131258</v>
      </c>
      <c r="I255" s="43">
        <v>0</v>
      </c>
      <c r="J255" s="43">
        <v>251017</v>
      </c>
      <c r="K255" s="43">
        <v>0</v>
      </c>
      <c r="L255" s="43">
        <v>138583</v>
      </c>
      <c r="M255" s="43">
        <v>0</v>
      </c>
      <c r="N255" s="43">
        <v>0</v>
      </c>
      <c r="O255" s="43">
        <v>0</v>
      </c>
      <c r="P255" s="43">
        <v>0</v>
      </c>
      <c r="Q255" s="43">
        <v>0</v>
      </c>
      <c r="R255" s="43">
        <v>8831</v>
      </c>
      <c r="S255" s="43">
        <v>0</v>
      </c>
      <c r="T255" s="43">
        <v>764</v>
      </c>
      <c r="U255" s="43">
        <v>0</v>
      </c>
      <c r="V255" s="43">
        <v>50709</v>
      </c>
      <c r="W255" s="43">
        <v>0</v>
      </c>
      <c r="X255" s="43">
        <v>0</v>
      </c>
      <c r="Y255" s="43">
        <v>0</v>
      </c>
      <c r="Z255" s="43">
        <v>0</v>
      </c>
      <c r="AA255" s="43">
        <v>0</v>
      </c>
      <c r="AB255" s="43">
        <v>0</v>
      </c>
      <c r="AC255" s="43">
        <v>0</v>
      </c>
      <c r="AD255" s="43">
        <v>0</v>
      </c>
      <c r="AE255" s="43">
        <v>0</v>
      </c>
      <c r="AF255" s="43">
        <v>0</v>
      </c>
      <c r="AG255" s="43"/>
      <c r="AH255" s="43">
        <f t="shared" si="11"/>
        <v>5658124</v>
      </c>
    </row>
    <row r="256" spans="1:65" s="4" customFormat="1" hidden="1" x14ac:dyDescent="0.2">
      <c r="A256" s="4">
        <v>52</v>
      </c>
      <c r="B256" s="35" t="s">
        <v>314</v>
      </c>
      <c r="C256" s="35"/>
      <c r="D256" s="35" t="s">
        <v>11</v>
      </c>
      <c r="E256" s="35"/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v>0</v>
      </c>
      <c r="O256" s="43">
        <v>0</v>
      </c>
      <c r="P256" s="43">
        <v>0</v>
      </c>
      <c r="Q256" s="43">
        <v>0</v>
      </c>
      <c r="R256" s="43">
        <v>0</v>
      </c>
      <c r="S256" s="43">
        <v>0</v>
      </c>
      <c r="T256" s="43">
        <v>0</v>
      </c>
      <c r="U256" s="43">
        <v>0</v>
      </c>
      <c r="V256" s="43">
        <v>0</v>
      </c>
      <c r="W256" s="43">
        <v>0</v>
      </c>
      <c r="X256" s="43">
        <v>0</v>
      </c>
      <c r="Y256" s="43">
        <v>0</v>
      </c>
      <c r="Z256" s="43">
        <v>0</v>
      </c>
      <c r="AA256" s="43">
        <v>0</v>
      </c>
      <c r="AB256" s="43">
        <v>0</v>
      </c>
      <c r="AC256" s="43">
        <v>0</v>
      </c>
      <c r="AD256" s="43">
        <v>0</v>
      </c>
      <c r="AE256" s="43">
        <v>0</v>
      </c>
      <c r="AF256" s="43">
        <v>0</v>
      </c>
      <c r="AG256" s="43"/>
      <c r="AH256" s="43">
        <f>SUM(F256:AF256)</f>
        <v>0</v>
      </c>
    </row>
    <row r="257" spans="1:65" s="4" customFormat="1" hidden="1" x14ac:dyDescent="0.2">
      <c r="A257" s="4">
        <v>93</v>
      </c>
      <c r="B257" s="38" t="s">
        <v>340</v>
      </c>
      <c r="C257" s="38"/>
      <c r="D257" s="38" t="s">
        <v>42</v>
      </c>
      <c r="E257" s="38"/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3">
        <v>0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43">
        <v>0</v>
      </c>
      <c r="W257" s="43">
        <v>0</v>
      </c>
      <c r="X257" s="43">
        <v>0</v>
      </c>
      <c r="Y257" s="43">
        <v>0</v>
      </c>
      <c r="Z257" s="43">
        <v>0</v>
      </c>
      <c r="AA257" s="43">
        <v>0</v>
      </c>
      <c r="AB257" s="43">
        <v>0</v>
      </c>
      <c r="AC257" s="43">
        <v>0</v>
      </c>
      <c r="AD257" s="43">
        <v>0</v>
      </c>
      <c r="AE257" s="43">
        <v>0</v>
      </c>
      <c r="AF257" s="43">
        <v>0</v>
      </c>
      <c r="AG257" s="43"/>
      <c r="AH257" s="43">
        <f>SUM(F257:AF257)</f>
        <v>0</v>
      </c>
    </row>
    <row r="258" spans="1:65" s="4" customFormat="1" x14ac:dyDescent="0.2">
      <c r="A258" s="4">
        <v>5</v>
      </c>
      <c r="B258" s="4" t="s">
        <v>577</v>
      </c>
      <c r="D258" s="4" t="s">
        <v>23</v>
      </c>
      <c r="F258" s="43">
        <v>4163743</v>
      </c>
      <c r="G258" s="43">
        <v>0</v>
      </c>
      <c r="H258" s="43">
        <v>6283639</v>
      </c>
      <c r="I258" s="43">
        <v>0</v>
      </c>
      <c r="J258" s="43">
        <v>1021042</v>
      </c>
      <c r="K258" s="43">
        <v>0</v>
      </c>
      <c r="L258" s="43">
        <v>233915</v>
      </c>
      <c r="M258" s="43">
        <v>0</v>
      </c>
      <c r="N258" s="43">
        <v>0</v>
      </c>
      <c r="O258" s="43">
        <v>0</v>
      </c>
      <c r="P258" s="43">
        <v>52493</v>
      </c>
      <c r="Q258" s="43">
        <v>0</v>
      </c>
      <c r="R258" s="43">
        <v>7733</v>
      </c>
      <c r="S258" s="43">
        <v>0</v>
      </c>
      <c r="T258" s="43">
        <v>1362</v>
      </c>
      <c r="U258" s="43">
        <v>0</v>
      </c>
      <c r="V258" s="43">
        <v>87142</v>
      </c>
      <c r="W258" s="43">
        <v>0</v>
      </c>
      <c r="X258" s="43">
        <v>0</v>
      </c>
      <c r="Y258" s="43">
        <v>0</v>
      </c>
      <c r="Z258" s="43">
        <v>0</v>
      </c>
      <c r="AA258" s="43">
        <v>0</v>
      </c>
      <c r="AB258" s="43">
        <v>0</v>
      </c>
      <c r="AC258" s="43">
        <v>0</v>
      </c>
      <c r="AD258" s="43">
        <v>0</v>
      </c>
      <c r="AE258" s="43">
        <v>0</v>
      </c>
      <c r="AF258" s="43">
        <v>0</v>
      </c>
      <c r="AG258" s="43"/>
      <c r="AH258" s="43">
        <f t="shared" si="11"/>
        <v>11851069</v>
      </c>
    </row>
    <row r="259" spans="1:65" s="4" customFormat="1" ht="12" hidden="1" customHeight="1" x14ac:dyDescent="0.2">
      <c r="A259" s="4">
        <v>70</v>
      </c>
      <c r="B259" s="4" t="s">
        <v>254</v>
      </c>
      <c r="D259" s="4" t="s">
        <v>255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3">
        <v>0</v>
      </c>
      <c r="Q259" s="43">
        <v>0</v>
      </c>
      <c r="R259" s="43">
        <v>0</v>
      </c>
      <c r="S259" s="43">
        <v>0</v>
      </c>
      <c r="T259" s="43">
        <v>0</v>
      </c>
      <c r="U259" s="43">
        <v>0</v>
      </c>
      <c r="V259" s="43">
        <v>0</v>
      </c>
      <c r="W259" s="43">
        <v>0</v>
      </c>
      <c r="X259" s="43">
        <v>0</v>
      </c>
      <c r="Y259" s="43">
        <v>0</v>
      </c>
      <c r="Z259" s="43">
        <v>0</v>
      </c>
      <c r="AA259" s="43">
        <v>0</v>
      </c>
      <c r="AB259" s="43">
        <v>0</v>
      </c>
      <c r="AC259" s="43">
        <v>0</v>
      </c>
      <c r="AD259" s="43">
        <v>0</v>
      </c>
      <c r="AE259" s="43">
        <v>0</v>
      </c>
      <c r="AF259" s="43">
        <v>0</v>
      </c>
      <c r="AG259" s="43"/>
      <c r="AH259" s="43">
        <f>SUM(F259:AF259)</f>
        <v>0</v>
      </c>
    </row>
    <row r="260" spans="1:65" s="4" customFormat="1" x14ac:dyDescent="0.2">
      <c r="A260" s="4">
        <v>134</v>
      </c>
      <c r="B260" s="4" t="s">
        <v>256</v>
      </c>
      <c r="D260" s="4" t="s">
        <v>20</v>
      </c>
      <c r="F260" s="43">
        <v>1587842</v>
      </c>
      <c r="G260" s="43">
        <v>0</v>
      </c>
      <c r="H260" s="43">
        <v>0</v>
      </c>
      <c r="I260" s="43">
        <v>0</v>
      </c>
      <c r="J260" s="43">
        <v>1189705</v>
      </c>
      <c r="K260" s="43">
        <v>0</v>
      </c>
      <c r="L260" s="43">
        <v>114173</v>
      </c>
      <c r="M260" s="43">
        <v>0</v>
      </c>
      <c r="N260" s="43">
        <v>0</v>
      </c>
      <c r="O260" s="43">
        <v>0</v>
      </c>
      <c r="P260" s="43">
        <v>0</v>
      </c>
      <c r="Q260" s="43">
        <v>0</v>
      </c>
      <c r="R260" s="43">
        <v>4591</v>
      </c>
      <c r="S260" s="43">
        <v>0</v>
      </c>
      <c r="T260" s="43">
        <v>700</v>
      </c>
      <c r="U260" s="43">
        <v>0</v>
      </c>
      <c r="V260" s="43">
        <v>7967</v>
      </c>
      <c r="W260" s="43">
        <v>0</v>
      </c>
      <c r="X260" s="43">
        <v>0</v>
      </c>
      <c r="Y260" s="43">
        <v>0</v>
      </c>
      <c r="Z260" s="43">
        <v>0</v>
      </c>
      <c r="AA260" s="43">
        <v>0</v>
      </c>
      <c r="AB260" s="43">
        <v>0</v>
      </c>
      <c r="AC260" s="43">
        <v>0</v>
      </c>
      <c r="AD260" s="43">
        <v>0</v>
      </c>
      <c r="AE260" s="43">
        <v>0</v>
      </c>
      <c r="AF260" s="43">
        <v>0</v>
      </c>
      <c r="AG260" s="43"/>
      <c r="AH260" s="43">
        <f t="shared" si="11"/>
        <v>2904978</v>
      </c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</row>
    <row r="261" spans="1:65" s="4" customFormat="1" hidden="1" x14ac:dyDescent="0.2">
      <c r="A261" s="4">
        <v>142</v>
      </c>
      <c r="B261" s="35" t="s">
        <v>257</v>
      </c>
      <c r="C261" s="35"/>
      <c r="D261" s="35" t="s">
        <v>40</v>
      </c>
      <c r="E261" s="35"/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v>0</v>
      </c>
      <c r="O261" s="43">
        <v>0</v>
      </c>
      <c r="P261" s="43">
        <v>0</v>
      </c>
      <c r="Q261" s="43">
        <v>0</v>
      </c>
      <c r="R261" s="43">
        <v>0</v>
      </c>
      <c r="S261" s="43">
        <v>0</v>
      </c>
      <c r="T261" s="43">
        <v>0</v>
      </c>
      <c r="U261" s="43">
        <v>0</v>
      </c>
      <c r="V261" s="43">
        <v>0</v>
      </c>
      <c r="W261" s="43">
        <v>0</v>
      </c>
      <c r="X261" s="43">
        <v>0</v>
      </c>
      <c r="Y261" s="43">
        <v>0</v>
      </c>
      <c r="Z261" s="43">
        <v>0</v>
      </c>
      <c r="AA261" s="43">
        <v>0</v>
      </c>
      <c r="AB261" s="43">
        <v>0</v>
      </c>
      <c r="AC261" s="43">
        <v>0</v>
      </c>
      <c r="AD261" s="43">
        <v>0</v>
      </c>
      <c r="AE261" s="43">
        <v>0</v>
      </c>
      <c r="AF261" s="43">
        <v>0</v>
      </c>
      <c r="AG261" s="43"/>
      <c r="AH261" s="43">
        <f>SUM(F261:AF261)</f>
        <v>0</v>
      </c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</row>
    <row r="262" spans="1:65" s="4" customFormat="1" hidden="1" x14ac:dyDescent="0.2">
      <c r="A262" s="4">
        <v>79</v>
      </c>
      <c r="B262" s="4" t="s">
        <v>315</v>
      </c>
      <c r="D262" s="4" t="s">
        <v>168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3">
        <v>0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3">
        <v>0</v>
      </c>
      <c r="X262" s="43">
        <v>0</v>
      </c>
      <c r="Y262" s="43">
        <v>0</v>
      </c>
      <c r="Z262" s="43">
        <v>0</v>
      </c>
      <c r="AA262" s="43">
        <v>0</v>
      </c>
      <c r="AB262" s="43">
        <v>0</v>
      </c>
      <c r="AC262" s="43">
        <v>0</v>
      </c>
      <c r="AD262" s="43">
        <v>0</v>
      </c>
      <c r="AE262" s="43">
        <v>0</v>
      </c>
      <c r="AF262" s="43">
        <v>0</v>
      </c>
      <c r="AG262" s="43"/>
      <c r="AH262" s="43">
        <f>SUM(F262:AF262)</f>
        <v>0</v>
      </c>
    </row>
    <row r="263" spans="1:65" s="4" customFormat="1" hidden="1" x14ac:dyDescent="0.2">
      <c r="A263" s="4">
        <v>56</v>
      </c>
      <c r="B263" s="4" t="s">
        <v>259</v>
      </c>
      <c r="D263" s="4" t="s">
        <v>20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3">
        <v>0</v>
      </c>
      <c r="X263" s="43">
        <v>0</v>
      </c>
      <c r="Y263" s="43">
        <v>0</v>
      </c>
      <c r="Z263" s="43">
        <v>0</v>
      </c>
      <c r="AA263" s="43">
        <v>0</v>
      </c>
      <c r="AB263" s="43">
        <v>0</v>
      </c>
      <c r="AC263" s="43">
        <v>0</v>
      </c>
      <c r="AD263" s="43">
        <v>0</v>
      </c>
      <c r="AE263" s="43">
        <v>0</v>
      </c>
      <c r="AF263" s="43">
        <v>0</v>
      </c>
      <c r="AG263" s="43"/>
      <c r="AH263" s="43">
        <f t="shared" si="11"/>
        <v>0</v>
      </c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</row>
    <row r="264" spans="1:65" s="4" customFormat="1" hidden="1" x14ac:dyDescent="0.2">
      <c r="A264" s="4">
        <v>130</v>
      </c>
      <c r="B264" s="4" t="s">
        <v>564</v>
      </c>
      <c r="D264" s="4" t="s">
        <v>565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v>0</v>
      </c>
      <c r="P264" s="43">
        <v>0</v>
      </c>
      <c r="Q264" s="43">
        <v>0</v>
      </c>
      <c r="R264" s="43">
        <v>0</v>
      </c>
      <c r="S264" s="43">
        <v>0</v>
      </c>
      <c r="T264" s="43">
        <v>0</v>
      </c>
      <c r="U264" s="43">
        <v>0</v>
      </c>
      <c r="V264" s="43">
        <v>0</v>
      </c>
      <c r="W264" s="43">
        <v>0</v>
      </c>
      <c r="X264" s="43">
        <v>0</v>
      </c>
      <c r="Y264" s="43">
        <v>0</v>
      </c>
      <c r="Z264" s="43">
        <v>0</v>
      </c>
      <c r="AA264" s="43">
        <v>0</v>
      </c>
      <c r="AB264" s="43">
        <v>0</v>
      </c>
      <c r="AC264" s="43">
        <v>0</v>
      </c>
      <c r="AD264" s="43">
        <v>0</v>
      </c>
      <c r="AE264" s="43">
        <v>0</v>
      </c>
      <c r="AF264" s="43">
        <v>0</v>
      </c>
      <c r="AG264" s="43"/>
      <c r="AH264" s="43">
        <f t="shared" si="11"/>
        <v>0</v>
      </c>
    </row>
    <row r="265" spans="1:65" s="4" customFormat="1" hidden="1" x14ac:dyDescent="0.2">
      <c r="A265" s="4">
        <v>55</v>
      </c>
      <c r="B265" s="4" t="s">
        <v>561</v>
      </c>
      <c r="D265" s="4" t="s">
        <v>65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0</v>
      </c>
      <c r="T265" s="43">
        <v>0</v>
      </c>
      <c r="U265" s="43">
        <v>0</v>
      </c>
      <c r="V265" s="43">
        <v>0</v>
      </c>
      <c r="W265" s="43">
        <v>0</v>
      </c>
      <c r="X265" s="43">
        <v>0</v>
      </c>
      <c r="Y265" s="43">
        <v>0</v>
      </c>
      <c r="Z265" s="43">
        <v>0</v>
      </c>
      <c r="AA265" s="43">
        <v>0</v>
      </c>
      <c r="AB265" s="43">
        <v>0</v>
      </c>
      <c r="AC265" s="43">
        <v>0</v>
      </c>
      <c r="AD265" s="43">
        <v>0</v>
      </c>
      <c r="AE265" s="43">
        <v>0</v>
      </c>
      <c r="AF265" s="43">
        <v>0</v>
      </c>
      <c r="AG265" s="43"/>
      <c r="AH265" s="43">
        <f t="shared" si="11"/>
        <v>0</v>
      </c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</row>
    <row r="266" spans="1:65" s="4" customFormat="1" hidden="1" x14ac:dyDescent="0.2">
      <c r="A266" s="4">
        <v>145</v>
      </c>
      <c r="B266" s="4" t="s">
        <v>260</v>
      </c>
      <c r="D266" s="4" t="s">
        <v>43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43">
        <v>0</v>
      </c>
      <c r="Q266" s="43">
        <v>0</v>
      </c>
      <c r="R266" s="43">
        <v>0</v>
      </c>
      <c r="S266" s="43">
        <v>0</v>
      </c>
      <c r="T266" s="43">
        <v>0</v>
      </c>
      <c r="U266" s="43">
        <v>0</v>
      </c>
      <c r="V266" s="43">
        <v>0</v>
      </c>
      <c r="W266" s="43">
        <v>0</v>
      </c>
      <c r="X266" s="43">
        <v>0</v>
      </c>
      <c r="Y266" s="43">
        <v>0</v>
      </c>
      <c r="Z266" s="43">
        <v>0</v>
      </c>
      <c r="AA266" s="43">
        <v>0</v>
      </c>
      <c r="AB266" s="43">
        <v>0</v>
      </c>
      <c r="AC266" s="43">
        <v>0</v>
      </c>
      <c r="AD266" s="43">
        <v>0</v>
      </c>
      <c r="AE266" s="43">
        <v>0</v>
      </c>
      <c r="AF266" s="43">
        <v>0</v>
      </c>
      <c r="AG266" s="43"/>
      <c r="AH266" s="43">
        <f>SUM(F266:AF266)</f>
        <v>0</v>
      </c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</row>
    <row r="267" spans="1:65" s="4" customFormat="1" x14ac:dyDescent="0.2">
      <c r="A267" s="4">
        <v>54</v>
      </c>
      <c r="B267" s="4" t="s">
        <v>439</v>
      </c>
      <c r="D267" s="4" t="s">
        <v>51</v>
      </c>
      <c r="F267" s="43">
        <v>437565</v>
      </c>
      <c r="G267" s="43">
        <v>0</v>
      </c>
      <c r="H267" s="43">
        <v>290807</v>
      </c>
      <c r="I267" s="43">
        <v>0</v>
      </c>
      <c r="J267" s="43">
        <v>0</v>
      </c>
      <c r="K267" s="43">
        <v>0</v>
      </c>
      <c r="L267" s="43">
        <v>11630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43">
        <v>3688</v>
      </c>
      <c r="S267" s="43">
        <v>0</v>
      </c>
      <c r="T267" s="43">
        <v>1677</v>
      </c>
      <c r="U267" s="43">
        <v>0</v>
      </c>
      <c r="V267" s="43">
        <v>11410</v>
      </c>
      <c r="W267" s="43">
        <v>0</v>
      </c>
      <c r="X267" s="43">
        <v>0</v>
      </c>
      <c r="Y267" s="43">
        <v>0</v>
      </c>
      <c r="Z267" s="43">
        <v>0</v>
      </c>
      <c r="AA267" s="43">
        <v>0</v>
      </c>
      <c r="AB267" s="43">
        <v>0</v>
      </c>
      <c r="AC267" s="43">
        <v>0</v>
      </c>
      <c r="AD267" s="43">
        <v>0</v>
      </c>
      <c r="AE267" s="43">
        <v>0</v>
      </c>
      <c r="AF267" s="43">
        <v>0</v>
      </c>
      <c r="AG267" s="43"/>
      <c r="AH267" s="43">
        <f t="shared" si="11"/>
        <v>756777</v>
      </c>
    </row>
    <row r="268" spans="1:65" s="4" customFormat="1" x14ac:dyDescent="0.2">
      <c r="A268" s="4">
        <v>32</v>
      </c>
      <c r="B268" s="4" t="s">
        <v>593</v>
      </c>
      <c r="D268" s="4" t="s">
        <v>316</v>
      </c>
      <c r="F268" s="43">
        <v>13435450</v>
      </c>
      <c r="G268" s="43">
        <v>0</v>
      </c>
      <c r="H268" s="43">
        <v>0</v>
      </c>
      <c r="I268" s="43">
        <v>0</v>
      </c>
      <c r="J268" s="43">
        <v>16647048</v>
      </c>
      <c r="K268" s="43">
        <v>0</v>
      </c>
      <c r="L268" s="43">
        <v>745168</v>
      </c>
      <c r="M268" s="43">
        <v>0</v>
      </c>
      <c r="N268" s="43">
        <v>0</v>
      </c>
      <c r="O268" s="43">
        <v>0</v>
      </c>
      <c r="P268" s="43">
        <v>85377</v>
      </c>
      <c r="Q268" s="43">
        <v>0</v>
      </c>
      <c r="R268" s="43">
        <v>10796</v>
      </c>
      <c r="S268" s="43">
        <v>0</v>
      </c>
      <c r="T268" s="43">
        <v>22262</v>
      </c>
      <c r="U268" s="43">
        <v>0</v>
      </c>
      <c r="V268" s="43">
        <v>269835</v>
      </c>
      <c r="W268" s="43">
        <v>0</v>
      </c>
      <c r="X268" s="43">
        <v>0</v>
      </c>
      <c r="Y268" s="43">
        <v>0</v>
      </c>
      <c r="Z268" s="43">
        <v>0</v>
      </c>
      <c r="AA268" s="43">
        <v>0</v>
      </c>
      <c r="AB268" s="43">
        <v>0</v>
      </c>
      <c r="AC268" s="43">
        <v>0</v>
      </c>
      <c r="AD268" s="43">
        <v>0</v>
      </c>
      <c r="AE268" s="43">
        <v>0</v>
      </c>
      <c r="AF268" s="43">
        <v>0</v>
      </c>
      <c r="AG268" s="43"/>
      <c r="AH268" s="43">
        <f t="shared" si="11"/>
        <v>31215936</v>
      </c>
    </row>
    <row r="269" spans="1:65" s="4" customFormat="1" x14ac:dyDescent="0.2">
      <c r="A269" s="4">
        <v>57</v>
      </c>
      <c r="B269" s="4" t="s">
        <v>594</v>
      </c>
      <c r="D269" s="4" t="s">
        <v>51</v>
      </c>
      <c r="F269" s="43">
        <v>633633</v>
      </c>
      <c r="G269" s="43">
        <v>0</v>
      </c>
      <c r="H269" s="43">
        <v>1162928</v>
      </c>
      <c r="I269" s="43">
        <v>0</v>
      </c>
      <c r="J269" s="43">
        <v>0</v>
      </c>
      <c r="K269" s="43">
        <v>0</v>
      </c>
      <c r="L269" s="43">
        <v>41304</v>
      </c>
      <c r="M269" s="43">
        <v>0</v>
      </c>
      <c r="N269" s="43">
        <v>0</v>
      </c>
      <c r="O269" s="43">
        <v>0</v>
      </c>
      <c r="P269" s="43">
        <v>0</v>
      </c>
      <c r="Q269" s="43">
        <v>0</v>
      </c>
      <c r="R269" s="43">
        <v>52977</v>
      </c>
      <c r="S269" s="43">
        <v>0</v>
      </c>
      <c r="T269" s="43">
        <v>14178</v>
      </c>
      <c r="U269" s="43">
        <v>0</v>
      </c>
      <c r="V269" s="43">
        <v>9888</v>
      </c>
      <c r="W269" s="43">
        <v>0</v>
      </c>
      <c r="X269" s="43">
        <v>0</v>
      </c>
      <c r="Y269" s="43">
        <v>0</v>
      </c>
      <c r="Z269" s="43">
        <v>0</v>
      </c>
      <c r="AA269" s="43">
        <v>0</v>
      </c>
      <c r="AB269" s="43">
        <v>0</v>
      </c>
      <c r="AC269" s="43">
        <v>0</v>
      </c>
      <c r="AD269" s="43">
        <v>0</v>
      </c>
      <c r="AE269" s="43">
        <v>0</v>
      </c>
      <c r="AF269" s="43">
        <v>0</v>
      </c>
      <c r="AG269" s="43"/>
      <c r="AH269" s="43">
        <f t="shared" si="11"/>
        <v>1914908</v>
      </c>
    </row>
    <row r="270" spans="1:65" s="4" customFormat="1" x14ac:dyDescent="0.2">
      <c r="A270" s="4">
        <v>53</v>
      </c>
      <c r="B270" s="4" t="s">
        <v>595</v>
      </c>
      <c r="D270" s="4" t="s">
        <v>24</v>
      </c>
      <c r="F270" s="43">
        <v>520098</v>
      </c>
      <c r="G270" s="43">
        <v>0</v>
      </c>
      <c r="H270" s="43">
        <v>0</v>
      </c>
      <c r="I270" s="43">
        <v>0</v>
      </c>
      <c r="J270" s="43">
        <v>1352858</v>
      </c>
      <c r="K270" s="43">
        <v>0</v>
      </c>
      <c r="L270" s="43">
        <v>56573</v>
      </c>
      <c r="M270" s="43">
        <v>0</v>
      </c>
      <c r="N270" s="43">
        <v>0</v>
      </c>
      <c r="O270" s="43">
        <v>0</v>
      </c>
      <c r="P270" s="43">
        <v>0</v>
      </c>
      <c r="Q270" s="43">
        <v>0</v>
      </c>
      <c r="R270" s="43">
        <v>0</v>
      </c>
      <c r="S270" s="43">
        <v>0</v>
      </c>
      <c r="T270" s="43">
        <v>1175</v>
      </c>
      <c r="U270" s="43">
        <v>0</v>
      </c>
      <c r="V270" s="43">
        <v>0</v>
      </c>
      <c r="W270" s="43">
        <v>0</v>
      </c>
      <c r="X270" s="43">
        <v>0</v>
      </c>
      <c r="Y270" s="43">
        <v>0</v>
      </c>
      <c r="Z270" s="43">
        <v>0</v>
      </c>
      <c r="AA270" s="43">
        <v>0</v>
      </c>
      <c r="AB270" s="43">
        <v>0</v>
      </c>
      <c r="AC270" s="43">
        <v>0</v>
      </c>
      <c r="AD270" s="43">
        <v>0</v>
      </c>
      <c r="AE270" s="43">
        <v>0</v>
      </c>
      <c r="AF270" s="43">
        <v>0</v>
      </c>
      <c r="AG270" s="43"/>
      <c r="AH270" s="43">
        <f t="shared" si="11"/>
        <v>1930704</v>
      </c>
    </row>
    <row r="271" spans="1:65" s="4" customFormat="1" x14ac:dyDescent="0.2">
      <c r="A271" s="4">
        <v>78</v>
      </c>
      <c r="B271" s="4" t="s">
        <v>317</v>
      </c>
      <c r="D271" s="4" t="s">
        <v>20</v>
      </c>
      <c r="F271" s="43">
        <v>1338406</v>
      </c>
      <c r="G271" s="43">
        <v>0</v>
      </c>
      <c r="H271" s="43">
        <v>1003097</v>
      </c>
      <c r="I271" s="43">
        <v>0</v>
      </c>
      <c r="J271" s="43">
        <v>254595</v>
      </c>
      <c r="K271" s="43">
        <v>0</v>
      </c>
      <c r="L271" s="43">
        <v>78030</v>
      </c>
      <c r="M271" s="43">
        <v>0</v>
      </c>
      <c r="N271" s="43">
        <v>0</v>
      </c>
      <c r="O271" s="43">
        <v>0</v>
      </c>
      <c r="P271" s="43">
        <v>0</v>
      </c>
      <c r="Q271" s="43">
        <v>0</v>
      </c>
      <c r="R271" s="43">
        <v>18000</v>
      </c>
      <c r="S271" s="43">
        <v>0</v>
      </c>
      <c r="T271" s="43">
        <v>925</v>
      </c>
      <c r="U271" s="43">
        <v>0</v>
      </c>
      <c r="V271" s="43">
        <v>11142</v>
      </c>
      <c r="W271" s="43">
        <v>0</v>
      </c>
      <c r="X271" s="43">
        <v>0</v>
      </c>
      <c r="Y271" s="43">
        <v>0</v>
      </c>
      <c r="Z271" s="43">
        <v>0</v>
      </c>
      <c r="AA271" s="43">
        <v>0</v>
      </c>
      <c r="AB271" s="43">
        <v>0</v>
      </c>
      <c r="AC271" s="43">
        <v>0</v>
      </c>
      <c r="AD271" s="43">
        <v>0</v>
      </c>
      <c r="AE271" s="43">
        <v>0</v>
      </c>
      <c r="AF271" s="43">
        <v>0</v>
      </c>
      <c r="AG271" s="43"/>
      <c r="AH271" s="43">
        <f t="shared" si="11"/>
        <v>2704195</v>
      </c>
    </row>
    <row r="272" spans="1:65" s="7" customFormat="1" x14ac:dyDescent="0.2">
      <c r="A272" s="4">
        <v>247</v>
      </c>
      <c r="B272" s="4" t="s">
        <v>264</v>
      </c>
      <c r="C272" s="4"/>
      <c r="D272" s="4" t="s">
        <v>45</v>
      </c>
      <c r="E272" s="4"/>
      <c r="F272" s="43">
        <v>165879</v>
      </c>
      <c r="G272" s="43">
        <v>0</v>
      </c>
      <c r="H272" s="43">
        <v>407262</v>
      </c>
      <c r="I272" s="43">
        <v>0</v>
      </c>
      <c r="J272" s="43">
        <v>0</v>
      </c>
      <c r="K272" s="43">
        <v>0</v>
      </c>
      <c r="L272" s="43">
        <v>11419</v>
      </c>
      <c r="M272" s="43">
        <v>0</v>
      </c>
      <c r="N272" s="43">
        <v>0</v>
      </c>
      <c r="O272" s="43">
        <v>0</v>
      </c>
      <c r="P272" s="43">
        <v>0</v>
      </c>
      <c r="Q272" s="43">
        <v>0</v>
      </c>
      <c r="R272" s="43">
        <v>2502</v>
      </c>
      <c r="S272" s="43">
        <v>0</v>
      </c>
      <c r="T272" s="43">
        <v>195</v>
      </c>
      <c r="U272" s="43">
        <v>0</v>
      </c>
      <c r="V272" s="43">
        <f>22608-20</f>
        <v>22588</v>
      </c>
      <c r="W272" s="43">
        <v>0</v>
      </c>
      <c r="X272" s="43">
        <v>0</v>
      </c>
      <c r="Y272" s="43">
        <v>0</v>
      </c>
      <c r="Z272" s="43">
        <v>0</v>
      </c>
      <c r="AA272" s="43">
        <v>0</v>
      </c>
      <c r="AB272" s="43">
        <v>0</v>
      </c>
      <c r="AC272" s="43">
        <v>0</v>
      </c>
      <c r="AD272" s="43">
        <v>0</v>
      </c>
      <c r="AE272" s="43">
        <v>0</v>
      </c>
      <c r="AF272" s="43">
        <v>0</v>
      </c>
      <c r="AG272" s="43"/>
      <c r="AH272" s="43">
        <f t="shared" si="11"/>
        <v>609845</v>
      </c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</row>
    <row r="273" spans="1:65" s="7" customFormat="1" x14ac:dyDescent="0.2">
      <c r="A273" s="4"/>
      <c r="B273" s="4" t="s">
        <v>265</v>
      </c>
      <c r="C273" s="4"/>
      <c r="D273" s="4" t="s">
        <v>90</v>
      </c>
      <c r="E273" s="4"/>
      <c r="F273" s="43">
        <v>2671311</v>
      </c>
      <c r="G273" s="43">
        <v>0</v>
      </c>
      <c r="H273" s="43">
        <v>2389118</v>
      </c>
      <c r="I273" s="43">
        <v>0</v>
      </c>
      <c r="J273" s="43">
        <v>393082</v>
      </c>
      <c r="K273" s="43">
        <v>0</v>
      </c>
      <c r="L273" s="43">
        <v>169641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10243</v>
      </c>
      <c r="S273" s="43">
        <v>0</v>
      </c>
      <c r="T273" s="43">
        <v>13780</v>
      </c>
      <c r="U273" s="43">
        <v>0</v>
      </c>
      <c r="V273" s="43">
        <v>25659</v>
      </c>
      <c r="W273" s="43">
        <v>0</v>
      </c>
      <c r="X273" s="43">
        <v>0</v>
      </c>
      <c r="Y273" s="43">
        <v>0</v>
      </c>
      <c r="Z273" s="43">
        <v>0</v>
      </c>
      <c r="AA273" s="43">
        <v>0</v>
      </c>
      <c r="AB273" s="43">
        <v>0</v>
      </c>
      <c r="AC273" s="43">
        <v>0</v>
      </c>
      <c r="AD273" s="43">
        <v>0</v>
      </c>
      <c r="AE273" s="43">
        <v>0</v>
      </c>
      <c r="AF273" s="43">
        <v>0</v>
      </c>
      <c r="AG273" s="43"/>
      <c r="AH273" s="43">
        <f t="shared" si="11"/>
        <v>5672834</v>
      </c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</row>
    <row r="274" spans="1:65" s="4" customFormat="1" hidden="1" x14ac:dyDescent="0.2">
      <c r="A274" s="4">
        <v>26</v>
      </c>
      <c r="B274" s="4" t="s">
        <v>266</v>
      </c>
      <c r="D274" s="4" t="s">
        <v>61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v>0</v>
      </c>
      <c r="O274" s="43">
        <v>0</v>
      </c>
      <c r="P274" s="43">
        <v>0</v>
      </c>
      <c r="Q274" s="43">
        <v>0</v>
      </c>
      <c r="R274" s="43">
        <v>0</v>
      </c>
      <c r="S274" s="43">
        <v>0</v>
      </c>
      <c r="T274" s="43">
        <v>0</v>
      </c>
      <c r="U274" s="43">
        <v>0</v>
      </c>
      <c r="V274" s="43">
        <v>0</v>
      </c>
      <c r="W274" s="43">
        <v>0</v>
      </c>
      <c r="X274" s="43">
        <v>0</v>
      </c>
      <c r="Y274" s="43">
        <v>0</v>
      </c>
      <c r="Z274" s="43">
        <v>0</v>
      </c>
      <c r="AA274" s="43">
        <v>0</v>
      </c>
      <c r="AB274" s="43">
        <v>0</v>
      </c>
      <c r="AC274" s="43">
        <v>0</v>
      </c>
      <c r="AD274" s="43">
        <v>0</v>
      </c>
      <c r="AE274" s="43">
        <v>0</v>
      </c>
      <c r="AF274" s="43">
        <v>0</v>
      </c>
      <c r="AG274" s="43"/>
      <c r="AH274" s="43">
        <f>SUM(F274:AF274)</f>
        <v>0</v>
      </c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</row>
    <row r="275" spans="1:65" s="4" customFormat="1" x14ac:dyDescent="0.2">
      <c r="B275" s="4" t="s">
        <v>606</v>
      </c>
      <c r="D275" s="4" t="s">
        <v>65</v>
      </c>
      <c r="F275" s="43">
        <v>0</v>
      </c>
      <c r="G275" s="43">
        <v>0</v>
      </c>
      <c r="H275" s="43">
        <v>274071</v>
      </c>
      <c r="I275" s="43">
        <v>0</v>
      </c>
      <c r="J275" s="43">
        <v>0</v>
      </c>
      <c r="K275" s="43">
        <v>0</v>
      </c>
      <c r="L275" s="43">
        <v>28436</v>
      </c>
      <c r="M275" s="43">
        <v>0</v>
      </c>
      <c r="N275" s="43">
        <v>0</v>
      </c>
      <c r="O275" s="43">
        <v>0</v>
      </c>
      <c r="P275" s="43">
        <v>0</v>
      </c>
      <c r="Q275" s="43">
        <v>0</v>
      </c>
      <c r="R275" s="43">
        <v>7080</v>
      </c>
      <c r="S275" s="43">
        <v>0</v>
      </c>
      <c r="T275" s="43">
        <v>251</v>
      </c>
      <c r="U275" s="43">
        <v>0</v>
      </c>
      <c r="V275" s="43">
        <v>887</v>
      </c>
      <c r="W275" s="43">
        <v>0</v>
      </c>
      <c r="X275" s="43">
        <v>0</v>
      </c>
      <c r="Y275" s="43">
        <v>0</v>
      </c>
      <c r="Z275" s="43">
        <v>0</v>
      </c>
      <c r="AA275" s="43">
        <v>0</v>
      </c>
      <c r="AB275" s="43">
        <v>0</v>
      </c>
      <c r="AC275" s="43">
        <v>0</v>
      </c>
      <c r="AD275" s="43">
        <v>0</v>
      </c>
      <c r="AE275" s="43">
        <v>0</v>
      </c>
      <c r="AF275" s="43">
        <v>0</v>
      </c>
      <c r="AG275" s="43"/>
      <c r="AH275" s="43">
        <f t="shared" si="11"/>
        <v>310725</v>
      </c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</row>
    <row r="276" spans="1:65" s="4" customFormat="1" x14ac:dyDescent="0.2">
      <c r="A276" s="4">
        <v>25</v>
      </c>
      <c r="B276" s="4" t="s">
        <v>596</v>
      </c>
      <c r="D276" s="4" t="s">
        <v>54</v>
      </c>
      <c r="F276" s="43">
        <v>2128118</v>
      </c>
      <c r="G276" s="43">
        <v>0</v>
      </c>
      <c r="H276" s="43">
        <v>3242964</v>
      </c>
      <c r="I276" s="43">
        <v>0</v>
      </c>
      <c r="J276" s="43">
        <v>4500</v>
      </c>
      <c r="K276" s="43">
        <v>0</v>
      </c>
      <c r="L276" s="43">
        <v>125072</v>
      </c>
      <c r="M276" s="43">
        <v>0</v>
      </c>
      <c r="N276" s="43">
        <v>0</v>
      </c>
      <c r="O276" s="43">
        <v>0</v>
      </c>
      <c r="P276" s="43">
        <v>400</v>
      </c>
      <c r="Q276" s="43">
        <v>0</v>
      </c>
      <c r="R276" s="43">
        <v>8740</v>
      </c>
      <c r="S276" s="43">
        <v>0</v>
      </c>
      <c r="T276" s="43">
        <v>13335</v>
      </c>
      <c r="U276" s="43">
        <v>0</v>
      </c>
      <c r="V276" s="43">
        <v>20534</v>
      </c>
      <c r="W276" s="43">
        <v>0</v>
      </c>
      <c r="X276" s="43">
        <v>0</v>
      </c>
      <c r="Y276" s="43">
        <v>0</v>
      </c>
      <c r="Z276" s="43">
        <v>0</v>
      </c>
      <c r="AA276" s="43">
        <v>0</v>
      </c>
      <c r="AB276" s="43">
        <v>0</v>
      </c>
      <c r="AC276" s="43">
        <v>0</v>
      </c>
      <c r="AD276" s="43">
        <v>0</v>
      </c>
      <c r="AE276" s="43">
        <v>0</v>
      </c>
      <c r="AF276" s="43">
        <v>0</v>
      </c>
      <c r="AG276" s="43"/>
      <c r="AH276" s="43">
        <f t="shared" si="11"/>
        <v>5543663</v>
      </c>
    </row>
    <row r="277" spans="1:65" s="4" customFormat="1" x14ac:dyDescent="0.2">
      <c r="A277" s="4">
        <v>90</v>
      </c>
      <c r="B277" s="4" t="s">
        <v>597</v>
      </c>
      <c r="D277" s="4" t="s">
        <v>25</v>
      </c>
      <c r="F277" s="43">
        <v>950324</v>
      </c>
      <c r="G277" s="43">
        <v>0</v>
      </c>
      <c r="H277" s="43">
        <v>0</v>
      </c>
      <c r="I277" s="43">
        <v>0</v>
      </c>
      <c r="J277" s="43">
        <v>1906909</v>
      </c>
      <c r="K277" s="43">
        <v>0</v>
      </c>
      <c r="L277" s="43">
        <v>70834</v>
      </c>
      <c r="M277" s="43">
        <v>0</v>
      </c>
      <c r="N277" s="43">
        <v>0</v>
      </c>
      <c r="O277" s="43">
        <v>0</v>
      </c>
      <c r="P277" s="43">
        <v>0</v>
      </c>
      <c r="Q277" s="43">
        <v>0</v>
      </c>
      <c r="R277" s="43">
        <v>8572</v>
      </c>
      <c r="S277" s="43">
        <v>0</v>
      </c>
      <c r="T277" s="43">
        <v>3912</v>
      </c>
      <c r="U277" s="43">
        <v>0</v>
      </c>
      <c r="V277" s="43">
        <v>13866</v>
      </c>
      <c r="W277" s="43">
        <v>0</v>
      </c>
      <c r="X277" s="43">
        <v>0</v>
      </c>
      <c r="Y277" s="43">
        <v>0</v>
      </c>
      <c r="Z277" s="43">
        <v>0</v>
      </c>
      <c r="AA277" s="43">
        <v>0</v>
      </c>
      <c r="AB277" s="43">
        <v>0</v>
      </c>
      <c r="AC277" s="43">
        <v>0</v>
      </c>
      <c r="AD277" s="43">
        <v>6</v>
      </c>
      <c r="AE277" s="43">
        <v>0</v>
      </c>
      <c r="AF277" s="43">
        <v>0</v>
      </c>
      <c r="AG277" s="43"/>
      <c r="AH277" s="43">
        <f t="shared" si="11"/>
        <v>2954423</v>
      </c>
    </row>
    <row r="278" spans="1:65" s="4" customFormat="1" x14ac:dyDescent="0.2">
      <c r="A278" s="4">
        <v>230</v>
      </c>
      <c r="B278" s="4" t="s">
        <v>267</v>
      </c>
      <c r="D278" s="4" t="s">
        <v>53</v>
      </c>
      <c r="F278" s="43">
        <v>3327664</v>
      </c>
      <c r="G278" s="43">
        <v>0</v>
      </c>
      <c r="H278" s="43">
        <v>2007293</v>
      </c>
      <c r="I278" s="43">
        <v>0</v>
      </c>
      <c r="J278" s="43">
        <v>483476</v>
      </c>
      <c r="K278" s="43">
        <v>0</v>
      </c>
      <c r="L278" s="43">
        <v>297376</v>
      </c>
      <c r="M278" s="43">
        <v>0</v>
      </c>
      <c r="N278" s="43">
        <v>0</v>
      </c>
      <c r="O278" s="43">
        <v>0</v>
      </c>
      <c r="P278" s="43">
        <v>0</v>
      </c>
      <c r="Q278" s="43">
        <v>0</v>
      </c>
      <c r="R278" s="43">
        <v>24761</v>
      </c>
      <c r="S278" s="43">
        <v>0</v>
      </c>
      <c r="T278" s="43">
        <v>74856</v>
      </c>
      <c r="U278" s="43">
        <v>0</v>
      </c>
      <c r="V278" s="43">
        <v>29897</v>
      </c>
      <c r="W278" s="43">
        <v>0</v>
      </c>
      <c r="X278" s="43">
        <v>0</v>
      </c>
      <c r="Y278" s="43">
        <v>0</v>
      </c>
      <c r="Z278" s="43">
        <v>0</v>
      </c>
      <c r="AA278" s="43">
        <v>0</v>
      </c>
      <c r="AB278" s="43">
        <v>0</v>
      </c>
      <c r="AC278" s="43">
        <v>0</v>
      </c>
      <c r="AD278" s="43">
        <v>0</v>
      </c>
      <c r="AE278" s="43">
        <v>0</v>
      </c>
      <c r="AF278" s="43">
        <v>0</v>
      </c>
      <c r="AG278" s="43"/>
      <c r="AH278" s="43">
        <f t="shared" si="11"/>
        <v>6245323</v>
      </c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</row>
    <row r="279" spans="1:65" s="4" customFormat="1" hidden="1" x14ac:dyDescent="0.2">
      <c r="A279" s="4">
        <v>171</v>
      </c>
      <c r="B279" s="4" t="s">
        <v>36</v>
      </c>
      <c r="D279" s="4" t="s">
        <v>40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3">
        <v>0</v>
      </c>
      <c r="Q279" s="43">
        <v>0</v>
      </c>
      <c r="R279" s="43">
        <v>0</v>
      </c>
      <c r="S279" s="43">
        <v>0</v>
      </c>
      <c r="T279" s="43">
        <v>0</v>
      </c>
      <c r="U279" s="43">
        <v>0</v>
      </c>
      <c r="V279" s="43">
        <v>0</v>
      </c>
      <c r="W279" s="43">
        <v>0</v>
      </c>
      <c r="X279" s="43">
        <v>0</v>
      </c>
      <c r="Y279" s="43">
        <v>0</v>
      </c>
      <c r="Z279" s="43">
        <v>0</v>
      </c>
      <c r="AA279" s="43">
        <v>0</v>
      </c>
      <c r="AB279" s="43">
        <v>0</v>
      </c>
      <c r="AC279" s="43">
        <v>0</v>
      </c>
      <c r="AD279" s="43">
        <v>0</v>
      </c>
      <c r="AE279" s="43">
        <v>0</v>
      </c>
      <c r="AF279" s="43">
        <v>0</v>
      </c>
      <c r="AG279" s="43"/>
      <c r="AH279" s="43">
        <f>SUM(F279:AF279)</f>
        <v>0</v>
      </c>
    </row>
    <row r="280" spans="1:65" s="4" customFormat="1" x14ac:dyDescent="0.2">
      <c r="A280" s="4">
        <v>49</v>
      </c>
      <c r="B280" s="4" t="s">
        <v>598</v>
      </c>
      <c r="D280" s="4" t="s">
        <v>223</v>
      </c>
      <c r="F280" s="43">
        <v>1788947</v>
      </c>
      <c r="G280" s="43">
        <v>0</v>
      </c>
      <c r="H280" s="43">
        <v>0</v>
      </c>
      <c r="I280" s="43">
        <v>0</v>
      </c>
      <c r="J280" s="43">
        <v>2934497</v>
      </c>
      <c r="K280" s="43">
        <v>0</v>
      </c>
      <c r="L280" s="43">
        <v>166945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30608</v>
      </c>
      <c r="S280" s="43">
        <v>0</v>
      </c>
      <c r="T280" s="43">
        <v>8661</v>
      </c>
      <c r="U280" s="43">
        <v>0</v>
      </c>
      <c r="V280" s="43">
        <v>39404</v>
      </c>
      <c r="W280" s="43">
        <v>0</v>
      </c>
      <c r="X280" s="43">
        <v>0</v>
      </c>
      <c r="Y280" s="43">
        <v>0</v>
      </c>
      <c r="Z280" s="43">
        <v>0</v>
      </c>
      <c r="AA280" s="43">
        <v>0</v>
      </c>
      <c r="AB280" s="43">
        <v>0</v>
      </c>
      <c r="AC280" s="43">
        <v>0</v>
      </c>
      <c r="AD280" s="43">
        <v>0</v>
      </c>
      <c r="AE280" s="43">
        <v>0</v>
      </c>
      <c r="AF280" s="43">
        <v>0</v>
      </c>
      <c r="AG280" s="43"/>
      <c r="AH280" s="43">
        <f t="shared" si="11"/>
        <v>4969062</v>
      </c>
    </row>
    <row r="281" spans="1:65" s="4" customFormat="1" x14ac:dyDescent="0.2">
      <c r="A281" s="4">
        <v>34</v>
      </c>
      <c r="B281" s="4" t="s">
        <v>269</v>
      </c>
      <c r="D281" s="4" t="s">
        <v>63</v>
      </c>
      <c r="F281" s="43">
        <v>24088541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5640.68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3551.5</v>
      </c>
      <c r="S281" s="43">
        <v>0</v>
      </c>
      <c r="T281" s="43">
        <v>321.99</v>
      </c>
      <c r="U281" s="43">
        <v>0</v>
      </c>
      <c r="V281" s="43">
        <v>925</v>
      </c>
      <c r="W281" s="43">
        <v>0</v>
      </c>
      <c r="X281" s="43">
        <v>0</v>
      </c>
      <c r="Y281" s="43">
        <v>0</v>
      </c>
      <c r="Z281" s="43">
        <v>0</v>
      </c>
      <c r="AA281" s="43">
        <v>0</v>
      </c>
      <c r="AB281" s="43">
        <v>0</v>
      </c>
      <c r="AC281" s="43">
        <v>0</v>
      </c>
      <c r="AD281" s="43">
        <v>0</v>
      </c>
      <c r="AE281" s="43">
        <v>0</v>
      </c>
      <c r="AF281" s="43">
        <v>0</v>
      </c>
      <c r="AG281" s="43"/>
      <c r="AH281" s="43">
        <f>SUM(F281:AF281)</f>
        <v>24098980.169999998</v>
      </c>
    </row>
    <row r="282" spans="1:65" s="4" customFormat="1" hidden="1" x14ac:dyDescent="0.2">
      <c r="A282" s="4">
        <v>197</v>
      </c>
      <c r="B282" s="4" t="s">
        <v>270</v>
      </c>
      <c r="D282" s="4" t="s">
        <v>63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3">
        <v>0</v>
      </c>
      <c r="Q282" s="43">
        <v>0</v>
      </c>
      <c r="R282" s="43">
        <v>0</v>
      </c>
      <c r="S282" s="43">
        <v>0</v>
      </c>
      <c r="T282" s="43">
        <v>0</v>
      </c>
      <c r="U282" s="43">
        <v>0</v>
      </c>
      <c r="V282" s="43">
        <v>0</v>
      </c>
      <c r="W282" s="43">
        <v>0</v>
      </c>
      <c r="X282" s="43">
        <v>0</v>
      </c>
      <c r="Y282" s="43">
        <v>0</v>
      </c>
      <c r="Z282" s="43">
        <v>0</v>
      </c>
      <c r="AA282" s="43">
        <v>0</v>
      </c>
      <c r="AB282" s="43">
        <v>0</v>
      </c>
      <c r="AC282" s="43">
        <v>0</v>
      </c>
      <c r="AD282" s="43">
        <v>0</v>
      </c>
      <c r="AE282" s="43">
        <v>0</v>
      </c>
      <c r="AF282" s="43">
        <v>0</v>
      </c>
      <c r="AG282" s="43"/>
      <c r="AH282" s="43">
        <f>SUM(F282:AF282)</f>
        <v>0</v>
      </c>
    </row>
    <row r="283" spans="1:65" s="4" customFormat="1" hidden="1" x14ac:dyDescent="0.2">
      <c r="A283" s="4">
        <v>156</v>
      </c>
      <c r="B283" s="35" t="s">
        <v>271</v>
      </c>
      <c r="C283" s="35"/>
      <c r="D283" s="35" t="s">
        <v>49</v>
      </c>
      <c r="E283" s="35"/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43">
        <v>0</v>
      </c>
      <c r="X283" s="43">
        <v>0</v>
      </c>
      <c r="Y283" s="43">
        <v>0</v>
      </c>
      <c r="Z283" s="43">
        <v>0</v>
      </c>
      <c r="AA283" s="43">
        <v>0</v>
      </c>
      <c r="AB283" s="43">
        <v>0</v>
      </c>
      <c r="AC283" s="43">
        <v>0</v>
      </c>
      <c r="AD283" s="43">
        <v>0</v>
      </c>
      <c r="AE283" s="43">
        <v>0</v>
      </c>
      <c r="AF283" s="43">
        <v>0</v>
      </c>
      <c r="AG283" s="43"/>
      <c r="AH283" s="43">
        <f>SUM(F283:AF283)</f>
        <v>0</v>
      </c>
    </row>
    <row r="284" spans="1:65" s="4" customFormat="1" hidden="1" x14ac:dyDescent="0.2">
      <c r="A284" s="4">
        <v>91</v>
      </c>
      <c r="B284" s="4" t="s">
        <v>560</v>
      </c>
      <c r="D284" s="4" t="s">
        <v>90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3">
        <v>0</v>
      </c>
      <c r="X284" s="43">
        <v>0</v>
      </c>
      <c r="Y284" s="43">
        <v>0</v>
      </c>
      <c r="Z284" s="43">
        <v>0</v>
      </c>
      <c r="AA284" s="43">
        <v>0</v>
      </c>
      <c r="AB284" s="43">
        <v>0</v>
      </c>
      <c r="AC284" s="43">
        <v>0</v>
      </c>
      <c r="AD284" s="43">
        <v>0</v>
      </c>
      <c r="AE284" s="43">
        <v>0</v>
      </c>
      <c r="AF284" s="43">
        <v>0</v>
      </c>
      <c r="AG284" s="43"/>
      <c r="AH284" s="43">
        <f t="shared" si="11"/>
        <v>0</v>
      </c>
    </row>
    <row r="285" spans="1:65" s="4" customFormat="1" hidden="1" x14ac:dyDescent="0.2">
      <c r="A285" s="4">
        <v>81</v>
      </c>
      <c r="B285" s="4" t="s">
        <v>272</v>
      </c>
      <c r="D285" s="4" t="s">
        <v>63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43">
        <v>0</v>
      </c>
      <c r="X285" s="43">
        <v>0</v>
      </c>
      <c r="Y285" s="43">
        <v>0</v>
      </c>
      <c r="Z285" s="43">
        <v>0</v>
      </c>
      <c r="AA285" s="43">
        <v>0</v>
      </c>
      <c r="AB285" s="43">
        <v>0</v>
      </c>
      <c r="AC285" s="43">
        <v>0</v>
      </c>
      <c r="AD285" s="43">
        <v>0</v>
      </c>
      <c r="AE285" s="43">
        <v>0</v>
      </c>
      <c r="AF285" s="43">
        <v>0</v>
      </c>
      <c r="AG285" s="43"/>
      <c r="AH285" s="43">
        <f>SUM(F285:AF285)</f>
        <v>0</v>
      </c>
    </row>
    <row r="286" spans="1:65" s="4" customFormat="1" hidden="1" x14ac:dyDescent="0.2">
      <c r="A286" s="4">
        <v>215</v>
      </c>
      <c r="B286" s="35" t="s">
        <v>460</v>
      </c>
      <c r="C286" s="35"/>
      <c r="D286" s="35" t="s">
        <v>13</v>
      </c>
      <c r="E286" s="35"/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0</v>
      </c>
      <c r="R286" s="43">
        <v>0</v>
      </c>
      <c r="S286" s="43">
        <v>0</v>
      </c>
      <c r="T286" s="43">
        <v>0</v>
      </c>
      <c r="U286" s="43">
        <v>0</v>
      </c>
      <c r="V286" s="43">
        <v>0</v>
      </c>
      <c r="W286" s="43">
        <v>0</v>
      </c>
      <c r="X286" s="43">
        <v>0</v>
      </c>
      <c r="Y286" s="43">
        <v>0</v>
      </c>
      <c r="Z286" s="43">
        <v>0</v>
      </c>
      <c r="AA286" s="43">
        <v>0</v>
      </c>
      <c r="AB286" s="43">
        <v>0</v>
      </c>
      <c r="AC286" s="43">
        <v>0</v>
      </c>
      <c r="AD286" s="43">
        <v>0</v>
      </c>
      <c r="AE286" s="43">
        <v>0</v>
      </c>
      <c r="AF286" s="43">
        <v>0</v>
      </c>
      <c r="AG286" s="43"/>
      <c r="AH286" s="43">
        <f>SUM(F286:AF286)</f>
        <v>0</v>
      </c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</row>
    <row r="287" spans="1:65" s="4" customFormat="1" hidden="1" x14ac:dyDescent="0.2">
      <c r="A287" s="4">
        <v>153</v>
      </c>
      <c r="B287" s="4" t="s">
        <v>273</v>
      </c>
      <c r="D287" s="4" t="s">
        <v>87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3">
        <v>0</v>
      </c>
      <c r="R287" s="43">
        <v>0</v>
      </c>
      <c r="S287" s="43">
        <v>0</v>
      </c>
      <c r="T287" s="43">
        <v>0</v>
      </c>
      <c r="U287" s="43">
        <v>0</v>
      </c>
      <c r="V287" s="43">
        <v>0</v>
      </c>
      <c r="W287" s="43">
        <v>0</v>
      </c>
      <c r="X287" s="43">
        <v>0</v>
      </c>
      <c r="Y287" s="43">
        <v>0</v>
      </c>
      <c r="Z287" s="43">
        <v>0</v>
      </c>
      <c r="AA287" s="43">
        <v>0</v>
      </c>
      <c r="AB287" s="43">
        <v>0</v>
      </c>
      <c r="AC287" s="43">
        <v>0</v>
      </c>
      <c r="AD287" s="43">
        <v>0</v>
      </c>
      <c r="AE287" s="43">
        <v>0</v>
      </c>
      <c r="AF287" s="43">
        <v>0</v>
      </c>
      <c r="AG287" s="43"/>
      <c r="AH287" s="43">
        <f t="shared" si="11"/>
        <v>0</v>
      </c>
    </row>
    <row r="288" spans="1:65" s="4" customFormat="1" hidden="1" x14ac:dyDescent="0.2">
      <c r="A288" s="4">
        <v>216</v>
      </c>
      <c r="B288" s="4" t="s">
        <v>599</v>
      </c>
      <c r="D288" s="4" t="s">
        <v>202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>
        <v>0</v>
      </c>
      <c r="N288" s="43">
        <v>0</v>
      </c>
      <c r="O288" s="43">
        <v>0</v>
      </c>
      <c r="P288" s="43">
        <v>0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43">
        <v>0</v>
      </c>
      <c r="W288" s="43">
        <v>0</v>
      </c>
      <c r="X288" s="43">
        <v>0</v>
      </c>
      <c r="Y288" s="43">
        <v>0</v>
      </c>
      <c r="Z288" s="43">
        <v>0</v>
      </c>
      <c r="AA288" s="43">
        <v>0</v>
      </c>
      <c r="AB288" s="43">
        <v>0</v>
      </c>
      <c r="AC288" s="43">
        <v>0</v>
      </c>
      <c r="AD288" s="43">
        <v>0</v>
      </c>
      <c r="AE288" s="43">
        <v>0</v>
      </c>
      <c r="AF288" s="43">
        <v>0</v>
      </c>
      <c r="AG288" s="43"/>
      <c r="AH288" s="43">
        <f>SUM(F288:AF288)</f>
        <v>0</v>
      </c>
    </row>
    <row r="289" spans="1:65" s="4" customFormat="1" x14ac:dyDescent="0.2">
      <c r="A289" s="4">
        <v>169</v>
      </c>
      <c r="B289" s="4" t="s">
        <v>274</v>
      </c>
      <c r="D289" s="4" t="s">
        <v>13</v>
      </c>
      <c r="F289" s="43">
        <v>3205120</v>
      </c>
      <c r="G289" s="43">
        <v>0</v>
      </c>
      <c r="H289" s="43">
        <v>1691593</v>
      </c>
      <c r="I289" s="43">
        <v>0</v>
      </c>
      <c r="J289" s="43">
        <v>437400</v>
      </c>
      <c r="K289" s="43">
        <v>0</v>
      </c>
      <c r="L289" s="43">
        <v>119348</v>
      </c>
      <c r="M289" s="43">
        <v>0</v>
      </c>
      <c r="N289" s="43">
        <v>0</v>
      </c>
      <c r="O289" s="43">
        <v>0</v>
      </c>
      <c r="P289" s="43">
        <v>0</v>
      </c>
      <c r="Q289" s="43">
        <v>0</v>
      </c>
      <c r="R289" s="43">
        <v>32182</v>
      </c>
      <c r="S289" s="43">
        <v>0</v>
      </c>
      <c r="T289" s="43">
        <v>11707</v>
      </c>
      <c r="U289" s="43">
        <v>0</v>
      </c>
      <c r="V289" s="43">
        <v>31198</v>
      </c>
      <c r="W289" s="43">
        <v>0</v>
      </c>
      <c r="X289" s="43">
        <v>0</v>
      </c>
      <c r="Y289" s="43">
        <v>0</v>
      </c>
      <c r="Z289" s="43">
        <v>1862</v>
      </c>
      <c r="AA289" s="43">
        <v>0</v>
      </c>
      <c r="AB289" s="43">
        <v>0</v>
      </c>
      <c r="AC289" s="43">
        <v>0</v>
      </c>
      <c r="AD289" s="43">
        <v>0</v>
      </c>
      <c r="AE289" s="43">
        <v>0</v>
      </c>
      <c r="AF289" s="43">
        <v>0</v>
      </c>
      <c r="AG289" s="43"/>
      <c r="AH289" s="43">
        <f t="shared" si="11"/>
        <v>5530410</v>
      </c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</row>
    <row r="290" spans="1:65" s="4" customFormat="1" hidden="1" x14ac:dyDescent="0.2">
      <c r="A290" s="4">
        <v>147</v>
      </c>
      <c r="B290" s="35" t="s">
        <v>275</v>
      </c>
      <c r="C290" s="35"/>
      <c r="D290" s="35" t="s">
        <v>67</v>
      </c>
      <c r="E290" s="35"/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3">
        <v>0</v>
      </c>
      <c r="T290" s="43">
        <v>0</v>
      </c>
      <c r="U290" s="43">
        <v>0</v>
      </c>
      <c r="V290" s="43">
        <v>0</v>
      </c>
      <c r="W290" s="43">
        <v>0</v>
      </c>
      <c r="X290" s="43">
        <v>0</v>
      </c>
      <c r="Y290" s="43">
        <v>0</v>
      </c>
      <c r="Z290" s="43">
        <v>0</v>
      </c>
      <c r="AA290" s="43">
        <v>0</v>
      </c>
      <c r="AB290" s="43">
        <v>0</v>
      </c>
      <c r="AC290" s="43">
        <v>0</v>
      </c>
      <c r="AD290" s="43">
        <v>0</v>
      </c>
      <c r="AE290" s="43">
        <v>0</v>
      </c>
      <c r="AF290" s="43">
        <v>0</v>
      </c>
      <c r="AG290" s="43"/>
      <c r="AH290" s="43">
        <f>SUM(F290:AF290)</f>
        <v>0</v>
      </c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</row>
    <row r="291" spans="1:65" s="4" customFormat="1" x14ac:dyDescent="0.2">
      <c r="A291" s="4">
        <v>31</v>
      </c>
      <c r="B291" s="4" t="s">
        <v>600</v>
      </c>
      <c r="D291" s="4" t="s">
        <v>63</v>
      </c>
      <c r="F291" s="43">
        <v>867340</v>
      </c>
      <c r="G291" s="43">
        <v>0</v>
      </c>
      <c r="H291" s="43">
        <v>1229830</v>
      </c>
      <c r="I291" s="43">
        <v>0</v>
      </c>
      <c r="J291" s="43">
        <v>106774</v>
      </c>
      <c r="K291" s="43">
        <v>0</v>
      </c>
      <c r="L291" s="43">
        <v>48552</v>
      </c>
      <c r="M291" s="43">
        <v>0</v>
      </c>
      <c r="N291" s="43">
        <v>0</v>
      </c>
      <c r="O291" s="43">
        <v>0</v>
      </c>
      <c r="P291" s="43">
        <v>2000</v>
      </c>
      <c r="Q291" s="43">
        <v>0</v>
      </c>
      <c r="R291" s="43">
        <v>121293</v>
      </c>
      <c r="S291" s="43">
        <v>0</v>
      </c>
      <c r="T291" s="43">
        <v>5856</v>
      </c>
      <c r="U291" s="43">
        <v>0</v>
      </c>
      <c r="V291" s="43">
        <v>6829</v>
      </c>
      <c r="W291" s="43">
        <v>0</v>
      </c>
      <c r="X291" s="43">
        <v>0</v>
      </c>
      <c r="Y291" s="43">
        <v>0</v>
      </c>
      <c r="Z291" s="43">
        <v>0</v>
      </c>
      <c r="AA291" s="43">
        <v>0</v>
      </c>
      <c r="AB291" s="43">
        <v>0</v>
      </c>
      <c r="AC291" s="43">
        <v>0</v>
      </c>
      <c r="AD291" s="43">
        <v>0</v>
      </c>
      <c r="AE291" s="43">
        <v>0</v>
      </c>
      <c r="AF291" s="43">
        <v>0</v>
      </c>
      <c r="AG291" s="43"/>
      <c r="AH291" s="43">
        <f t="shared" si="11"/>
        <v>2388474</v>
      </c>
    </row>
    <row r="292" spans="1:65" s="4" customFormat="1" hidden="1" x14ac:dyDescent="0.2">
      <c r="A292" s="39">
        <v>92.1</v>
      </c>
      <c r="B292" s="4" t="s">
        <v>276</v>
      </c>
      <c r="D292" s="4" t="s">
        <v>79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3">
        <v>0</v>
      </c>
      <c r="X292" s="43">
        <v>0</v>
      </c>
      <c r="Y292" s="43">
        <v>0</v>
      </c>
      <c r="Z292" s="43">
        <v>0</v>
      </c>
      <c r="AA292" s="43">
        <v>0</v>
      </c>
      <c r="AB292" s="43">
        <v>0</v>
      </c>
      <c r="AC292" s="43">
        <v>0</v>
      </c>
      <c r="AD292" s="43">
        <v>0</v>
      </c>
      <c r="AE292" s="43">
        <v>0</v>
      </c>
      <c r="AF292" s="43">
        <v>0</v>
      </c>
      <c r="AG292" s="43"/>
      <c r="AH292" s="43">
        <f>SUM(F292:AF292)</f>
        <v>0</v>
      </c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</row>
    <row r="293" spans="1:65" s="4" customFormat="1" hidden="1" x14ac:dyDescent="0.2">
      <c r="A293" s="4">
        <v>76</v>
      </c>
      <c r="B293" s="4" t="s">
        <v>318</v>
      </c>
      <c r="D293" s="4" t="s">
        <v>68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0</v>
      </c>
      <c r="N293" s="43">
        <v>0</v>
      </c>
      <c r="O293" s="43">
        <v>0</v>
      </c>
      <c r="P293" s="43">
        <v>0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0</v>
      </c>
      <c r="W293" s="43">
        <v>0</v>
      </c>
      <c r="X293" s="43">
        <v>0</v>
      </c>
      <c r="Y293" s="43">
        <v>0</v>
      </c>
      <c r="Z293" s="43">
        <v>0</v>
      </c>
      <c r="AA293" s="43">
        <v>0</v>
      </c>
      <c r="AB293" s="43">
        <v>0</v>
      </c>
      <c r="AC293" s="43">
        <v>0</v>
      </c>
      <c r="AD293" s="43">
        <v>0</v>
      </c>
      <c r="AE293" s="43">
        <v>0</v>
      </c>
      <c r="AF293" s="43">
        <v>0</v>
      </c>
      <c r="AG293" s="43"/>
      <c r="AH293" s="43">
        <f>SUM(F293:AF293)</f>
        <v>0</v>
      </c>
    </row>
    <row r="294" spans="1:65" s="4" customFormat="1" x14ac:dyDescent="0.2">
      <c r="A294" s="4">
        <v>51</v>
      </c>
      <c r="B294" s="4" t="s">
        <v>277</v>
      </c>
      <c r="D294" s="4" t="s">
        <v>90</v>
      </c>
      <c r="F294" s="43">
        <v>6114780</v>
      </c>
      <c r="G294" s="43">
        <v>0</v>
      </c>
      <c r="H294" s="43">
        <v>2782995</v>
      </c>
      <c r="I294" s="43">
        <v>0</v>
      </c>
      <c r="J294" s="43">
        <v>0</v>
      </c>
      <c r="K294" s="43">
        <v>0</v>
      </c>
      <c r="L294" s="43">
        <v>262858</v>
      </c>
      <c r="M294" s="43">
        <v>0</v>
      </c>
      <c r="N294" s="43">
        <v>0</v>
      </c>
      <c r="O294" s="43">
        <v>0</v>
      </c>
      <c r="P294" s="43">
        <v>1019623</v>
      </c>
      <c r="Q294" s="43">
        <v>0</v>
      </c>
      <c r="R294" s="43">
        <v>30588</v>
      </c>
      <c r="S294" s="43">
        <v>0</v>
      </c>
      <c r="T294" s="43">
        <v>23717</v>
      </c>
      <c r="U294" s="43">
        <v>0</v>
      </c>
      <c r="V294" s="43">
        <v>7907</v>
      </c>
      <c r="W294" s="43">
        <v>0</v>
      </c>
      <c r="X294" s="43">
        <v>0</v>
      </c>
      <c r="Y294" s="43">
        <v>0</v>
      </c>
      <c r="Z294" s="43">
        <v>0</v>
      </c>
      <c r="AA294" s="43">
        <v>0</v>
      </c>
      <c r="AB294" s="43">
        <v>0</v>
      </c>
      <c r="AC294" s="43">
        <v>0</v>
      </c>
      <c r="AD294" s="43">
        <v>0</v>
      </c>
      <c r="AE294" s="43">
        <v>0</v>
      </c>
      <c r="AF294" s="43">
        <v>0</v>
      </c>
      <c r="AG294" s="43"/>
      <c r="AH294" s="43">
        <f t="shared" si="11"/>
        <v>10242468</v>
      </c>
    </row>
    <row r="295" spans="1:65" s="4" customFormat="1" hidden="1" x14ac:dyDescent="0.2">
      <c r="A295" s="4">
        <v>50</v>
      </c>
      <c r="B295" s="35" t="s">
        <v>461</v>
      </c>
      <c r="C295" s="35"/>
      <c r="D295" s="35" t="s">
        <v>53</v>
      </c>
      <c r="E295" s="35"/>
      <c r="F295" s="68">
        <v>0</v>
      </c>
      <c r="G295" s="68">
        <v>0</v>
      </c>
      <c r="H295" s="68">
        <v>0</v>
      </c>
      <c r="I295" s="68">
        <v>0</v>
      </c>
      <c r="J295" s="68">
        <v>0</v>
      </c>
      <c r="K295" s="68">
        <v>0</v>
      </c>
      <c r="L295" s="68">
        <v>0</v>
      </c>
      <c r="M295" s="68">
        <v>0</v>
      </c>
      <c r="N295" s="68">
        <v>0</v>
      </c>
      <c r="O295" s="68">
        <v>0</v>
      </c>
      <c r="P295" s="68">
        <v>0</v>
      </c>
      <c r="Q295" s="68">
        <v>0</v>
      </c>
      <c r="R295" s="68">
        <v>0</v>
      </c>
      <c r="S295" s="68">
        <v>0</v>
      </c>
      <c r="T295" s="68">
        <v>0</v>
      </c>
      <c r="U295" s="68">
        <v>0</v>
      </c>
      <c r="V295" s="68">
        <v>0</v>
      </c>
      <c r="W295" s="68">
        <v>0</v>
      </c>
      <c r="X295" s="68">
        <v>0</v>
      </c>
      <c r="Y295" s="68">
        <v>0</v>
      </c>
      <c r="Z295" s="68">
        <v>0</v>
      </c>
      <c r="AA295" s="68">
        <v>0</v>
      </c>
      <c r="AB295" s="68">
        <v>0</v>
      </c>
      <c r="AC295" s="68">
        <v>0</v>
      </c>
      <c r="AD295" s="68">
        <v>0</v>
      </c>
      <c r="AE295" s="68">
        <v>0</v>
      </c>
      <c r="AF295" s="68">
        <v>0</v>
      </c>
      <c r="AG295" s="67"/>
      <c r="AH295" s="67">
        <f>SUM(F295:AF295)</f>
        <v>0</v>
      </c>
    </row>
    <row r="296" spans="1:65" s="4" customFormat="1" x14ac:dyDescent="0.2">
      <c r="B296" s="35"/>
      <c r="C296" s="35"/>
      <c r="D296" s="35"/>
      <c r="E296" s="35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</row>
    <row r="297" spans="1:65" s="4" customFormat="1" x14ac:dyDescent="0.2">
      <c r="A297" s="3"/>
      <c r="B297" s="3"/>
      <c r="C297" s="3"/>
      <c r="D297" s="3"/>
      <c r="E297" s="3"/>
      <c r="G297" s="3"/>
      <c r="H297" s="3"/>
      <c r="I297" s="3"/>
      <c r="J297" s="3"/>
      <c r="K297" s="3"/>
      <c r="L297" s="3"/>
      <c r="M297" s="3"/>
      <c r="N297" s="3"/>
      <c r="O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</row>
    <row r="298" spans="1:65" s="4" customForma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</row>
    <row r="299" spans="1:65" s="4" customForma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</row>
    <row r="300" spans="1:65" s="4" customForma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65" s="4" customForma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</row>
    <row r="302" spans="1:65" s="4" customForma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65" s="4" customForma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</row>
    <row r="304" spans="1:65" s="4" customForma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="4" customFormat="1" x14ac:dyDescent="0.2"/>
  </sheetData>
  <sortState ref="B19:AH271">
    <sortCondition ref="B19:B271"/>
  </sortState>
  <phoneticPr fontId="1" type="noConversion"/>
  <printOptions horizontalCentered="1"/>
  <pageMargins left="0.75" right="0.75" top="0.5" bottom="0.5" header="0" footer="0.3"/>
  <pageSetup scale="74" firstPageNumber="8" fitToWidth="2" fitToHeight="0" pageOrder="overThenDown" orientation="portrait" useFirstPageNumber="1" horizontalDpi="300" verticalDpi="300" r:id="rId1"/>
  <headerFooter scaleWithDoc="0" alignWithMargins="0">
    <oddFooter>&amp;C&amp;"Times New Roman,Regular"&amp;11&amp;P</oddFooter>
  </headerFooter>
  <rowBreaks count="1" manualBreakCount="1">
    <brk id="182" min="1" max="3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N301"/>
  <sheetViews>
    <sheetView view="pageBreakPreview" zoomScaleNormal="96" zoomScaleSheetLayoutView="100" workbookViewId="0">
      <pane xSplit="5" ySplit="18" topLeftCell="K179" activePane="bottomRight" state="frozen"/>
      <selection activeCell="H97" sqref="H97"/>
      <selection pane="topRight" activeCell="H97" sqref="H97"/>
      <selection pane="bottomLeft" activeCell="H97" sqref="H97"/>
      <selection pane="bottomRight" activeCell="AD207" sqref="AD207"/>
    </sheetView>
  </sheetViews>
  <sheetFormatPr defaultColWidth="9.140625" defaultRowHeight="12" x14ac:dyDescent="0.2"/>
  <cols>
    <col min="1" max="1" width="0" style="3" hidden="1" customWidth="1"/>
    <col min="2" max="2" width="35" style="3" customWidth="1"/>
    <col min="3" max="3" width="1.28515625" style="3" customWidth="1"/>
    <col min="4" max="4" width="10.7109375" style="3" customWidth="1"/>
    <col min="5" max="5" width="1.28515625" style="3" customWidth="1"/>
    <col min="6" max="6" width="11" style="3" customWidth="1"/>
    <col min="7" max="7" width="1.28515625" style="3" customWidth="1"/>
    <col min="8" max="8" width="10.5703125" style="3" customWidth="1"/>
    <col min="9" max="9" width="1.28515625" style="3" customWidth="1"/>
    <col min="10" max="10" width="11.140625" style="3" customWidth="1"/>
    <col min="11" max="11" width="1.28515625" style="3" customWidth="1"/>
    <col min="12" max="12" width="11.140625" style="3" customWidth="1"/>
    <col min="13" max="13" width="1.28515625" style="3" customWidth="1"/>
    <col min="14" max="14" width="11.140625" style="3" customWidth="1"/>
    <col min="15" max="15" width="1.28515625" style="3" customWidth="1"/>
    <col min="16" max="16" width="10.42578125" style="3" customWidth="1"/>
    <col min="17" max="17" width="1.28515625" style="3" customWidth="1"/>
    <col min="18" max="18" width="10.5703125" style="3" customWidth="1"/>
    <col min="19" max="19" width="1.28515625" style="3" customWidth="1"/>
    <col min="20" max="20" width="10.5703125" style="3" customWidth="1"/>
    <col min="21" max="21" width="1.28515625" style="3" customWidth="1"/>
    <col min="22" max="22" width="10.5703125" style="3" customWidth="1"/>
    <col min="23" max="23" width="1.28515625" style="3" customWidth="1"/>
    <col min="24" max="24" width="11.42578125" style="3" customWidth="1"/>
    <col min="25" max="25" width="1.28515625" style="3" customWidth="1"/>
    <col min="26" max="26" width="10.5703125" style="3" customWidth="1"/>
    <col min="27" max="27" width="1.28515625" style="3" customWidth="1"/>
    <col min="28" max="28" width="11.28515625" style="3" customWidth="1"/>
    <col min="29" max="29" width="1.28515625" style="3" customWidth="1"/>
    <col min="30" max="30" width="10.85546875" style="3" customWidth="1"/>
    <col min="31" max="31" width="1.28515625" style="3" customWidth="1"/>
    <col min="32" max="32" width="10.5703125" style="3" customWidth="1"/>
    <col min="33" max="33" width="1.28515625" style="3" customWidth="1"/>
    <col min="34" max="34" width="10.7109375" style="3" customWidth="1"/>
    <col min="35" max="16384" width="9.140625" style="3"/>
  </cols>
  <sheetData>
    <row r="1" spans="1:66" x14ac:dyDescent="0.2">
      <c r="B1" s="3" t="s">
        <v>514</v>
      </c>
    </row>
    <row r="2" spans="1:66" x14ac:dyDescent="0.2">
      <c r="B2" s="3" t="s">
        <v>632</v>
      </c>
    </row>
    <row r="3" spans="1:66" ht="12" hidden="1" customHeight="1" x14ac:dyDescent="0.2">
      <c r="B3" s="41" t="s">
        <v>5</v>
      </c>
    </row>
    <row r="4" spans="1:66" s="36" customFormat="1" x14ac:dyDescent="0.2">
      <c r="H4" s="36" t="s">
        <v>6</v>
      </c>
    </row>
    <row r="5" spans="1:66" s="36" customFormat="1" x14ac:dyDescent="0.2">
      <c r="F5" s="36" t="s">
        <v>319</v>
      </c>
      <c r="H5" s="36" t="s">
        <v>545</v>
      </c>
      <c r="J5" s="36" t="s">
        <v>622</v>
      </c>
      <c r="N5" s="36" t="s">
        <v>544</v>
      </c>
      <c r="Z5" s="36" t="s">
        <v>326</v>
      </c>
      <c r="AF5" s="36" t="s">
        <v>0</v>
      </c>
    </row>
    <row r="6" spans="1:66" s="36" customFormat="1" x14ac:dyDescent="0.2">
      <c r="F6" s="36" t="s">
        <v>320</v>
      </c>
      <c r="H6" s="36" t="s">
        <v>321</v>
      </c>
      <c r="J6" s="36" t="s">
        <v>623</v>
      </c>
      <c r="L6" s="36" t="s">
        <v>322</v>
      </c>
      <c r="N6" s="36" t="s">
        <v>542</v>
      </c>
      <c r="P6" s="36" t="s">
        <v>625</v>
      </c>
      <c r="V6" s="36" t="s">
        <v>28</v>
      </c>
      <c r="X6" s="36" t="s">
        <v>324</v>
      </c>
      <c r="Z6" s="36" t="s">
        <v>327</v>
      </c>
      <c r="AF6" s="36" t="s">
        <v>294</v>
      </c>
    </row>
    <row r="7" spans="1:66" s="36" customFormat="1" ht="12" customHeight="1" x14ac:dyDescent="0.2">
      <c r="A7" s="36" t="s">
        <v>563</v>
      </c>
      <c r="B7" s="37" t="s">
        <v>6</v>
      </c>
      <c r="D7" s="37" t="s">
        <v>4</v>
      </c>
      <c r="F7" s="37" t="s">
        <v>27</v>
      </c>
      <c r="H7" s="37" t="s">
        <v>322</v>
      </c>
      <c r="I7" s="44"/>
      <c r="J7" s="45" t="s">
        <v>624</v>
      </c>
      <c r="L7" s="37" t="s">
        <v>27</v>
      </c>
      <c r="N7" s="37" t="s">
        <v>543</v>
      </c>
      <c r="O7" s="44"/>
      <c r="P7" s="37" t="s">
        <v>626</v>
      </c>
      <c r="R7" s="37" t="s">
        <v>2</v>
      </c>
      <c r="T7" s="37" t="s">
        <v>0</v>
      </c>
      <c r="V7" s="37" t="s">
        <v>323</v>
      </c>
      <c r="X7" s="37" t="s">
        <v>325</v>
      </c>
      <c r="Z7" s="37" t="s">
        <v>328</v>
      </c>
      <c r="AB7" s="37" t="s">
        <v>497</v>
      </c>
      <c r="AD7" s="37" t="s">
        <v>498</v>
      </c>
      <c r="AF7" s="37" t="s">
        <v>329</v>
      </c>
      <c r="AH7" s="45" t="s">
        <v>26</v>
      </c>
    </row>
    <row r="8" spans="1:66" s="36" customFormat="1" ht="12" hidden="1" customHeight="1" x14ac:dyDescent="0.2">
      <c r="B8" s="71" t="s">
        <v>631</v>
      </c>
      <c r="C8" s="71"/>
      <c r="D8" s="71" t="s">
        <v>95</v>
      </c>
      <c r="F8" s="44"/>
      <c r="H8" s="44"/>
      <c r="I8" s="44"/>
      <c r="L8" s="44"/>
      <c r="N8" s="44"/>
      <c r="O8" s="44"/>
      <c r="P8" s="44"/>
      <c r="R8" s="44"/>
      <c r="T8" s="44"/>
      <c r="V8" s="44"/>
      <c r="X8" s="44"/>
      <c r="Z8" s="44"/>
      <c r="AB8" s="44"/>
      <c r="AD8" s="44"/>
      <c r="AF8" s="44"/>
      <c r="AH8" s="4">
        <f t="shared" ref="AH8:AH72" si="0">SUM(F8:AF8)</f>
        <v>0</v>
      </c>
    </row>
    <row r="9" spans="1:66" s="7" customFormat="1" hidden="1" x14ac:dyDescent="0.2">
      <c r="A9" s="4">
        <v>75</v>
      </c>
      <c r="B9" s="3" t="s">
        <v>427</v>
      </c>
      <c r="C9" s="3"/>
      <c r="D9" s="3" t="s">
        <v>90</v>
      </c>
      <c r="E9" s="3"/>
      <c r="F9" s="4"/>
      <c r="G9" s="3"/>
      <c r="H9" s="4"/>
      <c r="I9" s="4"/>
      <c r="J9" s="4"/>
      <c r="K9" s="3"/>
      <c r="L9" s="4"/>
      <c r="M9" s="3"/>
      <c r="N9" s="4"/>
      <c r="O9" s="4"/>
      <c r="P9" s="4"/>
      <c r="Q9" s="3"/>
      <c r="R9" s="4"/>
      <c r="S9" s="3"/>
      <c r="T9" s="4"/>
      <c r="U9" s="3"/>
      <c r="V9" s="4"/>
      <c r="W9" s="3"/>
      <c r="X9" s="4"/>
      <c r="Y9" s="3"/>
      <c r="Z9" s="4"/>
      <c r="AA9" s="3"/>
      <c r="AB9" s="4"/>
      <c r="AC9" s="3"/>
      <c r="AD9" s="4"/>
      <c r="AE9" s="3"/>
      <c r="AF9" s="4"/>
      <c r="AG9" s="3"/>
      <c r="AH9" s="4">
        <f t="shared" si="0"/>
        <v>0</v>
      </c>
      <c r="AI9" s="46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</row>
    <row r="10" spans="1:66" hidden="1" x14ac:dyDescent="0.2">
      <c r="A10" s="4">
        <v>80</v>
      </c>
      <c r="B10" s="3" t="s">
        <v>265</v>
      </c>
      <c r="D10" s="3" t="s">
        <v>90</v>
      </c>
      <c r="F10" s="4"/>
      <c r="H10" s="4"/>
      <c r="I10" s="4"/>
      <c r="J10" s="4"/>
      <c r="L10" s="4"/>
      <c r="N10" s="4"/>
      <c r="O10" s="4"/>
      <c r="P10" s="4"/>
      <c r="R10" s="4"/>
      <c r="T10" s="4"/>
      <c r="V10" s="4"/>
      <c r="X10" s="4"/>
      <c r="Z10" s="4"/>
      <c r="AB10" s="4"/>
      <c r="AD10" s="4"/>
      <c r="AF10" s="4"/>
      <c r="AH10" s="4">
        <f t="shared" si="0"/>
        <v>0</v>
      </c>
    </row>
    <row r="11" spans="1:66" hidden="1" x14ac:dyDescent="0.2">
      <c r="A11" s="4">
        <v>117</v>
      </c>
      <c r="B11" s="3" t="s">
        <v>221</v>
      </c>
      <c r="D11" s="3" t="s">
        <v>168</v>
      </c>
      <c r="F11" s="4"/>
      <c r="H11" s="4"/>
      <c r="I11" s="4"/>
      <c r="J11" s="4"/>
      <c r="L11" s="4"/>
      <c r="N11" s="4"/>
      <c r="O11" s="4"/>
      <c r="P11" s="4"/>
      <c r="R11" s="4"/>
      <c r="T11" s="4"/>
      <c r="V11" s="4"/>
      <c r="X11" s="4"/>
      <c r="Z11" s="4"/>
      <c r="AB11" s="4"/>
      <c r="AD11" s="4"/>
      <c r="AF11" s="4"/>
      <c r="AH11" s="4">
        <f t="shared" si="0"/>
        <v>0</v>
      </c>
    </row>
    <row r="12" spans="1:66" s="7" customFormat="1" hidden="1" x14ac:dyDescent="0.2">
      <c r="A12" s="4">
        <v>135</v>
      </c>
      <c r="B12" s="3" t="s">
        <v>433</v>
      </c>
      <c r="C12" s="3"/>
      <c r="D12" s="3" t="s">
        <v>39</v>
      </c>
      <c r="E12" s="3"/>
      <c r="F12" s="4"/>
      <c r="G12" s="3"/>
      <c r="H12" s="4"/>
      <c r="I12" s="4"/>
      <c r="J12" s="4"/>
      <c r="K12" s="3"/>
      <c r="L12" s="4"/>
      <c r="M12" s="3"/>
      <c r="N12" s="4"/>
      <c r="O12" s="4"/>
      <c r="P12" s="4"/>
      <c r="Q12" s="3"/>
      <c r="R12" s="4"/>
      <c r="S12" s="3"/>
      <c r="T12" s="4"/>
      <c r="U12" s="3"/>
      <c r="V12" s="4"/>
      <c r="W12" s="3"/>
      <c r="X12" s="4"/>
      <c r="Y12" s="3"/>
      <c r="Z12" s="4"/>
      <c r="AA12" s="3"/>
      <c r="AB12" s="4"/>
      <c r="AC12" s="3"/>
      <c r="AD12" s="4"/>
      <c r="AE12" s="3"/>
      <c r="AF12" s="4"/>
      <c r="AG12" s="3"/>
      <c r="AH12" s="4">
        <f t="shared" si="0"/>
        <v>0</v>
      </c>
    </row>
    <row r="13" spans="1:66" hidden="1" x14ac:dyDescent="0.2">
      <c r="A13" s="4">
        <v>152</v>
      </c>
      <c r="B13" s="3" t="s">
        <v>212</v>
      </c>
      <c r="D13" s="3" t="s">
        <v>213</v>
      </c>
      <c r="F13" s="4"/>
      <c r="H13" s="4"/>
      <c r="I13" s="4"/>
      <c r="J13" s="4"/>
      <c r="L13" s="4"/>
      <c r="N13" s="4"/>
      <c r="O13" s="4"/>
      <c r="P13" s="4"/>
      <c r="R13" s="4"/>
      <c r="T13" s="4"/>
      <c r="V13" s="4"/>
      <c r="X13" s="4"/>
      <c r="Z13" s="4"/>
      <c r="AB13" s="4"/>
      <c r="AD13" s="4"/>
      <c r="AF13" s="4"/>
      <c r="AH13" s="4">
        <f t="shared" si="0"/>
        <v>0</v>
      </c>
    </row>
    <row r="14" spans="1:66" hidden="1" x14ac:dyDescent="0.2">
      <c r="A14" s="4">
        <v>180</v>
      </c>
      <c r="B14" s="3" t="s">
        <v>251</v>
      </c>
      <c r="D14" s="3" t="s">
        <v>104</v>
      </c>
      <c r="F14" s="4"/>
      <c r="H14" s="4"/>
      <c r="I14" s="4"/>
      <c r="J14" s="4"/>
      <c r="L14" s="4"/>
      <c r="N14" s="4"/>
      <c r="O14" s="4"/>
      <c r="P14" s="4"/>
      <c r="R14" s="4"/>
      <c r="T14" s="4"/>
      <c r="V14" s="4"/>
      <c r="X14" s="4"/>
      <c r="Z14" s="4"/>
      <c r="AB14" s="4"/>
      <c r="AD14" s="4"/>
      <c r="AF14" s="4"/>
      <c r="AH14" s="4">
        <f t="shared" si="0"/>
        <v>0</v>
      </c>
      <c r="AI14" s="47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4"/>
    </row>
    <row r="15" spans="1:66" hidden="1" x14ac:dyDescent="0.2">
      <c r="A15" s="4">
        <v>185</v>
      </c>
      <c r="B15" s="3" t="s">
        <v>228</v>
      </c>
      <c r="D15" s="3" t="s">
        <v>227</v>
      </c>
      <c r="F15" s="4"/>
      <c r="H15" s="4"/>
      <c r="I15" s="4"/>
      <c r="J15" s="4"/>
      <c r="L15" s="4"/>
      <c r="N15" s="4"/>
      <c r="O15" s="4"/>
      <c r="P15" s="4"/>
      <c r="R15" s="4"/>
      <c r="T15" s="4"/>
      <c r="V15" s="4"/>
      <c r="X15" s="4"/>
      <c r="Z15" s="4"/>
      <c r="AB15" s="4"/>
      <c r="AD15" s="4"/>
      <c r="AF15" s="4"/>
      <c r="AH15" s="4">
        <f t="shared" si="0"/>
        <v>0</v>
      </c>
    </row>
    <row r="16" spans="1:66" hidden="1" x14ac:dyDescent="0.2">
      <c r="A16" s="4">
        <v>189</v>
      </c>
      <c r="B16" s="3" t="s">
        <v>441</v>
      </c>
      <c r="D16" s="3" t="s">
        <v>234</v>
      </c>
      <c r="F16" s="4"/>
      <c r="H16" s="4"/>
      <c r="I16" s="4"/>
      <c r="J16" s="4"/>
      <c r="L16" s="4"/>
      <c r="N16" s="4"/>
      <c r="O16" s="4"/>
      <c r="P16" s="4"/>
      <c r="R16" s="4"/>
      <c r="T16" s="4"/>
      <c r="V16" s="4"/>
      <c r="X16" s="4"/>
      <c r="Z16" s="4"/>
      <c r="AB16" s="4"/>
      <c r="AD16" s="4"/>
      <c r="AF16" s="4"/>
      <c r="AH16" s="4">
        <f t="shared" si="0"/>
        <v>0</v>
      </c>
    </row>
    <row r="17" spans="1:66" hidden="1" x14ac:dyDescent="0.2">
      <c r="A17" s="4">
        <v>233</v>
      </c>
      <c r="B17" s="35" t="s">
        <v>448</v>
      </c>
      <c r="C17" s="35"/>
      <c r="D17" s="35" t="s">
        <v>492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4">
        <f t="shared" si="0"/>
        <v>0</v>
      </c>
    </row>
    <row r="18" spans="1:66" hidden="1" x14ac:dyDescent="0.2">
      <c r="A18" s="4">
        <v>234</v>
      </c>
      <c r="B18" s="3" t="s">
        <v>199</v>
      </c>
      <c r="D18" s="3" t="s">
        <v>24</v>
      </c>
      <c r="F18" s="4"/>
      <c r="H18" s="4"/>
      <c r="I18" s="4"/>
      <c r="J18" s="4"/>
      <c r="L18" s="4"/>
      <c r="N18" s="4"/>
      <c r="O18" s="4"/>
      <c r="P18" s="4"/>
      <c r="R18" s="4"/>
      <c r="T18" s="4"/>
      <c r="V18" s="4"/>
      <c r="X18" s="4"/>
      <c r="Z18" s="4"/>
      <c r="AB18" s="4"/>
      <c r="AD18" s="4"/>
      <c r="AF18" s="4"/>
      <c r="AH18" s="4">
        <f t="shared" si="0"/>
        <v>0</v>
      </c>
      <c r="AI18" s="47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4"/>
    </row>
    <row r="19" spans="1:66" s="7" customFormat="1" hidden="1" x14ac:dyDescent="0.2">
      <c r="A19" s="7">
        <v>95</v>
      </c>
      <c r="B19" s="7" t="s">
        <v>71</v>
      </c>
      <c r="D19" s="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/>
      <c r="AH19" s="68">
        <f t="shared" si="0"/>
        <v>0</v>
      </c>
      <c r="AI19" s="46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</row>
    <row r="20" spans="1:66" hidden="1" x14ac:dyDescent="0.2">
      <c r="A20" s="4">
        <v>1</v>
      </c>
      <c r="B20" s="3" t="s">
        <v>72</v>
      </c>
      <c r="D20" s="3" t="s">
        <v>38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"/>
      <c r="AH20" s="68">
        <f t="shared" si="0"/>
        <v>0</v>
      </c>
    </row>
    <row r="21" spans="1:66" x14ac:dyDescent="0.2">
      <c r="A21" s="4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"/>
      <c r="AH21" s="68"/>
    </row>
    <row r="22" spans="1:66" x14ac:dyDescent="0.2">
      <c r="A22" s="4">
        <v>216</v>
      </c>
      <c r="B22" s="3" t="s">
        <v>425</v>
      </c>
      <c r="D22" s="3" t="s">
        <v>20</v>
      </c>
      <c r="F22" s="93">
        <v>0</v>
      </c>
      <c r="G22" s="93">
        <v>0</v>
      </c>
      <c r="H22" s="93">
        <v>11519060</v>
      </c>
      <c r="I22" s="93">
        <v>0</v>
      </c>
      <c r="J22" s="93">
        <v>3758098</v>
      </c>
      <c r="K22" s="93">
        <v>0</v>
      </c>
      <c r="L22" s="93">
        <v>826687</v>
      </c>
      <c r="M22" s="93">
        <v>0</v>
      </c>
      <c r="N22" s="93">
        <v>4276256</v>
      </c>
      <c r="O22" s="93">
        <v>0</v>
      </c>
      <c r="P22" s="93">
        <v>2506412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369669</v>
      </c>
      <c r="W22" s="93">
        <v>0</v>
      </c>
      <c r="X22" s="93">
        <v>0</v>
      </c>
      <c r="Y22" s="93">
        <v>0</v>
      </c>
      <c r="Z22" s="93">
        <v>0</v>
      </c>
      <c r="AA22" s="93">
        <v>0</v>
      </c>
      <c r="AB22" s="93">
        <v>732</v>
      </c>
      <c r="AC22" s="93">
        <v>0</v>
      </c>
      <c r="AD22" s="93">
        <v>0</v>
      </c>
      <c r="AE22" s="93">
        <v>0</v>
      </c>
      <c r="AF22" s="93">
        <v>0</v>
      </c>
      <c r="AG22" s="93"/>
      <c r="AH22" s="93">
        <f t="shared" si="0"/>
        <v>23256914</v>
      </c>
    </row>
    <row r="23" spans="1:66" hidden="1" x14ac:dyDescent="0.2">
      <c r="A23" s="4">
        <v>131</v>
      </c>
      <c r="B23" s="35" t="s">
        <v>502</v>
      </c>
      <c r="C23" s="35"/>
      <c r="D23" s="35" t="s">
        <v>479</v>
      </c>
      <c r="E23" s="35"/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15"/>
      <c r="AH23" s="91">
        <f t="shared" si="0"/>
        <v>0</v>
      </c>
    </row>
    <row r="24" spans="1:66" hidden="1" x14ac:dyDescent="0.2">
      <c r="A24" s="4">
        <v>96</v>
      </c>
      <c r="B24" s="3" t="s">
        <v>73</v>
      </c>
      <c r="D24" s="3" t="s">
        <v>59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15"/>
      <c r="AH24" s="91">
        <f t="shared" si="0"/>
        <v>0</v>
      </c>
      <c r="AI24" s="47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4"/>
    </row>
    <row r="25" spans="1:66" hidden="1" x14ac:dyDescent="0.2">
      <c r="A25" s="4">
        <v>140</v>
      </c>
      <c r="B25" s="3" t="s">
        <v>74</v>
      </c>
      <c r="D25" s="3" t="s">
        <v>55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82"/>
      <c r="AH25" s="91">
        <f t="shared" si="0"/>
        <v>0</v>
      </c>
    </row>
    <row r="26" spans="1:66" hidden="1" x14ac:dyDescent="0.2">
      <c r="A26" s="4">
        <v>208</v>
      </c>
      <c r="B26" s="3" t="s">
        <v>75</v>
      </c>
      <c r="D26" s="3" t="s">
        <v>76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4"/>
      <c r="AH26" s="91">
        <f t="shared" si="0"/>
        <v>0</v>
      </c>
      <c r="AI26" s="47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4"/>
    </row>
    <row r="27" spans="1:66" hidden="1" x14ac:dyDescent="0.2">
      <c r="A27" s="4">
        <v>8</v>
      </c>
      <c r="B27" s="3" t="s">
        <v>77</v>
      </c>
      <c r="D27" s="3" t="s">
        <v>41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1">
        <v>0</v>
      </c>
      <c r="Y27" s="91">
        <v>0</v>
      </c>
      <c r="Z27" s="91">
        <v>0</v>
      </c>
      <c r="AA27" s="91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82"/>
      <c r="AH27" s="91">
        <f t="shared" si="0"/>
        <v>0</v>
      </c>
      <c r="AI27" s="47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4"/>
    </row>
    <row r="28" spans="1:66" hidden="1" x14ac:dyDescent="0.2">
      <c r="A28" s="4">
        <v>58</v>
      </c>
      <c r="B28" s="3" t="s">
        <v>78</v>
      </c>
      <c r="D28" s="3" t="s">
        <v>79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15"/>
      <c r="AH28" s="91">
        <f t="shared" si="0"/>
        <v>0</v>
      </c>
    </row>
    <row r="29" spans="1:66" hidden="1" x14ac:dyDescent="0.2">
      <c r="A29" s="4">
        <v>82</v>
      </c>
      <c r="B29" s="3" t="s">
        <v>296</v>
      </c>
      <c r="D29" s="3" t="s">
        <v>40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91">
        <v>0</v>
      </c>
      <c r="AG29" s="15"/>
      <c r="AH29" s="91">
        <f t="shared" si="0"/>
        <v>0</v>
      </c>
    </row>
    <row r="30" spans="1:66" x14ac:dyDescent="0.2">
      <c r="A30" s="4">
        <v>6</v>
      </c>
      <c r="B30" s="3" t="s">
        <v>80</v>
      </c>
      <c r="D30" s="3" t="s">
        <v>81</v>
      </c>
      <c r="F30" s="43">
        <v>0</v>
      </c>
      <c r="G30" s="43">
        <v>0</v>
      </c>
      <c r="H30" s="43">
        <v>688567</v>
      </c>
      <c r="I30" s="43">
        <v>0</v>
      </c>
      <c r="J30" s="43">
        <v>240899</v>
      </c>
      <c r="K30" s="43">
        <v>0</v>
      </c>
      <c r="L30" s="43">
        <v>53145</v>
      </c>
      <c r="M30" s="43">
        <v>0</v>
      </c>
      <c r="N30" s="43">
        <v>173360</v>
      </c>
      <c r="O30" s="43">
        <v>0</v>
      </c>
      <c r="P30" s="43">
        <v>181376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150000</v>
      </c>
      <c r="AC30" s="43">
        <v>0</v>
      </c>
      <c r="AD30" s="43">
        <v>0</v>
      </c>
      <c r="AE30" s="43">
        <v>0</v>
      </c>
      <c r="AF30" s="43">
        <v>0</v>
      </c>
      <c r="AG30" s="43"/>
      <c r="AH30" s="43">
        <f t="shared" si="0"/>
        <v>1487347</v>
      </c>
    </row>
    <row r="31" spans="1:66" hidden="1" x14ac:dyDescent="0.2">
      <c r="A31" s="4">
        <v>9</v>
      </c>
      <c r="B31" s="35" t="s">
        <v>331</v>
      </c>
      <c r="C31" s="35"/>
      <c r="D31" s="35" t="s">
        <v>462</v>
      </c>
      <c r="E31" s="35"/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/>
      <c r="AH31" s="43">
        <f t="shared" si="0"/>
        <v>0</v>
      </c>
      <c r="AI31" s="4"/>
    </row>
    <row r="32" spans="1:66" hidden="1" x14ac:dyDescent="0.2">
      <c r="A32" s="4"/>
      <c r="B32" s="35" t="s">
        <v>628</v>
      </c>
      <c r="C32" s="35"/>
      <c r="D32" s="35" t="s">
        <v>208</v>
      </c>
      <c r="E32" s="35"/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/>
      <c r="AH32" s="43">
        <f t="shared" si="0"/>
        <v>0</v>
      </c>
      <c r="AI32" s="4"/>
    </row>
    <row r="33" spans="1:66" hidden="1" x14ac:dyDescent="0.2">
      <c r="A33" s="4">
        <v>17</v>
      </c>
      <c r="B33" s="35" t="s">
        <v>578</v>
      </c>
      <c r="C33" s="35"/>
      <c r="D33" s="35" t="s">
        <v>464</v>
      </c>
      <c r="E33" s="35"/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/>
      <c r="AH33" s="43">
        <f t="shared" si="0"/>
        <v>0</v>
      </c>
    </row>
    <row r="34" spans="1:66" x14ac:dyDescent="0.2">
      <c r="A34" s="4">
        <v>141</v>
      </c>
      <c r="B34" s="3" t="s">
        <v>82</v>
      </c>
      <c r="D34" s="3" t="s">
        <v>55</v>
      </c>
      <c r="F34" s="43">
        <v>0</v>
      </c>
      <c r="G34" s="43">
        <v>0</v>
      </c>
      <c r="H34" s="43">
        <v>1278159</v>
      </c>
      <c r="I34" s="43">
        <v>0</v>
      </c>
      <c r="J34" s="43">
        <v>126285</v>
      </c>
      <c r="K34" s="43">
        <v>0</v>
      </c>
      <c r="L34" s="43">
        <v>228019</v>
      </c>
      <c r="M34" s="43">
        <v>0</v>
      </c>
      <c r="N34" s="43">
        <v>255385</v>
      </c>
      <c r="O34" s="43">
        <v>0</v>
      </c>
      <c r="P34" s="43">
        <v>434857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408556</v>
      </c>
      <c r="AC34" s="43">
        <v>0</v>
      </c>
      <c r="AD34" s="43">
        <v>0</v>
      </c>
      <c r="AE34" s="43">
        <v>0</v>
      </c>
      <c r="AF34" s="43">
        <v>0</v>
      </c>
      <c r="AG34" s="43"/>
      <c r="AH34" s="43">
        <f t="shared" si="0"/>
        <v>2731261</v>
      </c>
    </row>
    <row r="35" spans="1:66" hidden="1" x14ac:dyDescent="0.2">
      <c r="A35" s="4">
        <v>217</v>
      </c>
      <c r="B35" s="3" t="s">
        <v>352</v>
      </c>
      <c r="D35" s="4" t="s">
        <v>20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/>
      <c r="AH35" s="43">
        <f t="shared" si="0"/>
        <v>0</v>
      </c>
    </row>
    <row r="36" spans="1:66" x14ac:dyDescent="0.2">
      <c r="A36" s="4">
        <v>19</v>
      </c>
      <c r="B36" s="3" t="s">
        <v>19</v>
      </c>
      <c r="D36" s="3" t="s">
        <v>11</v>
      </c>
      <c r="F36" s="43">
        <v>0</v>
      </c>
      <c r="G36" s="43">
        <v>0</v>
      </c>
      <c r="H36" s="43">
        <v>944</v>
      </c>
      <c r="I36" s="43">
        <v>0</v>
      </c>
      <c r="J36" s="43">
        <v>48308</v>
      </c>
      <c r="K36" s="43">
        <v>0</v>
      </c>
      <c r="L36" s="43">
        <v>11949</v>
      </c>
      <c r="M36" s="43">
        <v>0</v>
      </c>
      <c r="N36" s="43">
        <v>61779</v>
      </c>
      <c r="O36" s="43">
        <v>0</v>
      </c>
      <c r="P36" s="43">
        <v>294564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273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30000</v>
      </c>
      <c r="AC36" s="43">
        <v>0</v>
      </c>
      <c r="AD36" s="43">
        <v>0</v>
      </c>
      <c r="AE36" s="43">
        <v>0</v>
      </c>
      <c r="AF36" s="43">
        <v>0</v>
      </c>
      <c r="AG36" s="43"/>
      <c r="AH36" s="43">
        <f t="shared" si="0"/>
        <v>447817</v>
      </c>
    </row>
    <row r="37" spans="1:66" hidden="1" x14ac:dyDescent="0.2">
      <c r="A37" s="4">
        <v>20</v>
      </c>
      <c r="B37" s="35" t="s">
        <v>83</v>
      </c>
      <c r="C37" s="35"/>
      <c r="D37" s="35" t="s">
        <v>465</v>
      </c>
      <c r="E37" s="35"/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/>
      <c r="AH37" s="43">
        <f t="shared" si="0"/>
        <v>0</v>
      </c>
    </row>
    <row r="38" spans="1:66" x14ac:dyDescent="0.2">
      <c r="A38" s="4">
        <v>137</v>
      </c>
      <c r="B38" s="3" t="s">
        <v>84</v>
      </c>
      <c r="D38" s="3" t="s">
        <v>85</v>
      </c>
      <c r="F38" s="43">
        <v>0</v>
      </c>
      <c r="G38" s="43">
        <v>0</v>
      </c>
      <c r="H38" s="43">
        <v>5469</v>
      </c>
      <c r="I38" s="43">
        <v>0</v>
      </c>
      <c r="J38" s="43">
        <v>49562</v>
      </c>
      <c r="K38" s="43">
        <v>0</v>
      </c>
      <c r="L38" s="43">
        <v>0</v>
      </c>
      <c r="M38" s="43">
        <v>0</v>
      </c>
      <c r="N38" s="43">
        <v>6774</v>
      </c>
      <c r="O38" s="43">
        <v>0</v>
      </c>
      <c r="P38" s="43">
        <v>19029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22215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/>
      <c r="AH38" s="43">
        <f t="shared" si="0"/>
        <v>103049</v>
      </c>
      <c r="AI38" s="47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4"/>
    </row>
    <row r="39" spans="1:66" x14ac:dyDescent="0.2">
      <c r="A39" s="4">
        <v>110</v>
      </c>
      <c r="B39" s="3" t="s">
        <v>86</v>
      </c>
      <c r="D39" s="3" t="s">
        <v>87</v>
      </c>
      <c r="F39" s="43">
        <v>0</v>
      </c>
      <c r="G39" s="43">
        <v>0</v>
      </c>
      <c r="H39" s="43">
        <v>718337</v>
      </c>
      <c r="I39" s="43">
        <v>0</v>
      </c>
      <c r="J39" s="43">
        <v>6731</v>
      </c>
      <c r="K39" s="43">
        <v>0</v>
      </c>
      <c r="L39" s="43">
        <v>20640</v>
      </c>
      <c r="M39" s="43">
        <v>0</v>
      </c>
      <c r="N39" s="43">
        <v>54009</v>
      </c>
      <c r="O39" s="43">
        <v>0</v>
      </c>
      <c r="P39" s="43">
        <v>55120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/>
      <c r="AH39" s="43">
        <f t="shared" si="0"/>
        <v>854837</v>
      </c>
    </row>
    <row r="40" spans="1:66" x14ac:dyDescent="0.2">
      <c r="A40" s="4">
        <v>203</v>
      </c>
      <c r="B40" s="3" t="s">
        <v>88</v>
      </c>
      <c r="D40" s="3" t="s">
        <v>43</v>
      </c>
      <c r="F40" s="43">
        <v>0</v>
      </c>
      <c r="G40" s="43">
        <v>0</v>
      </c>
      <c r="H40" s="43">
        <v>40415</v>
      </c>
      <c r="I40" s="43">
        <v>0</v>
      </c>
      <c r="J40" s="43">
        <v>27858</v>
      </c>
      <c r="K40" s="43">
        <v>0</v>
      </c>
      <c r="L40" s="43">
        <v>0</v>
      </c>
      <c r="M40" s="43">
        <v>0</v>
      </c>
      <c r="N40" s="43">
        <v>10812</v>
      </c>
      <c r="O40" s="43">
        <v>0</v>
      </c>
      <c r="P40" s="43">
        <v>24986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9986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10505</v>
      </c>
      <c r="AC40" s="43">
        <v>0</v>
      </c>
      <c r="AD40" s="43">
        <v>0</v>
      </c>
      <c r="AE40" s="43">
        <v>0</v>
      </c>
      <c r="AF40" s="43">
        <v>0</v>
      </c>
      <c r="AG40" s="43"/>
      <c r="AH40" s="43">
        <f t="shared" si="0"/>
        <v>124562</v>
      </c>
    </row>
    <row r="41" spans="1:66" hidden="1" x14ac:dyDescent="0.2">
      <c r="A41" s="4">
        <v>74</v>
      </c>
      <c r="B41" s="3" t="s">
        <v>297</v>
      </c>
      <c r="D41" s="3" t="s">
        <v>90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/>
      <c r="AH41" s="43">
        <f t="shared" si="0"/>
        <v>0</v>
      </c>
    </row>
    <row r="42" spans="1:66" x14ac:dyDescent="0.2">
      <c r="A42" s="4">
        <v>200</v>
      </c>
      <c r="B42" s="3" t="s">
        <v>91</v>
      </c>
      <c r="D42" s="3" t="s">
        <v>92</v>
      </c>
      <c r="F42" s="43">
        <v>0</v>
      </c>
      <c r="G42" s="43">
        <v>0</v>
      </c>
      <c r="H42" s="43">
        <v>1097791</v>
      </c>
      <c r="I42" s="43">
        <v>0</v>
      </c>
      <c r="J42" s="43">
        <v>324390</v>
      </c>
      <c r="K42" s="43">
        <v>0</v>
      </c>
      <c r="L42" s="43">
        <v>52739</v>
      </c>
      <c r="M42" s="43">
        <v>0</v>
      </c>
      <c r="N42" s="43">
        <v>187418</v>
      </c>
      <c r="O42" s="43">
        <v>0</v>
      </c>
      <c r="P42" s="43">
        <v>319362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32775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/>
      <c r="AH42" s="43">
        <f t="shared" si="0"/>
        <v>2014475</v>
      </c>
      <c r="AI42" s="47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4"/>
    </row>
    <row r="43" spans="1:66" x14ac:dyDescent="0.2">
      <c r="A43" s="4">
        <v>35</v>
      </c>
      <c r="B43" s="3" t="s">
        <v>93</v>
      </c>
      <c r="D43" s="3" t="s">
        <v>67</v>
      </c>
      <c r="F43" s="43">
        <v>0</v>
      </c>
      <c r="G43" s="43">
        <v>0</v>
      </c>
      <c r="H43" s="43">
        <v>4493.82</v>
      </c>
      <c r="I43" s="43">
        <v>0</v>
      </c>
      <c r="J43" s="43">
        <v>101910.21</v>
      </c>
      <c r="K43" s="43">
        <v>0</v>
      </c>
      <c r="L43" s="43">
        <v>25685.81</v>
      </c>
      <c r="M43" s="43">
        <v>0</v>
      </c>
      <c r="N43" s="43">
        <v>32306.400000000001</v>
      </c>
      <c r="O43" s="43">
        <v>0</v>
      </c>
      <c r="P43" s="43">
        <v>179800.16</v>
      </c>
      <c r="Q43" s="43">
        <v>0</v>
      </c>
      <c r="R43" s="43">
        <v>0</v>
      </c>
      <c r="S43" s="43">
        <v>0</v>
      </c>
      <c r="T43" s="43">
        <v>10750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  <c r="AE43" s="43">
        <v>0</v>
      </c>
      <c r="AF43" s="43">
        <v>0</v>
      </c>
      <c r="AG43" s="43"/>
      <c r="AH43" s="43">
        <f t="shared" si="0"/>
        <v>354946.4</v>
      </c>
      <c r="AI43" s="47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4"/>
    </row>
    <row r="44" spans="1:66" s="11" customFormat="1" ht="12.75" hidden="1" x14ac:dyDescent="0.2">
      <c r="A44" s="4">
        <v>204</v>
      </c>
      <c r="B44" s="3" t="s">
        <v>94</v>
      </c>
      <c r="C44" s="3"/>
      <c r="D44" s="3" t="s">
        <v>43</v>
      </c>
      <c r="E44" s="3"/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/>
      <c r="AH44" s="43">
        <f t="shared" si="0"/>
        <v>0</v>
      </c>
      <c r="AI44" s="9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</row>
    <row r="45" spans="1:66" hidden="1" x14ac:dyDescent="0.2">
      <c r="A45" s="4">
        <v>3</v>
      </c>
      <c r="B45" s="3" t="s">
        <v>298</v>
      </c>
      <c r="D45" s="3" t="s">
        <v>95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/>
      <c r="AH45" s="43">
        <f t="shared" si="0"/>
        <v>0</v>
      </c>
      <c r="AI45" s="47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4"/>
    </row>
    <row r="46" spans="1:66" hidden="1" x14ac:dyDescent="0.2">
      <c r="A46" s="4">
        <v>101</v>
      </c>
      <c r="B46" s="35" t="s">
        <v>96</v>
      </c>
      <c r="C46" s="35"/>
      <c r="D46" s="35" t="s">
        <v>476</v>
      </c>
      <c r="E46" s="35"/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0</v>
      </c>
      <c r="AF46" s="43">
        <v>0</v>
      </c>
      <c r="AG46" s="43"/>
      <c r="AH46" s="43">
        <f t="shared" si="0"/>
        <v>0</v>
      </c>
      <c r="AI46" s="47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4"/>
    </row>
    <row r="47" spans="1:66" hidden="1" x14ac:dyDescent="0.2">
      <c r="A47" s="4">
        <v>162</v>
      </c>
      <c r="B47" s="3" t="s">
        <v>97</v>
      </c>
      <c r="D47" s="3" t="s">
        <v>51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/>
      <c r="AH47" s="43">
        <f t="shared" si="0"/>
        <v>0</v>
      </c>
    </row>
    <row r="48" spans="1:66" x14ac:dyDescent="0.2">
      <c r="A48" s="39">
        <v>130.1</v>
      </c>
      <c r="B48" s="3" t="s">
        <v>566</v>
      </c>
      <c r="D48" s="3" t="s">
        <v>567</v>
      </c>
      <c r="F48" s="43">
        <v>0</v>
      </c>
      <c r="G48" s="43">
        <v>0</v>
      </c>
      <c r="H48" s="43">
        <v>1442277</v>
      </c>
      <c r="I48" s="43">
        <v>0</v>
      </c>
      <c r="J48" s="43">
        <v>171418</v>
      </c>
      <c r="K48" s="43">
        <v>0</v>
      </c>
      <c r="L48" s="43">
        <v>33650</v>
      </c>
      <c r="M48" s="43">
        <v>0</v>
      </c>
      <c r="N48" s="43">
        <v>120179</v>
      </c>
      <c r="O48" s="43">
        <v>0</v>
      </c>
      <c r="P48" s="43">
        <v>83856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/>
      <c r="AH48" s="43">
        <f t="shared" si="0"/>
        <v>1851380</v>
      </c>
      <c r="AT48" s="3">
        <v>8684.6</v>
      </c>
    </row>
    <row r="49" spans="1:66" x14ac:dyDescent="0.2">
      <c r="A49" s="4">
        <v>223</v>
      </c>
      <c r="B49" s="3" t="s">
        <v>98</v>
      </c>
      <c r="D49" s="3" t="s">
        <v>54</v>
      </c>
      <c r="F49" s="43">
        <v>0</v>
      </c>
      <c r="G49" s="43">
        <v>0</v>
      </c>
      <c r="H49" s="43">
        <v>275501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115307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/>
      <c r="AH49" s="43">
        <f t="shared" si="0"/>
        <v>390808</v>
      </c>
    </row>
    <row r="50" spans="1:66" hidden="1" x14ac:dyDescent="0.2">
      <c r="A50" s="4">
        <v>23</v>
      </c>
      <c r="B50" s="35" t="s">
        <v>466</v>
      </c>
      <c r="C50" s="35"/>
      <c r="D50" s="35" t="s">
        <v>467</v>
      </c>
      <c r="E50" s="35"/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/>
      <c r="AH50" s="43">
        <f t="shared" si="0"/>
        <v>0</v>
      </c>
      <c r="AI50" s="47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4"/>
    </row>
    <row r="51" spans="1:66" x14ac:dyDescent="0.2">
      <c r="A51" s="4">
        <v>194</v>
      </c>
      <c r="B51" s="3" t="s">
        <v>99</v>
      </c>
      <c r="D51" s="3" t="s">
        <v>100</v>
      </c>
      <c r="F51" s="43">
        <v>0</v>
      </c>
      <c r="G51" s="43">
        <v>0</v>
      </c>
      <c r="H51" s="43">
        <v>2334</v>
      </c>
      <c r="I51" s="43">
        <v>0</v>
      </c>
      <c r="J51" s="43">
        <v>8771</v>
      </c>
      <c r="K51" s="43">
        <v>0</v>
      </c>
      <c r="L51" s="43">
        <v>17</v>
      </c>
      <c r="M51" s="43">
        <v>0</v>
      </c>
      <c r="N51" s="43">
        <v>108376</v>
      </c>
      <c r="O51" s="43">
        <v>0</v>
      </c>
      <c r="P51" s="43">
        <v>6922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4635</v>
      </c>
      <c r="W51" s="43">
        <v>0</v>
      </c>
      <c r="X51" s="43">
        <v>0</v>
      </c>
      <c r="Y51" s="43">
        <v>0</v>
      </c>
      <c r="Z51" s="43">
        <v>0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/>
      <c r="AH51" s="43">
        <f t="shared" si="0"/>
        <v>131055</v>
      </c>
    </row>
    <row r="52" spans="1:66" x14ac:dyDescent="0.2">
      <c r="A52" s="4">
        <v>46</v>
      </c>
      <c r="B52" s="3" t="s">
        <v>101</v>
      </c>
      <c r="D52" s="3" t="s">
        <v>50</v>
      </c>
      <c r="F52" s="43">
        <v>140981.56</v>
      </c>
      <c r="G52" s="43">
        <v>0</v>
      </c>
      <c r="H52" s="43">
        <v>48448.25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298413.14</v>
      </c>
      <c r="Q52" s="43">
        <v>0</v>
      </c>
      <c r="R52" s="43">
        <v>15813.88</v>
      </c>
      <c r="S52" s="43">
        <v>0</v>
      </c>
      <c r="T52" s="43">
        <v>1408.64</v>
      </c>
      <c r="U52" s="43">
        <v>0</v>
      </c>
      <c r="V52" s="43">
        <v>20634.02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43"/>
      <c r="AH52" s="43">
        <f t="shared" si="0"/>
        <v>525699.49</v>
      </c>
      <c r="AI52" s="47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4"/>
    </row>
    <row r="53" spans="1:66" hidden="1" x14ac:dyDescent="0.2">
      <c r="A53" s="4">
        <v>89</v>
      </c>
      <c r="B53" s="3" t="s">
        <v>102</v>
      </c>
      <c r="D53" s="3" t="s">
        <v>15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3">
        <v>0</v>
      </c>
      <c r="AF53" s="43">
        <v>0</v>
      </c>
      <c r="AG53" s="43"/>
      <c r="AH53" s="43">
        <f t="shared" si="0"/>
        <v>0</v>
      </c>
    </row>
    <row r="54" spans="1:66" hidden="1" x14ac:dyDescent="0.2">
      <c r="A54" s="4">
        <v>179</v>
      </c>
      <c r="B54" s="3" t="s">
        <v>103</v>
      </c>
      <c r="D54" s="3" t="s">
        <v>104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3">
        <v>0</v>
      </c>
      <c r="AC54" s="43">
        <v>0</v>
      </c>
      <c r="AD54" s="43">
        <v>0</v>
      </c>
      <c r="AE54" s="43">
        <v>0</v>
      </c>
      <c r="AF54" s="43">
        <v>0</v>
      </c>
      <c r="AG54" s="43"/>
      <c r="AH54" s="43">
        <f t="shared" si="0"/>
        <v>0</v>
      </c>
      <c r="AT54" s="3">
        <v>414.65</v>
      </c>
    </row>
    <row r="55" spans="1:66" hidden="1" x14ac:dyDescent="0.2">
      <c r="A55" s="4">
        <v>209</v>
      </c>
      <c r="B55" s="3" t="s">
        <v>105</v>
      </c>
      <c r="D55" s="3" t="s">
        <v>23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3">
        <v>0</v>
      </c>
      <c r="AD55" s="43">
        <v>0</v>
      </c>
      <c r="AE55" s="43">
        <v>0</v>
      </c>
      <c r="AF55" s="43">
        <v>0</v>
      </c>
      <c r="AG55" s="43"/>
      <c r="AH55" s="43">
        <f t="shared" si="0"/>
        <v>0</v>
      </c>
    </row>
    <row r="56" spans="1:66" x14ac:dyDescent="0.2">
      <c r="A56" s="4">
        <v>174</v>
      </c>
      <c r="B56" s="3" t="s">
        <v>106</v>
      </c>
      <c r="D56" s="3" t="s">
        <v>66</v>
      </c>
      <c r="F56" s="43">
        <v>0</v>
      </c>
      <c r="G56" s="43">
        <v>0</v>
      </c>
      <c r="H56" s="43">
        <v>73270</v>
      </c>
      <c r="I56" s="43">
        <v>0</v>
      </c>
      <c r="J56" s="43">
        <v>39570</v>
      </c>
      <c r="K56" s="43">
        <v>0</v>
      </c>
      <c r="L56" s="43">
        <v>20033</v>
      </c>
      <c r="M56" s="43">
        <v>0</v>
      </c>
      <c r="N56" s="43">
        <v>26620</v>
      </c>
      <c r="O56" s="43">
        <v>0</v>
      </c>
      <c r="P56" s="43">
        <v>52009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8884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  <c r="AB56" s="43">
        <v>0</v>
      </c>
      <c r="AC56" s="43">
        <v>0</v>
      </c>
      <c r="AD56" s="43">
        <v>0</v>
      </c>
      <c r="AE56" s="43">
        <v>0</v>
      </c>
      <c r="AF56" s="43">
        <v>0</v>
      </c>
      <c r="AG56" s="43"/>
      <c r="AH56" s="43">
        <f t="shared" si="0"/>
        <v>220386</v>
      </c>
    </row>
    <row r="57" spans="1:66" x14ac:dyDescent="0.2">
      <c r="A57" s="4">
        <v>73</v>
      </c>
      <c r="B57" s="3" t="s">
        <v>107</v>
      </c>
      <c r="D57" s="3" t="s">
        <v>108</v>
      </c>
      <c r="F57" s="43">
        <v>0</v>
      </c>
      <c r="G57" s="43">
        <v>0</v>
      </c>
      <c r="H57" s="43">
        <v>336425</v>
      </c>
      <c r="I57" s="43">
        <v>0</v>
      </c>
      <c r="J57" s="43">
        <v>43081</v>
      </c>
      <c r="K57" s="43">
        <v>0</v>
      </c>
      <c r="L57" s="43">
        <v>15218</v>
      </c>
      <c r="M57" s="43">
        <v>0</v>
      </c>
      <c r="N57" s="43">
        <v>95666</v>
      </c>
      <c r="O57" s="43">
        <v>0</v>
      </c>
      <c r="P57" s="43">
        <v>309471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11822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3">
        <v>0</v>
      </c>
      <c r="AC57" s="43">
        <v>0</v>
      </c>
      <c r="AD57" s="43">
        <v>0</v>
      </c>
      <c r="AE57" s="43">
        <v>0</v>
      </c>
      <c r="AF57" s="43">
        <v>0</v>
      </c>
      <c r="AG57" s="43"/>
      <c r="AH57" s="43">
        <f t="shared" si="0"/>
        <v>811683</v>
      </c>
      <c r="AI57" s="47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4"/>
    </row>
    <row r="58" spans="1:66" hidden="1" x14ac:dyDescent="0.2">
      <c r="A58" s="4">
        <v>27</v>
      </c>
      <c r="B58" s="35" t="s">
        <v>579</v>
      </c>
      <c r="C58" s="35"/>
      <c r="D58" s="35" t="s">
        <v>468</v>
      </c>
      <c r="E58" s="35"/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  <c r="AB58" s="43">
        <v>0</v>
      </c>
      <c r="AC58" s="43">
        <v>0</v>
      </c>
      <c r="AD58" s="43">
        <v>0</v>
      </c>
      <c r="AE58" s="43">
        <v>0</v>
      </c>
      <c r="AF58" s="43">
        <v>0</v>
      </c>
      <c r="AG58" s="43"/>
      <c r="AH58" s="43">
        <f t="shared" si="0"/>
        <v>0</v>
      </c>
    </row>
    <row r="59" spans="1:66" x14ac:dyDescent="0.2">
      <c r="A59" s="4">
        <v>121</v>
      </c>
      <c r="B59" s="3" t="s">
        <v>109</v>
      </c>
      <c r="D59" s="3" t="s">
        <v>14</v>
      </c>
      <c r="F59" s="43">
        <v>0</v>
      </c>
      <c r="G59" s="43">
        <v>0</v>
      </c>
      <c r="H59" s="43">
        <v>62231</v>
      </c>
      <c r="I59" s="43">
        <v>0</v>
      </c>
      <c r="J59" s="43">
        <v>73821</v>
      </c>
      <c r="K59" s="43">
        <v>0</v>
      </c>
      <c r="L59" s="43">
        <v>17182</v>
      </c>
      <c r="M59" s="43">
        <v>0</v>
      </c>
      <c r="N59" s="43">
        <v>19418</v>
      </c>
      <c r="O59" s="43">
        <v>0</v>
      </c>
      <c r="P59" s="43">
        <v>68658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752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/>
      <c r="AH59" s="43">
        <f t="shared" si="0"/>
        <v>242062</v>
      </c>
    </row>
    <row r="60" spans="1:66" hidden="1" x14ac:dyDescent="0.2">
      <c r="A60" s="4">
        <v>28</v>
      </c>
      <c r="B60" s="3" t="s">
        <v>580</v>
      </c>
      <c r="D60" s="3" t="s">
        <v>60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3">
        <v>0</v>
      </c>
      <c r="AC60" s="43">
        <v>0</v>
      </c>
      <c r="AD60" s="43">
        <v>0</v>
      </c>
      <c r="AE60" s="43">
        <v>0</v>
      </c>
      <c r="AF60" s="43">
        <v>0</v>
      </c>
      <c r="AG60" s="43"/>
      <c r="AH60" s="43">
        <f t="shared" si="0"/>
        <v>0</v>
      </c>
    </row>
    <row r="61" spans="1:66" hidden="1" x14ac:dyDescent="0.2">
      <c r="A61" s="4">
        <v>199</v>
      </c>
      <c r="B61" s="35" t="s">
        <v>557</v>
      </c>
      <c r="C61" s="35"/>
      <c r="D61" s="35" t="s">
        <v>495</v>
      </c>
      <c r="E61" s="35"/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0</v>
      </c>
      <c r="Z61" s="43">
        <v>0</v>
      </c>
      <c r="AA61" s="43">
        <v>0</v>
      </c>
      <c r="AB61" s="43">
        <v>0</v>
      </c>
      <c r="AC61" s="43">
        <v>0</v>
      </c>
      <c r="AD61" s="43">
        <v>0</v>
      </c>
      <c r="AE61" s="43">
        <v>0</v>
      </c>
      <c r="AF61" s="43">
        <v>0</v>
      </c>
      <c r="AG61" s="43"/>
      <c r="AH61" s="43">
        <f t="shared" si="0"/>
        <v>0</v>
      </c>
    </row>
    <row r="62" spans="1:66" hidden="1" x14ac:dyDescent="0.2">
      <c r="A62" s="4">
        <v>199</v>
      </c>
      <c r="B62" s="35" t="s">
        <v>609</v>
      </c>
      <c r="C62" s="35"/>
      <c r="D62" s="35" t="s">
        <v>565</v>
      </c>
      <c r="E62" s="35"/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  <c r="AB62" s="43">
        <v>0</v>
      </c>
      <c r="AC62" s="43">
        <v>0</v>
      </c>
      <c r="AD62" s="43">
        <v>0</v>
      </c>
      <c r="AE62" s="43">
        <v>0</v>
      </c>
      <c r="AF62" s="43">
        <v>0</v>
      </c>
      <c r="AG62" s="43"/>
      <c r="AH62" s="43">
        <f t="shared" si="0"/>
        <v>0</v>
      </c>
    </row>
    <row r="63" spans="1:66" x14ac:dyDescent="0.2">
      <c r="A63" s="4">
        <v>32</v>
      </c>
      <c r="B63" s="3" t="s">
        <v>111</v>
      </c>
      <c r="D63" s="3" t="s">
        <v>112</v>
      </c>
      <c r="F63" s="43">
        <v>0</v>
      </c>
      <c r="G63" s="43">
        <v>0</v>
      </c>
      <c r="H63" s="43">
        <v>2207948</v>
      </c>
      <c r="I63" s="43">
        <v>0</v>
      </c>
      <c r="J63" s="43">
        <v>728549</v>
      </c>
      <c r="K63" s="43">
        <v>0</v>
      </c>
      <c r="L63" s="43">
        <v>143843</v>
      </c>
      <c r="M63" s="43">
        <v>0</v>
      </c>
      <c r="N63" s="43">
        <v>621256</v>
      </c>
      <c r="O63" s="43">
        <v>0</v>
      </c>
      <c r="P63" s="43">
        <v>691844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430230</v>
      </c>
      <c r="W63" s="43">
        <v>0</v>
      </c>
      <c r="X63" s="43">
        <v>0</v>
      </c>
      <c r="Y63" s="43">
        <v>0</v>
      </c>
      <c r="Z63" s="43">
        <v>0</v>
      </c>
      <c r="AA63" s="43">
        <v>0</v>
      </c>
      <c r="AB63" s="43">
        <v>0</v>
      </c>
      <c r="AC63" s="43">
        <v>0</v>
      </c>
      <c r="AD63" s="43">
        <v>0</v>
      </c>
      <c r="AE63" s="43">
        <v>0</v>
      </c>
      <c r="AF63" s="43">
        <v>0</v>
      </c>
      <c r="AG63" s="43"/>
      <c r="AH63" s="43">
        <f t="shared" si="0"/>
        <v>4823670</v>
      </c>
    </row>
    <row r="64" spans="1:66" hidden="1" x14ac:dyDescent="0.2">
      <c r="A64" s="4">
        <v>231</v>
      </c>
      <c r="B64" s="35" t="s">
        <v>299</v>
      </c>
      <c r="C64" s="35"/>
      <c r="D64" s="35" t="s">
        <v>492</v>
      </c>
      <c r="E64" s="35"/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0</v>
      </c>
      <c r="AA64" s="43">
        <v>0</v>
      </c>
      <c r="AB64" s="43">
        <v>0</v>
      </c>
      <c r="AC64" s="43">
        <v>0</v>
      </c>
      <c r="AD64" s="43">
        <v>0</v>
      </c>
      <c r="AE64" s="43">
        <v>0</v>
      </c>
      <c r="AF64" s="43">
        <v>0</v>
      </c>
      <c r="AG64" s="43"/>
      <c r="AH64" s="43">
        <f t="shared" si="0"/>
        <v>0</v>
      </c>
      <c r="AI64" s="47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4"/>
    </row>
    <row r="65" spans="1:66" x14ac:dyDescent="0.2">
      <c r="A65" s="4">
        <v>34</v>
      </c>
      <c r="B65" s="3" t="s">
        <v>113</v>
      </c>
      <c r="D65" s="3" t="s">
        <v>114</v>
      </c>
      <c r="F65" s="43">
        <v>0</v>
      </c>
      <c r="G65" s="43">
        <v>0</v>
      </c>
      <c r="H65" s="43">
        <f>3471244-235235</f>
        <v>3236009</v>
      </c>
      <c r="I65" s="43">
        <v>0</v>
      </c>
      <c r="J65" s="43">
        <v>1499362</v>
      </c>
      <c r="K65" s="43">
        <v>0</v>
      </c>
      <c r="L65" s="43">
        <v>382308</v>
      </c>
      <c r="M65" s="43">
        <v>0</v>
      </c>
      <c r="N65" s="43">
        <v>824749</v>
      </c>
      <c r="O65" s="43">
        <v>0</v>
      </c>
      <c r="P65" s="43">
        <v>555110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18872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3">
        <v>1413000</v>
      </c>
      <c r="AC65" s="43">
        <v>0</v>
      </c>
      <c r="AD65" s="43">
        <v>0</v>
      </c>
      <c r="AE65" s="43">
        <v>0</v>
      </c>
      <c r="AF65" s="43">
        <v>6257</v>
      </c>
      <c r="AG65" s="43"/>
      <c r="AH65" s="43">
        <f t="shared" si="0"/>
        <v>7935667</v>
      </c>
    </row>
    <row r="66" spans="1:66" x14ac:dyDescent="0.2">
      <c r="A66" s="4">
        <v>49</v>
      </c>
      <c r="B66" s="3" t="s">
        <v>419</v>
      </c>
      <c r="D66" s="3" t="s">
        <v>17</v>
      </c>
      <c r="F66" s="43">
        <v>5564186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1563625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140976</v>
      </c>
      <c r="W66" s="43">
        <v>0</v>
      </c>
      <c r="X66" s="43">
        <v>76940</v>
      </c>
      <c r="Y66" s="43">
        <v>0</v>
      </c>
      <c r="Z66" s="43">
        <v>14589</v>
      </c>
      <c r="AA66" s="43">
        <v>0</v>
      </c>
      <c r="AB66" s="43">
        <v>658500</v>
      </c>
      <c r="AC66" s="43">
        <v>0</v>
      </c>
      <c r="AD66" s="43">
        <v>0</v>
      </c>
      <c r="AE66" s="43">
        <v>0</v>
      </c>
      <c r="AF66" s="43">
        <v>0</v>
      </c>
      <c r="AG66" s="43"/>
      <c r="AH66" s="43">
        <f t="shared" si="0"/>
        <v>8018816</v>
      </c>
    </row>
    <row r="67" spans="1:66" x14ac:dyDescent="0.2">
      <c r="A67" s="4">
        <v>50</v>
      </c>
      <c r="B67" s="3" t="s">
        <v>420</v>
      </c>
      <c r="D67" s="3" t="s">
        <v>17</v>
      </c>
      <c r="F67" s="43">
        <v>0</v>
      </c>
      <c r="G67" s="43">
        <v>0</v>
      </c>
      <c r="H67" s="43">
        <v>31720500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20718220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233353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3">
        <v>10000000</v>
      </c>
      <c r="AC67" s="43">
        <v>0</v>
      </c>
      <c r="AD67" s="43">
        <v>0</v>
      </c>
      <c r="AE67" s="43">
        <v>0</v>
      </c>
      <c r="AF67" s="43">
        <v>0</v>
      </c>
      <c r="AG67" s="43"/>
      <c r="AH67" s="43">
        <f t="shared" si="0"/>
        <v>62672073</v>
      </c>
      <c r="AI67" s="47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4"/>
    </row>
    <row r="68" spans="1:66" hidden="1" x14ac:dyDescent="0.2">
      <c r="A68" s="4">
        <v>201</v>
      </c>
      <c r="B68" s="3" t="s">
        <v>115</v>
      </c>
      <c r="D68" s="3" t="s">
        <v>92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/>
      <c r="AH68" s="43">
        <f t="shared" si="0"/>
        <v>0</v>
      </c>
    </row>
    <row r="69" spans="1:66" hidden="1" x14ac:dyDescent="0.2">
      <c r="A69" s="4">
        <v>158</v>
      </c>
      <c r="B69" s="3" t="s">
        <v>70</v>
      </c>
      <c r="D69" s="3" t="s">
        <v>48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3">
        <v>0</v>
      </c>
      <c r="AC69" s="43">
        <v>0</v>
      </c>
      <c r="AD69" s="43">
        <v>0</v>
      </c>
      <c r="AE69" s="43">
        <v>0</v>
      </c>
      <c r="AF69" s="43">
        <v>0</v>
      </c>
      <c r="AG69" s="43"/>
      <c r="AH69" s="43">
        <f t="shared" si="0"/>
        <v>0</v>
      </c>
    </row>
    <row r="70" spans="1:66" hidden="1" x14ac:dyDescent="0.2">
      <c r="A70" s="4">
        <v>38</v>
      </c>
      <c r="B70" s="35" t="s">
        <v>445</v>
      </c>
      <c r="C70" s="35"/>
      <c r="D70" s="35" t="s">
        <v>472</v>
      </c>
      <c r="E70" s="35"/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3">
        <v>0</v>
      </c>
      <c r="Z70" s="43">
        <v>0</v>
      </c>
      <c r="AA70" s="43">
        <v>0</v>
      </c>
      <c r="AB70" s="43">
        <v>0</v>
      </c>
      <c r="AC70" s="43">
        <v>0</v>
      </c>
      <c r="AD70" s="43">
        <v>0</v>
      </c>
      <c r="AE70" s="43">
        <v>0</v>
      </c>
      <c r="AF70" s="43">
        <v>0</v>
      </c>
      <c r="AG70" s="43"/>
      <c r="AH70" s="43">
        <f t="shared" si="0"/>
        <v>0</v>
      </c>
      <c r="AI70" s="47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4"/>
    </row>
    <row r="71" spans="1:66" x14ac:dyDescent="0.2">
      <c r="A71" s="4">
        <v>76</v>
      </c>
      <c r="B71" s="3" t="s">
        <v>116</v>
      </c>
      <c r="D71" s="3" t="s">
        <v>90</v>
      </c>
      <c r="F71" s="43">
        <v>0</v>
      </c>
      <c r="G71" s="43">
        <v>0</v>
      </c>
      <c r="H71" s="43">
        <v>23718722</v>
      </c>
      <c r="I71" s="43">
        <v>0</v>
      </c>
      <c r="J71" s="43">
        <v>9485918</v>
      </c>
      <c r="K71" s="43">
        <v>0</v>
      </c>
      <c r="L71" s="43">
        <v>4606695</v>
      </c>
      <c r="M71" s="43">
        <v>0</v>
      </c>
      <c r="N71" s="43">
        <v>6373938</v>
      </c>
      <c r="O71" s="43">
        <v>0</v>
      </c>
      <c r="P71" s="43">
        <v>10995868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959020</v>
      </c>
      <c r="W71" s="43">
        <v>0</v>
      </c>
      <c r="X71" s="43">
        <v>0</v>
      </c>
      <c r="Y71" s="43">
        <v>0</v>
      </c>
      <c r="Z71" s="43">
        <v>0</v>
      </c>
      <c r="AA71" s="43">
        <v>0</v>
      </c>
      <c r="AB71" s="43">
        <v>101717628</v>
      </c>
      <c r="AC71" s="43">
        <v>0</v>
      </c>
      <c r="AD71" s="43">
        <v>0</v>
      </c>
      <c r="AE71" s="43">
        <v>0</v>
      </c>
      <c r="AF71" s="43">
        <v>0</v>
      </c>
      <c r="AG71" s="43"/>
      <c r="AH71" s="43">
        <f t="shared" si="0"/>
        <v>157857789</v>
      </c>
      <c r="AK71" s="4"/>
    </row>
    <row r="72" spans="1:66" hidden="1" x14ac:dyDescent="0.2">
      <c r="A72" s="4">
        <v>63</v>
      </c>
      <c r="B72" s="3" t="s">
        <v>358</v>
      </c>
      <c r="D72" s="4" t="s">
        <v>68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3">
        <v>0</v>
      </c>
      <c r="Z72" s="43">
        <v>0</v>
      </c>
      <c r="AA72" s="43">
        <v>0</v>
      </c>
      <c r="AB72" s="43">
        <v>0</v>
      </c>
      <c r="AC72" s="43">
        <v>0</v>
      </c>
      <c r="AD72" s="43">
        <v>0</v>
      </c>
      <c r="AE72" s="43">
        <v>0</v>
      </c>
      <c r="AF72" s="43">
        <v>0</v>
      </c>
      <c r="AG72" s="43"/>
      <c r="AH72" s="43">
        <f t="shared" si="0"/>
        <v>0</v>
      </c>
      <c r="AK72" s="4"/>
    </row>
    <row r="73" spans="1:66" x14ac:dyDescent="0.2">
      <c r="A73" s="4">
        <v>10</v>
      </c>
      <c r="B73" s="3" t="s">
        <v>117</v>
      </c>
      <c r="D73" s="3" t="s">
        <v>41</v>
      </c>
      <c r="F73" s="43">
        <v>0</v>
      </c>
      <c r="G73" s="43">
        <v>0</v>
      </c>
      <c r="H73" s="43">
        <v>377215</v>
      </c>
      <c r="I73" s="43">
        <v>0</v>
      </c>
      <c r="J73" s="43">
        <v>24466</v>
      </c>
      <c r="K73" s="43">
        <v>0</v>
      </c>
      <c r="L73" s="43">
        <v>4354</v>
      </c>
      <c r="M73" s="43">
        <v>0</v>
      </c>
      <c r="N73" s="43">
        <v>70704</v>
      </c>
      <c r="O73" s="43">
        <v>0</v>
      </c>
      <c r="P73" s="43">
        <v>10568</v>
      </c>
      <c r="Q73" s="43">
        <v>0</v>
      </c>
      <c r="R73" s="43">
        <v>0</v>
      </c>
      <c r="S73" s="43">
        <v>0</v>
      </c>
      <c r="T73" s="43">
        <v>3859</v>
      </c>
      <c r="U73" s="43">
        <v>0</v>
      </c>
      <c r="V73" s="43">
        <v>6678</v>
      </c>
      <c r="W73" s="43">
        <v>0</v>
      </c>
      <c r="X73" s="43">
        <v>0</v>
      </c>
      <c r="Y73" s="43">
        <v>0</v>
      </c>
      <c r="Z73" s="43">
        <v>0</v>
      </c>
      <c r="AA73" s="43">
        <v>0</v>
      </c>
      <c r="AB73" s="43">
        <v>0</v>
      </c>
      <c r="AC73" s="43">
        <v>0</v>
      </c>
      <c r="AD73" s="43">
        <v>0</v>
      </c>
      <c r="AE73" s="43">
        <v>0</v>
      </c>
      <c r="AF73" s="43">
        <v>0</v>
      </c>
      <c r="AG73" s="43"/>
      <c r="AH73" s="43">
        <f t="shared" ref="AH73:AH88" si="1">SUM(F73:AF73)</f>
        <v>497844</v>
      </c>
      <c r="AK73" s="4"/>
    </row>
    <row r="74" spans="1:66" x14ac:dyDescent="0.2">
      <c r="A74" s="4">
        <v>45</v>
      </c>
      <c r="B74" s="3" t="s">
        <v>118</v>
      </c>
      <c r="D74" s="3" t="s">
        <v>119</v>
      </c>
      <c r="F74" s="43">
        <v>0</v>
      </c>
      <c r="G74" s="43">
        <v>0</v>
      </c>
      <c r="H74" s="43">
        <v>536669</v>
      </c>
      <c r="I74" s="43">
        <v>0</v>
      </c>
      <c r="J74" s="43">
        <v>205033</v>
      </c>
      <c r="K74" s="43">
        <v>0</v>
      </c>
      <c r="L74" s="43">
        <v>53459</v>
      </c>
      <c r="M74" s="43">
        <v>0</v>
      </c>
      <c r="N74" s="43">
        <v>122875</v>
      </c>
      <c r="O74" s="43">
        <v>0</v>
      </c>
      <c r="P74" s="43">
        <v>145174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6573</v>
      </c>
      <c r="W74" s="43">
        <v>0</v>
      </c>
      <c r="X74" s="43">
        <v>0</v>
      </c>
      <c r="Y74" s="43">
        <v>0</v>
      </c>
      <c r="Z74" s="43">
        <v>0</v>
      </c>
      <c r="AA74" s="43">
        <v>0</v>
      </c>
      <c r="AB74" s="43">
        <v>49330</v>
      </c>
      <c r="AC74" s="43">
        <v>0</v>
      </c>
      <c r="AD74" s="43">
        <v>0</v>
      </c>
      <c r="AE74" s="43">
        <v>0</v>
      </c>
      <c r="AF74" s="43">
        <v>0</v>
      </c>
      <c r="AG74" s="43"/>
      <c r="AH74" s="43">
        <f t="shared" si="1"/>
        <v>1119113</v>
      </c>
      <c r="AK74" s="4"/>
    </row>
    <row r="75" spans="1:66" hidden="1" x14ac:dyDescent="0.2">
      <c r="A75" s="4">
        <v>47</v>
      </c>
      <c r="B75" s="35" t="s">
        <v>120</v>
      </c>
      <c r="C75" s="35"/>
      <c r="D75" s="35" t="s">
        <v>473</v>
      </c>
      <c r="E75" s="35"/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0</v>
      </c>
      <c r="Y75" s="43">
        <v>0</v>
      </c>
      <c r="Z75" s="43">
        <v>0</v>
      </c>
      <c r="AA75" s="43">
        <v>0</v>
      </c>
      <c r="AB75" s="43">
        <v>0</v>
      </c>
      <c r="AC75" s="43">
        <v>0</v>
      </c>
      <c r="AD75" s="43">
        <v>0</v>
      </c>
      <c r="AE75" s="43">
        <v>0</v>
      </c>
      <c r="AF75" s="43">
        <v>0</v>
      </c>
      <c r="AG75" s="43"/>
      <c r="AH75" s="43">
        <f t="shared" si="1"/>
        <v>0</v>
      </c>
      <c r="AK75" s="4"/>
    </row>
    <row r="76" spans="1:66" x14ac:dyDescent="0.2">
      <c r="A76" s="4">
        <v>51</v>
      </c>
      <c r="B76" s="3" t="s">
        <v>581</v>
      </c>
      <c r="D76" s="3" t="s">
        <v>17</v>
      </c>
      <c r="F76" s="43">
        <v>0</v>
      </c>
      <c r="G76" s="43">
        <v>0</v>
      </c>
      <c r="H76" s="43">
        <v>37024927</v>
      </c>
      <c r="I76" s="43">
        <v>0</v>
      </c>
      <c r="J76" s="43">
        <v>2815724</v>
      </c>
      <c r="K76" s="43">
        <v>0</v>
      </c>
      <c r="L76" s="43">
        <v>0</v>
      </c>
      <c r="M76" s="43">
        <v>0</v>
      </c>
      <c r="N76" s="43">
        <v>5418805</v>
      </c>
      <c r="O76" s="43">
        <v>0</v>
      </c>
      <c r="P76" s="43">
        <v>13230011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1379687</v>
      </c>
      <c r="W76" s="43">
        <v>0</v>
      </c>
      <c r="X76" s="43">
        <v>0</v>
      </c>
      <c r="Y76" s="43">
        <v>0</v>
      </c>
      <c r="Z76" s="43">
        <v>0</v>
      </c>
      <c r="AA76" s="43">
        <v>0</v>
      </c>
      <c r="AB76" s="43">
        <v>5841296</v>
      </c>
      <c r="AC76" s="43">
        <v>0</v>
      </c>
      <c r="AD76" s="43">
        <v>0</v>
      </c>
      <c r="AE76" s="43">
        <v>0</v>
      </c>
      <c r="AF76" s="43">
        <v>0</v>
      </c>
      <c r="AG76" s="43"/>
      <c r="AH76" s="43">
        <f t="shared" si="1"/>
        <v>65710450</v>
      </c>
      <c r="AI76" s="47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4"/>
    </row>
    <row r="77" spans="1:66" x14ac:dyDescent="0.2">
      <c r="A77" s="4"/>
      <c r="B77" s="4" t="s">
        <v>602</v>
      </c>
      <c r="C77" s="4"/>
      <c r="D77" s="4" t="s">
        <v>20</v>
      </c>
      <c r="F77" s="43">
        <v>388381</v>
      </c>
      <c r="G77" s="43">
        <v>0</v>
      </c>
      <c r="H77" s="43">
        <f>1455150+442516</f>
        <v>1897666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66892</v>
      </c>
      <c r="S77" s="43">
        <v>0</v>
      </c>
      <c r="T77" s="43">
        <v>6768</v>
      </c>
      <c r="U77" s="43">
        <v>0</v>
      </c>
      <c r="V77" s="43">
        <v>45423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3">
        <v>0</v>
      </c>
      <c r="AG77" s="43"/>
      <c r="AH77" s="43">
        <f t="shared" si="1"/>
        <v>2405130</v>
      </c>
      <c r="AI77" s="47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4"/>
    </row>
    <row r="78" spans="1:66" x14ac:dyDescent="0.2">
      <c r="A78" s="4">
        <v>169</v>
      </c>
      <c r="B78" s="3" t="s">
        <v>122</v>
      </c>
      <c r="D78" s="3" t="s">
        <v>53</v>
      </c>
      <c r="F78" s="43">
        <v>0</v>
      </c>
      <c r="G78" s="43">
        <v>0</v>
      </c>
      <c r="H78" s="43">
        <v>15393305</v>
      </c>
      <c r="I78" s="43">
        <v>0</v>
      </c>
      <c r="J78" s="43">
        <v>5073937</v>
      </c>
      <c r="K78" s="43">
        <v>0</v>
      </c>
      <c r="L78" s="43">
        <v>833181</v>
      </c>
      <c r="M78" s="43">
        <v>0</v>
      </c>
      <c r="N78" s="43">
        <v>541301</v>
      </c>
      <c r="O78" s="43">
        <v>0</v>
      </c>
      <c r="P78" s="43">
        <v>3051489</v>
      </c>
      <c r="Q78" s="43">
        <v>0</v>
      </c>
      <c r="R78" s="43">
        <v>0</v>
      </c>
      <c r="S78" s="43">
        <v>0</v>
      </c>
      <c r="T78" s="43">
        <v>0</v>
      </c>
      <c r="U78" s="43">
        <v>0</v>
      </c>
      <c r="V78" s="43">
        <v>378191</v>
      </c>
      <c r="W78" s="43">
        <v>0</v>
      </c>
      <c r="X78" s="43">
        <v>0</v>
      </c>
      <c r="Y78" s="43">
        <v>0</v>
      </c>
      <c r="Z78" s="43">
        <v>0</v>
      </c>
      <c r="AA78" s="43">
        <v>0</v>
      </c>
      <c r="AB78" s="43">
        <v>57366</v>
      </c>
      <c r="AC78" s="43">
        <v>0</v>
      </c>
      <c r="AD78" s="43">
        <v>0</v>
      </c>
      <c r="AE78" s="43">
        <v>0</v>
      </c>
      <c r="AF78" s="43">
        <v>0</v>
      </c>
      <c r="AG78" s="43"/>
      <c r="AH78" s="43">
        <f t="shared" si="1"/>
        <v>25328770</v>
      </c>
    </row>
    <row r="79" spans="1:66" hidden="1" x14ac:dyDescent="0.2">
      <c r="A79" s="4">
        <v>62</v>
      </c>
      <c r="B79" s="3" t="s">
        <v>123</v>
      </c>
      <c r="D79" s="3" t="s">
        <v>124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43">
        <v>0</v>
      </c>
      <c r="S79" s="43">
        <v>0</v>
      </c>
      <c r="T79" s="43">
        <v>0</v>
      </c>
      <c r="U79" s="43">
        <v>0</v>
      </c>
      <c r="V79" s="43">
        <v>0</v>
      </c>
      <c r="W79" s="43">
        <v>0</v>
      </c>
      <c r="X79" s="43">
        <v>0</v>
      </c>
      <c r="Y79" s="43">
        <v>0</v>
      </c>
      <c r="Z79" s="43">
        <v>0</v>
      </c>
      <c r="AA79" s="43">
        <v>0</v>
      </c>
      <c r="AB79" s="43">
        <v>0</v>
      </c>
      <c r="AC79" s="43">
        <v>0</v>
      </c>
      <c r="AD79" s="43">
        <v>0</v>
      </c>
      <c r="AE79" s="43">
        <v>0</v>
      </c>
      <c r="AF79" s="43">
        <v>0</v>
      </c>
      <c r="AG79" s="43"/>
      <c r="AH79" s="43">
        <f t="shared" si="1"/>
        <v>0</v>
      </c>
      <c r="AK79" s="4"/>
    </row>
    <row r="80" spans="1:66" x14ac:dyDescent="0.2">
      <c r="A80" s="4">
        <v>64</v>
      </c>
      <c r="B80" s="3" t="s">
        <v>125</v>
      </c>
      <c r="D80" s="3" t="s">
        <v>68</v>
      </c>
      <c r="F80" s="43">
        <v>0</v>
      </c>
      <c r="G80" s="43">
        <v>0</v>
      </c>
      <c r="H80" s="43">
        <v>4737891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0</v>
      </c>
      <c r="W80" s="43">
        <v>0</v>
      </c>
      <c r="X80" s="43">
        <v>0</v>
      </c>
      <c r="Y80" s="43">
        <v>0</v>
      </c>
      <c r="Z80" s="43">
        <v>0</v>
      </c>
      <c r="AA80" s="43">
        <v>0</v>
      </c>
      <c r="AB80" s="43">
        <v>0</v>
      </c>
      <c r="AC80" s="43">
        <v>0</v>
      </c>
      <c r="AD80" s="43">
        <v>0</v>
      </c>
      <c r="AE80" s="43">
        <v>0</v>
      </c>
      <c r="AF80" s="43">
        <v>0</v>
      </c>
      <c r="AG80" s="43"/>
      <c r="AH80" s="43">
        <f t="shared" si="1"/>
        <v>4737891</v>
      </c>
    </row>
    <row r="81" spans="1:66" hidden="1" x14ac:dyDescent="0.2">
      <c r="A81" s="4">
        <v>4</v>
      </c>
      <c r="B81" s="3" t="s">
        <v>126</v>
      </c>
      <c r="D81" s="3" t="s">
        <v>95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0</v>
      </c>
      <c r="Y81" s="43">
        <v>0</v>
      </c>
      <c r="Z81" s="43">
        <v>0</v>
      </c>
      <c r="AA81" s="43">
        <v>0</v>
      </c>
      <c r="AB81" s="43">
        <v>0</v>
      </c>
      <c r="AC81" s="43">
        <v>0</v>
      </c>
      <c r="AD81" s="43">
        <v>0</v>
      </c>
      <c r="AE81" s="43">
        <v>0</v>
      </c>
      <c r="AF81" s="43">
        <v>0</v>
      </c>
      <c r="AG81" s="43"/>
      <c r="AH81" s="43">
        <f t="shared" si="1"/>
        <v>0</v>
      </c>
      <c r="AK81" s="4"/>
    </row>
    <row r="82" spans="1:66" hidden="1" x14ac:dyDescent="0.2">
      <c r="A82" s="4">
        <v>83</v>
      </c>
      <c r="B82" s="3" t="s">
        <v>127</v>
      </c>
      <c r="D82" s="3" t="s">
        <v>40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3">
        <v>0</v>
      </c>
      <c r="Z82" s="43">
        <v>0</v>
      </c>
      <c r="AA82" s="43">
        <v>0</v>
      </c>
      <c r="AB82" s="43">
        <v>0</v>
      </c>
      <c r="AC82" s="43">
        <v>0</v>
      </c>
      <c r="AD82" s="43">
        <v>0</v>
      </c>
      <c r="AE82" s="43">
        <v>0</v>
      </c>
      <c r="AF82" s="43">
        <v>0</v>
      </c>
      <c r="AG82" s="43"/>
      <c r="AH82" s="43">
        <f t="shared" si="1"/>
        <v>0</v>
      </c>
      <c r="AK82" s="4"/>
    </row>
    <row r="83" spans="1:66" x14ac:dyDescent="0.2">
      <c r="A83" s="4">
        <v>258</v>
      </c>
      <c r="B83" s="3" t="s">
        <v>128</v>
      </c>
      <c r="D83" s="3" t="s">
        <v>61</v>
      </c>
      <c r="F83" s="43">
        <v>0</v>
      </c>
      <c r="G83" s="43">
        <v>0</v>
      </c>
      <c r="H83" s="43">
        <v>127884</v>
      </c>
      <c r="I83" s="43">
        <v>0</v>
      </c>
      <c r="J83" s="43">
        <v>33570</v>
      </c>
      <c r="K83" s="43">
        <v>0</v>
      </c>
      <c r="L83" s="43">
        <v>15926</v>
      </c>
      <c r="M83" s="43">
        <v>0</v>
      </c>
      <c r="N83" s="43">
        <v>35780</v>
      </c>
      <c r="O83" s="43">
        <v>0</v>
      </c>
      <c r="P83" s="43">
        <v>122234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13391</v>
      </c>
      <c r="W83" s="43">
        <v>0</v>
      </c>
      <c r="X83" s="43">
        <v>0</v>
      </c>
      <c r="Y83" s="43">
        <v>0</v>
      </c>
      <c r="Z83" s="43">
        <v>0</v>
      </c>
      <c r="AA83" s="43">
        <v>0</v>
      </c>
      <c r="AB83" s="43">
        <v>50000</v>
      </c>
      <c r="AC83" s="43">
        <v>0</v>
      </c>
      <c r="AD83" s="43">
        <v>0</v>
      </c>
      <c r="AE83" s="43">
        <v>0</v>
      </c>
      <c r="AF83" s="43">
        <v>0</v>
      </c>
      <c r="AG83" s="43"/>
      <c r="AH83" s="43">
        <f t="shared" si="1"/>
        <v>398785</v>
      </c>
      <c r="AK83" s="4"/>
    </row>
    <row r="84" spans="1:66" x14ac:dyDescent="0.2">
      <c r="A84" s="4">
        <v>232</v>
      </c>
      <c r="B84" s="3" t="s">
        <v>129</v>
      </c>
      <c r="D84" s="3" t="s">
        <v>24</v>
      </c>
      <c r="F84" s="43">
        <v>0</v>
      </c>
      <c r="G84" s="43">
        <v>0</v>
      </c>
      <c r="H84" s="43">
        <v>869479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43">
        <v>0</v>
      </c>
      <c r="S84" s="43">
        <v>0</v>
      </c>
      <c r="T84" s="43">
        <v>0</v>
      </c>
      <c r="U84" s="43">
        <v>0</v>
      </c>
      <c r="V84" s="43">
        <v>0</v>
      </c>
      <c r="W84" s="43">
        <v>0</v>
      </c>
      <c r="X84" s="43">
        <v>0</v>
      </c>
      <c r="Y84" s="43">
        <v>0</v>
      </c>
      <c r="Z84" s="43">
        <v>0</v>
      </c>
      <c r="AA84" s="43">
        <v>0</v>
      </c>
      <c r="AB84" s="43">
        <v>0</v>
      </c>
      <c r="AC84" s="43">
        <v>0</v>
      </c>
      <c r="AD84" s="43">
        <v>0</v>
      </c>
      <c r="AE84" s="43">
        <v>0</v>
      </c>
      <c r="AF84" s="43">
        <v>0</v>
      </c>
      <c r="AG84" s="43"/>
      <c r="AH84" s="43">
        <f t="shared" si="1"/>
        <v>869479</v>
      </c>
      <c r="AK84" s="4"/>
    </row>
    <row r="85" spans="1:66" hidden="1" x14ac:dyDescent="0.2">
      <c r="A85" s="4">
        <v>88</v>
      </c>
      <c r="B85" s="3" t="s">
        <v>332</v>
      </c>
      <c r="D85" s="3" t="s">
        <v>130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3">
        <v>0</v>
      </c>
      <c r="Z85" s="43">
        <v>0</v>
      </c>
      <c r="AA85" s="43">
        <v>0</v>
      </c>
      <c r="AB85" s="43">
        <v>0</v>
      </c>
      <c r="AC85" s="43">
        <v>0</v>
      </c>
      <c r="AD85" s="43">
        <v>0</v>
      </c>
      <c r="AE85" s="43">
        <v>0</v>
      </c>
      <c r="AF85" s="43">
        <v>0</v>
      </c>
      <c r="AG85" s="43"/>
      <c r="AH85" s="43">
        <f t="shared" si="1"/>
        <v>0</v>
      </c>
      <c r="AI85" s="47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4"/>
    </row>
    <row r="86" spans="1:66" x14ac:dyDescent="0.2">
      <c r="A86" s="4">
        <v>138</v>
      </c>
      <c r="B86" s="35" t="s">
        <v>131</v>
      </c>
      <c r="C86" s="35"/>
      <c r="D86" s="35" t="s">
        <v>85</v>
      </c>
      <c r="E86" s="35"/>
      <c r="F86" s="43">
        <v>13361</v>
      </c>
      <c r="G86" s="43">
        <v>0</v>
      </c>
      <c r="H86" s="43">
        <f>16958+30723+5894</f>
        <v>53575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4055</v>
      </c>
      <c r="S86" s="43">
        <v>0</v>
      </c>
      <c r="T86" s="43">
        <v>0</v>
      </c>
      <c r="U86" s="43">
        <v>0</v>
      </c>
      <c r="V86" s="43">
        <v>15211</v>
      </c>
      <c r="W86" s="43">
        <v>0</v>
      </c>
      <c r="X86" s="43">
        <v>0</v>
      </c>
      <c r="Y86" s="43">
        <v>0</v>
      </c>
      <c r="Z86" s="43">
        <v>0</v>
      </c>
      <c r="AA86" s="43">
        <v>0</v>
      </c>
      <c r="AB86" s="43">
        <v>0</v>
      </c>
      <c r="AC86" s="43">
        <v>0</v>
      </c>
      <c r="AD86" s="43">
        <v>0</v>
      </c>
      <c r="AE86" s="43">
        <v>0</v>
      </c>
      <c r="AF86" s="43">
        <v>0</v>
      </c>
      <c r="AG86" s="43"/>
      <c r="AH86" s="43">
        <f t="shared" si="1"/>
        <v>86202</v>
      </c>
    </row>
    <row r="87" spans="1:66" hidden="1" x14ac:dyDescent="0.2">
      <c r="A87" s="4">
        <v>52</v>
      </c>
      <c r="B87" s="35" t="s">
        <v>447</v>
      </c>
      <c r="C87" s="35"/>
      <c r="D87" s="35" t="s">
        <v>474</v>
      </c>
      <c r="E87" s="35"/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0</v>
      </c>
      <c r="S87" s="43">
        <v>0</v>
      </c>
      <c r="T87" s="43">
        <v>0</v>
      </c>
      <c r="U87" s="43">
        <v>0</v>
      </c>
      <c r="V87" s="43">
        <v>0</v>
      </c>
      <c r="W87" s="43">
        <v>0</v>
      </c>
      <c r="X87" s="43">
        <v>0</v>
      </c>
      <c r="Y87" s="43">
        <v>0</v>
      </c>
      <c r="Z87" s="43">
        <v>0</v>
      </c>
      <c r="AA87" s="43">
        <v>0</v>
      </c>
      <c r="AB87" s="43">
        <v>0</v>
      </c>
      <c r="AC87" s="43">
        <v>0</v>
      </c>
      <c r="AD87" s="43">
        <v>0</v>
      </c>
      <c r="AE87" s="43">
        <v>0</v>
      </c>
      <c r="AF87" s="43">
        <v>0</v>
      </c>
      <c r="AG87" s="43"/>
      <c r="AH87" s="43">
        <f t="shared" si="1"/>
        <v>0</v>
      </c>
    </row>
    <row r="88" spans="1:66" hidden="1" x14ac:dyDescent="0.2">
      <c r="A88" s="4">
        <v>39</v>
      </c>
      <c r="B88" s="4" t="s">
        <v>553</v>
      </c>
      <c r="D88" s="3" t="s">
        <v>49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3">
        <v>0</v>
      </c>
      <c r="Z88" s="43">
        <v>0</v>
      </c>
      <c r="AA88" s="43">
        <v>0</v>
      </c>
      <c r="AB88" s="43">
        <v>0</v>
      </c>
      <c r="AC88" s="43">
        <v>0</v>
      </c>
      <c r="AD88" s="43">
        <v>0</v>
      </c>
      <c r="AE88" s="43">
        <v>0</v>
      </c>
      <c r="AF88" s="43">
        <v>0</v>
      </c>
      <c r="AG88" s="43"/>
      <c r="AH88" s="43">
        <f t="shared" si="1"/>
        <v>0</v>
      </c>
    </row>
    <row r="89" spans="1:66" hidden="1" x14ac:dyDescent="0.2">
      <c r="A89" s="4">
        <v>40</v>
      </c>
      <c r="B89" s="3" t="s">
        <v>132</v>
      </c>
      <c r="D89" s="3" t="s">
        <v>49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43">
        <v>0</v>
      </c>
      <c r="Y89" s="43">
        <v>0</v>
      </c>
      <c r="Z89" s="43">
        <v>0</v>
      </c>
      <c r="AA89" s="43">
        <v>0</v>
      </c>
      <c r="AB89" s="43">
        <v>0</v>
      </c>
      <c r="AC89" s="43">
        <v>0</v>
      </c>
      <c r="AD89" s="43">
        <v>0</v>
      </c>
      <c r="AE89" s="43">
        <v>0</v>
      </c>
      <c r="AF89" s="43">
        <v>0</v>
      </c>
      <c r="AG89" s="43"/>
      <c r="AH89" s="43">
        <f t="shared" ref="AH89:AH120" si="2">SUM(F89:AF89)</f>
        <v>0</v>
      </c>
    </row>
    <row r="90" spans="1:66" x14ac:dyDescent="0.2">
      <c r="A90" s="4">
        <v>155</v>
      </c>
      <c r="B90" s="3" t="s">
        <v>421</v>
      </c>
      <c r="D90" s="3" t="s">
        <v>18</v>
      </c>
      <c r="F90" s="43">
        <v>0</v>
      </c>
      <c r="G90" s="43">
        <v>0</v>
      </c>
      <c r="H90" s="43">
        <v>532057</v>
      </c>
      <c r="I90" s="43">
        <v>0</v>
      </c>
      <c r="J90" s="43">
        <v>465808</v>
      </c>
      <c r="K90" s="43">
        <v>0</v>
      </c>
      <c r="L90" s="43">
        <v>148951</v>
      </c>
      <c r="M90" s="43">
        <v>0</v>
      </c>
      <c r="N90" s="43">
        <v>190156</v>
      </c>
      <c r="O90" s="43">
        <v>0</v>
      </c>
      <c r="P90" s="43">
        <v>541721</v>
      </c>
      <c r="Q90" s="43">
        <v>0</v>
      </c>
      <c r="R90" s="43">
        <v>0</v>
      </c>
      <c r="S90" s="43">
        <v>0</v>
      </c>
      <c r="T90" s="43">
        <v>0</v>
      </c>
      <c r="U90" s="43">
        <v>0</v>
      </c>
      <c r="V90" s="43">
        <v>11638</v>
      </c>
      <c r="W90" s="43">
        <v>0</v>
      </c>
      <c r="X90" s="43">
        <v>0</v>
      </c>
      <c r="Y90" s="43">
        <v>0</v>
      </c>
      <c r="Z90" s="43">
        <v>0</v>
      </c>
      <c r="AA90" s="43">
        <v>0</v>
      </c>
      <c r="AB90" s="43">
        <v>0</v>
      </c>
      <c r="AC90" s="43">
        <v>0</v>
      </c>
      <c r="AD90" s="43">
        <v>0</v>
      </c>
      <c r="AE90" s="43">
        <v>0</v>
      </c>
      <c r="AF90" s="43">
        <v>0</v>
      </c>
      <c r="AG90" s="43"/>
      <c r="AH90" s="43">
        <f t="shared" si="2"/>
        <v>1890331</v>
      </c>
    </row>
    <row r="91" spans="1:66" s="7" customFormat="1" hidden="1" x14ac:dyDescent="0.2">
      <c r="A91" s="7">
        <v>142</v>
      </c>
      <c r="B91" s="7" t="s">
        <v>133</v>
      </c>
      <c r="D91" s="7" t="s">
        <v>55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43">
        <v>0</v>
      </c>
      <c r="Y91" s="43">
        <v>0</v>
      </c>
      <c r="Z91" s="43">
        <v>0</v>
      </c>
      <c r="AA91" s="43">
        <v>0</v>
      </c>
      <c r="AB91" s="43">
        <v>0</v>
      </c>
      <c r="AC91" s="43">
        <v>0</v>
      </c>
      <c r="AD91" s="43">
        <v>0</v>
      </c>
      <c r="AE91" s="43">
        <v>0</v>
      </c>
      <c r="AF91" s="43">
        <v>0</v>
      </c>
      <c r="AG91" s="43"/>
      <c r="AH91" s="43">
        <f t="shared" si="2"/>
        <v>0</v>
      </c>
      <c r="AI91" s="46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</row>
    <row r="92" spans="1:66" x14ac:dyDescent="0.2">
      <c r="A92" s="4">
        <v>53</v>
      </c>
      <c r="B92" s="3" t="s">
        <v>16</v>
      </c>
      <c r="D92" s="3" t="s">
        <v>17</v>
      </c>
      <c r="F92" s="43">
        <v>0</v>
      </c>
      <c r="G92" s="43">
        <v>0</v>
      </c>
      <c r="H92" s="43">
        <v>4478727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3">
        <v>0</v>
      </c>
      <c r="T92" s="43">
        <v>0</v>
      </c>
      <c r="U92" s="43">
        <v>0</v>
      </c>
      <c r="V92" s="43">
        <v>91464</v>
      </c>
      <c r="W92" s="43">
        <v>0</v>
      </c>
      <c r="X92" s="43">
        <v>0</v>
      </c>
      <c r="Y92" s="43">
        <v>0</v>
      </c>
      <c r="Z92" s="43">
        <v>0</v>
      </c>
      <c r="AA92" s="43">
        <v>0</v>
      </c>
      <c r="AB92" s="43">
        <v>0</v>
      </c>
      <c r="AC92" s="43">
        <v>0</v>
      </c>
      <c r="AD92" s="43">
        <v>0</v>
      </c>
      <c r="AE92" s="43">
        <v>0</v>
      </c>
      <c r="AF92" s="43">
        <v>0</v>
      </c>
      <c r="AG92" s="43"/>
      <c r="AH92" s="43">
        <f t="shared" si="2"/>
        <v>4570191</v>
      </c>
      <c r="AT92" s="3">
        <v>1073.2</v>
      </c>
    </row>
    <row r="93" spans="1:66" hidden="1" x14ac:dyDescent="0.2">
      <c r="A93" s="4">
        <v>84</v>
      </c>
      <c r="B93" s="3" t="s">
        <v>134</v>
      </c>
      <c r="D93" s="3" t="s">
        <v>40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  <c r="S93" s="43">
        <v>0</v>
      </c>
      <c r="T93" s="43">
        <v>0</v>
      </c>
      <c r="U93" s="43">
        <v>0</v>
      </c>
      <c r="V93" s="43">
        <v>0</v>
      </c>
      <c r="W93" s="43">
        <v>0</v>
      </c>
      <c r="X93" s="43">
        <v>0</v>
      </c>
      <c r="Y93" s="43">
        <v>0</v>
      </c>
      <c r="Z93" s="43">
        <v>0</v>
      </c>
      <c r="AA93" s="43">
        <v>0</v>
      </c>
      <c r="AB93" s="43">
        <v>0</v>
      </c>
      <c r="AC93" s="43">
        <v>0</v>
      </c>
      <c r="AD93" s="43">
        <v>0</v>
      </c>
      <c r="AE93" s="43">
        <v>0</v>
      </c>
      <c r="AF93" s="43">
        <v>0</v>
      </c>
      <c r="AG93" s="43"/>
      <c r="AH93" s="43">
        <f t="shared" si="2"/>
        <v>0</v>
      </c>
      <c r="AT93" s="3">
        <v>811.54</v>
      </c>
    </row>
    <row r="94" spans="1:66" x14ac:dyDescent="0.2">
      <c r="A94" s="4"/>
      <c r="B94" s="3" t="s">
        <v>619</v>
      </c>
      <c r="D94" s="3" t="s">
        <v>87</v>
      </c>
      <c r="F94" s="43">
        <v>0</v>
      </c>
      <c r="G94" s="43">
        <v>0</v>
      </c>
      <c r="H94" s="43">
        <v>8564</v>
      </c>
      <c r="I94" s="43">
        <v>0</v>
      </c>
      <c r="J94" s="43">
        <v>46477</v>
      </c>
      <c r="K94" s="43">
        <v>0</v>
      </c>
      <c r="L94" s="43">
        <v>1813</v>
      </c>
      <c r="M94" s="43">
        <v>0</v>
      </c>
      <c r="N94" s="43">
        <v>78347</v>
      </c>
      <c r="O94" s="43">
        <v>0</v>
      </c>
      <c r="P94" s="43">
        <v>571304</v>
      </c>
      <c r="Q94" s="43">
        <v>0</v>
      </c>
      <c r="R94" s="43">
        <v>0</v>
      </c>
      <c r="S94" s="43">
        <v>0</v>
      </c>
      <c r="T94" s="43">
        <v>0</v>
      </c>
      <c r="U94" s="43">
        <v>0</v>
      </c>
      <c r="V94" s="43">
        <v>0</v>
      </c>
      <c r="W94" s="43">
        <v>0</v>
      </c>
      <c r="X94" s="43">
        <v>0</v>
      </c>
      <c r="Y94" s="43">
        <v>0</v>
      </c>
      <c r="Z94" s="43">
        <v>0</v>
      </c>
      <c r="AA94" s="43">
        <v>0</v>
      </c>
      <c r="AB94" s="43">
        <v>0</v>
      </c>
      <c r="AC94" s="43">
        <v>0</v>
      </c>
      <c r="AD94" s="43">
        <v>0</v>
      </c>
      <c r="AE94" s="43">
        <v>0</v>
      </c>
      <c r="AF94" s="43">
        <v>0</v>
      </c>
      <c r="AG94" s="43"/>
      <c r="AH94" s="43">
        <f t="shared" si="2"/>
        <v>706505</v>
      </c>
    </row>
    <row r="95" spans="1:66" x14ac:dyDescent="0.2">
      <c r="A95" s="4">
        <v>70</v>
      </c>
      <c r="B95" s="7" t="s">
        <v>428</v>
      </c>
      <c r="C95" s="7"/>
      <c r="D95" s="7" t="s">
        <v>65</v>
      </c>
      <c r="E95" s="7"/>
      <c r="F95" s="43">
        <v>0</v>
      </c>
      <c r="G95" s="43">
        <v>0</v>
      </c>
      <c r="H95" s="43">
        <v>2879054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3">
        <v>0</v>
      </c>
      <c r="Z95" s="43">
        <v>0</v>
      </c>
      <c r="AA95" s="43">
        <v>0</v>
      </c>
      <c r="AB95" s="43">
        <v>151212</v>
      </c>
      <c r="AC95" s="43">
        <v>0</v>
      </c>
      <c r="AD95" s="43">
        <v>0</v>
      </c>
      <c r="AE95" s="43">
        <v>0</v>
      </c>
      <c r="AF95" s="43">
        <v>0</v>
      </c>
      <c r="AG95" s="43"/>
      <c r="AH95" s="43">
        <f t="shared" si="2"/>
        <v>3030266</v>
      </c>
      <c r="AI95" s="47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4"/>
    </row>
    <row r="96" spans="1:66" x14ac:dyDescent="0.2">
      <c r="A96" s="4">
        <v>123</v>
      </c>
      <c r="B96" s="3" t="s">
        <v>135</v>
      </c>
      <c r="D96" s="3" t="s">
        <v>13</v>
      </c>
      <c r="F96" s="43">
        <v>0</v>
      </c>
      <c r="G96" s="43">
        <v>0</v>
      </c>
      <c r="H96" s="43">
        <v>367718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0</v>
      </c>
      <c r="X96" s="43">
        <v>0</v>
      </c>
      <c r="Y96" s="43">
        <v>0</v>
      </c>
      <c r="Z96" s="43">
        <v>0</v>
      </c>
      <c r="AA96" s="43">
        <v>0</v>
      </c>
      <c r="AB96" s="43">
        <v>0</v>
      </c>
      <c r="AC96" s="43">
        <v>0</v>
      </c>
      <c r="AD96" s="43">
        <v>0</v>
      </c>
      <c r="AE96" s="43">
        <v>0</v>
      </c>
      <c r="AF96" s="43">
        <v>0</v>
      </c>
      <c r="AG96" s="43"/>
      <c r="AH96" s="43">
        <f t="shared" si="2"/>
        <v>367718</v>
      </c>
      <c r="AT96" s="3">
        <v>2070.62</v>
      </c>
    </row>
    <row r="97" spans="1:66" hidden="1" x14ac:dyDescent="0.2">
      <c r="A97" s="4">
        <v>93</v>
      </c>
      <c r="B97" s="3" t="s">
        <v>582</v>
      </c>
      <c r="D97" s="3" t="s">
        <v>137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3">
        <v>0</v>
      </c>
      <c r="Z97" s="43">
        <v>0</v>
      </c>
      <c r="AA97" s="43">
        <v>0</v>
      </c>
      <c r="AB97" s="43">
        <v>0</v>
      </c>
      <c r="AC97" s="43">
        <v>0</v>
      </c>
      <c r="AD97" s="43">
        <v>0</v>
      </c>
      <c r="AE97" s="43">
        <v>0</v>
      </c>
      <c r="AF97" s="43">
        <v>0</v>
      </c>
      <c r="AG97" s="43"/>
      <c r="AH97" s="43">
        <f t="shared" si="2"/>
        <v>0</v>
      </c>
    </row>
    <row r="98" spans="1:66" hidden="1" x14ac:dyDescent="0.2">
      <c r="A98" s="4">
        <v>93</v>
      </c>
      <c r="B98" s="3" t="s">
        <v>360</v>
      </c>
      <c r="D98" s="3" t="s">
        <v>485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43">
        <v>0</v>
      </c>
      <c r="AA98" s="43">
        <v>0</v>
      </c>
      <c r="AB98" s="43">
        <v>0</v>
      </c>
      <c r="AC98" s="43">
        <v>0</v>
      </c>
      <c r="AD98" s="43">
        <v>0</v>
      </c>
      <c r="AE98" s="43">
        <v>0</v>
      </c>
      <c r="AF98" s="43">
        <v>0</v>
      </c>
      <c r="AG98" s="43"/>
      <c r="AH98" s="43">
        <f t="shared" si="2"/>
        <v>0</v>
      </c>
    </row>
    <row r="99" spans="1:66" hidden="1" x14ac:dyDescent="0.2">
      <c r="A99" s="4">
        <v>97</v>
      </c>
      <c r="B99" s="3" t="s">
        <v>138</v>
      </c>
      <c r="D99" s="3" t="s">
        <v>59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3">
        <v>0</v>
      </c>
      <c r="Z99" s="43">
        <v>0</v>
      </c>
      <c r="AA99" s="43">
        <v>0</v>
      </c>
      <c r="AB99" s="43">
        <v>0</v>
      </c>
      <c r="AC99" s="43">
        <v>0</v>
      </c>
      <c r="AD99" s="43">
        <v>0</v>
      </c>
      <c r="AE99" s="43">
        <v>0</v>
      </c>
      <c r="AF99" s="43">
        <v>0</v>
      </c>
      <c r="AG99" s="43"/>
      <c r="AH99" s="43">
        <f t="shared" si="2"/>
        <v>0</v>
      </c>
    </row>
    <row r="100" spans="1:66" x14ac:dyDescent="0.2">
      <c r="A100" s="4">
        <v>159</v>
      </c>
      <c r="B100" s="3" t="s">
        <v>139</v>
      </c>
      <c r="D100" s="3" t="s">
        <v>48</v>
      </c>
      <c r="F100" s="43">
        <v>0</v>
      </c>
      <c r="G100" s="43">
        <v>0</v>
      </c>
      <c r="H100" s="43">
        <v>60010</v>
      </c>
      <c r="I100" s="43">
        <v>0</v>
      </c>
      <c r="J100" s="43">
        <v>17371</v>
      </c>
      <c r="K100" s="43">
        <v>0</v>
      </c>
      <c r="L100" s="43">
        <v>9554</v>
      </c>
      <c r="M100" s="43">
        <v>0</v>
      </c>
      <c r="N100" s="43">
        <v>8217</v>
      </c>
      <c r="O100" s="43">
        <v>0</v>
      </c>
      <c r="P100" s="43">
        <v>7397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1320</v>
      </c>
      <c r="W100" s="43">
        <v>0</v>
      </c>
      <c r="X100" s="43">
        <v>0</v>
      </c>
      <c r="Y100" s="43">
        <v>0</v>
      </c>
      <c r="Z100" s="43">
        <v>0</v>
      </c>
      <c r="AA100" s="43">
        <v>0</v>
      </c>
      <c r="AB100" s="43">
        <v>0</v>
      </c>
      <c r="AC100" s="43">
        <v>0</v>
      </c>
      <c r="AD100" s="43">
        <v>0</v>
      </c>
      <c r="AE100" s="43">
        <v>0</v>
      </c>
      <c r="AF100" s="43">
        <v>0</v>
      </c>
      <c r="AG100" s="43"/>
      <c r="AH100" s="43">
        <f t="shared" si="2"/>
        <v>103869</v>
      </c>
      <c r="AI100" s="47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4"/>
    </row>
    <row r="101" spans="1:66" hidden="1" x14ac:dyDescent="0.2">
      <c r="A101" s="4">
        <v>240</v>
      </c>
      <c r="B101" s="3" t="s">
        <v>140</v>
      </c>
      <c r="D101" s="3" t="s">
        <v>52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0</v>
      </c>
      <c r="X101" s="43">
        <v>0</v>
      </c>
      <c r="Y101" s="43">
        <v>0</v>
      </c>
      <c r="Z101" s="43">
        <v>0</v>
      </c>
      <c r="AA101" s="43">
        <v>0</v>
      </c>
      <c r="AB101" s="43">
        <v>0</v>
      </c>
      <c r="AC101" s="43">
        <v>0</v>
      </c>
      <c r="AD101" s="43">
        <v>0</v>
      </c>
      <c r="AE101" s="43">
        <v>0</v>
      </c>
      <c r="AF101" s="43">
        <v>0</v>
      </c>
      <c r="AG101" s="43"/>
      <c r="AH101" s="43">
        <f t="shared" si="2"/>
        <v>0</v>
      </c>
    </row>
    <row r="102" spans="1:66" hidden="1" x14ac:dyDescent="0.2">
      <c r="A102" s="4">
        <v>48</v>
      </c>
      <c r="B102" s="35" t="s">
        <v>141</v>
      </c>
      <c r="C102" s="35"/>
      <c r="D102" s="35" t="s">
        <v>473</v>
      </c>
      <c r="E102" s="35"/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43">
        <v>0</v>
      </c>
      <c r="Y102" s="43">
        <v>0</v>
      </c>
      <c r="Z102" s="43">
        <v>0</v>
      </c>
      <c r="AA102" s="43">
        <v>0</v>
      </c>
      <c r="AB102" s="43">
        <v>0</v>
      </c>
      <c r="AC102" s="43">
        <v>0</v>
      </c>
      <c r="AD102" s="43">
        <v>0</v>
      </c>
      <c r="AE102" s="43">
        <v>0</v>
      </c>
      <c r="AF102" s="43">
        <v>0</v>
      </c>
      <c r="AG102" s="43"/>
      <c r="AH102" s="43">
        <f t="shared" si="2"/>
        <v>0</v>
      </c>
    </row>
    <row r="103" spans="1:66" x14ac:dyDescent="0.2">
      <c r="A103" s="4">
        <v>190</v>
      </c>
      <c r="B103" s="3" t="s">
        <v>142</v>
      </c>
      <c r="D103" s="3" t="s">
        <v>143</v>
      </c>
      <c r="F103" s="43">
        <v>0</v>
      </c>
      <c r="G103" s="43">
        <v>0</v>
      </c>
      <c r="H103" s="43">
        <v>1051975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18768</v>
      </c>
      <c r="W103" s="43">
        <v>0</v>
      </c>
      <c r="X103" s="43">
        <v>0</v>
      </c>
      <c r="Y103" s="43">
        <v>0</v>
      </c>
      <c r="Z103" s="43">
        <v>0</v>
      </c>
      <c r="AA103" s="43">
        <v>0</v>
      </c>
      <c r="AB103" s="43">
        <v>113015</v>
      </c>
      <c r="AC103" s="43">
        <v>0</v>
      </c>
      <c r="AD103" s="43">
        <v>0</v>
      </c>
      <c r="AE103" s="43">
        <v>0</v>
      </c>
      <c r="AF103" s="43">
        <v>0</v>
      </c>
      <c r="AG103" s="43"/>
      <c r="AH103" s="43">
        <f t="shared" si="2"/>
        <v>1183758</v>
      </c>
      <c r="AQ103" s="3">
        <f>+AQ102+6837.16</f>
        <v>6837.16</v>
      </c>
      <c r="AT103" s="3">
        <v>23.2</v>
      </c>
    </row>
    <row r="104" spans="1:66" x14ac:dyDescent="0.2">
      <c r="A104" s="4">
        <v>90</v>
      </c>
      <c r="B104" s="3" t="s">
        <v>144</v>
      </c>
      <c r="D104" s="3" t="s">
        <v>15</v>
      </c>
      <c r="F104" s="43">
        <v>0</v>
      </c>
      <c r="G104" s="43">
        <v>0</v>
      </c>
      <c r="H104" s="43">
        <v>2783937</v>
      </c>
      <c r="I104" s="43">
        <v>0</v>
      </c>
      <c r="J104" s="43">
        <v>1663503</v>
      </c>
      <c r="K104" s="43">
        <v>0</v>
      </c>
      <c r="L104" s="43">
        <v>564244</v>
      </c>
      <c r="M104" s="43">
        <v>0</v>
      </c>
      <c r="N104" s="43">
        <v>812149</v>
      </c>
      <c r="O104" s="43">
        <v>0</v>
      </c>
      <c r="P104" s="43">
        <v>746129</v>
      </c>
      <c r="Q104" s="43">
        <v>0</v>
      </c>
      <c r="R104" s="43">
        <v>0</v>
      </c>
      <c r="S104" s="43">
        <v>0</v>
      </c>
      <c r="T104" s="43">
        <v>0</v>
      </c>
      <c r="U104" s="43">
        <v>0</v>
      </c>
      <c r="V104" s="43">
        <v>301935</v>
      </c>
      <c r="W104" s="43">
        <v>0</v>
      </c>
      <c r="X104" s="43">
        <v>0</v>
      </c>
      <c r="Y104" s="43">
        <v>0</v>
      </c>
      <c r="Z104" s="43">
        <v>0</v>
      </c>
      <c r="AA104" s="43">
        <v>0</v>
      </c>
      <c r="AB104" s="43">
        <v>900000</v>
      </c>
      <c r="AC104" s="43">
        <v>0</v>
      </c>
      <c r="AD104" s="43">
        <v>3969</v>
      </c>
      <c r="AE104" s="43">
        <v>0</v>
      </c>
      <c r="AF104" s="43">
        <v>0</v>
      </c>
      <c r="AG104" s="43"/>
      <c r="AH104" s="43">
        <f t="shared" si="2"/>
        <v>7775866</v>
      </c>
    </row>
    <row r="105" spans="1:66" hidden="1" x14ac:dyDescent="0.2">
      <c r="A105" s="4">
        <v>170</v>
      </c>
      <c r="B105" s="35" t="s">
        <v>145</v>
      </c>
      <c r="C105" s="35"/>
      <c r="D105" s="35" t="s">
        <v>488</v>
      </c>
      <c r="E105" s="35"/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43">
        <v>0</v>
      </c>
      <c r="X105" s="43">
        <v>0</v>
      </c>
      <c r="Y105" s="43">
        <v>0</v>
      </c>
      <c r="Z105" s="43">
        <v>0</v>
      </c>
      <c r="AA105" s="43">
        <v>0</v>
      </c>
      <c r="AB105" s="43">
        <v>0</v>
      </c>
      <c r="AC105" s="43">
        <v>0</v>
      </c>
      <c r="AD105" s="43">
        <v>0</v>
      </c>
      <c r="AE105" s="43">
        <v>0</v>
      </c>
      <c r="AF105" s="43">
        <v>0</v>
      </c>
      <c r="AG105" s="43"/>
      <c r="AH105" s="43">
        <f t="shared" si="2"/>
        <v>0</v>
      </c>
    </row>
    <row r="106" spans="1:66" s="4" customFormat="1" hidden="1" x14ac:dyDescent="0.2">
      <c r="A106" s="4">
        <v>224</v>
      </c>
      <c r="B106" s="3" t="s">
        <v>32</v>
      </c>
      <c r="C106" s="3"/>
      <c r="D106" s="3" t="s">
        <v>54</v>
      </c>
      <c r="E106" s="3"/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3">
        <v>0</v>
      </c>
      <c r="Z106" s="43">
        <v>0</v>
      </c>
      <c r="AA106" s="43">
        <v>0</v>
      </c>
      <c r="AB106" s="43">
        <v>0</v>
      </c>
      <c r="AC106" s="43">
        <v>0</v>
      </c>
      <c r="AD106" s="43">
        <v>0</v>
      </c>
      <c r="AE106" s="43">
        <v>0</v>
      </c>
      <c r="AF106" s="43">
        <v>0</v>
      </c>
      <c r="AG106" s="43"/>
      <c r="AH106" s="43">
        <f t="shared" si="2"/>
        <v>0</v>
      </c>
      <c r="AT106" s="4">
        <v>2845</v>
      </c>
    </row>
    <row r="107" spans="1:66" s="4" customFormat="1" hidden="1" x14ac:dyDescent="0.2">
      <c r="A107" s="4">
        <v>224</v>
      </c>
      <c r="B107" s="3" t="s">
        <v>33</v>
      </c>
      <c r="C107" s="3"/>
      <c r="D107" s="3" t="s">
        <v>24</v>
      </c>
      <c r="E107" s="3"/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/>
      <c r="AH107" s="43">
        <f t="shared" si="2"/>
        <v>0</v>
      </c>
      <c r="AT107" s="4">
        <v>2845</v>
      </c>
    </row>
    <row r="108" spans="1:66" s="7" customFormat="1" x14ac:dyDescent="0.2">
      <c r="A108" s="4">
        <v>143</v>
      </c>
      <c r="B108" s="3" t="s">
        <v>146</v>
      </c>
      <c r="C108" s="3"/>
      <c r="D108" s="3" t="s">
        <v>55</v>
      </c>
      <c r="E108" s="3"/>
      <c r="F108" s="43">
        <v>0</v>
      </c>
      <c r="G108" s="43">
        <v>0</v>
      </c>
      <c r="H108" s="43">
        <v>638716</v>
      </c>
      <c r="I108" s="43">
        <v>0</v>
      </c>
      <c r="J108" s="43">
        <v>141648</v>
      </c>
      <c r="K108" s="43">
        <v>0</v>
      </c>
      <c r="L108" s="43">
        <v>0</v>
      </c>
      <c r="M108" s="43">
        <v>0</v>
      </c>
      <c r="N108" s="43">
        <v>85067</v>
      </c>
      <c r="O108" s="43">
        <v>0</v>
      </c>
      <c r="P108" s="43">
        <v>21746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81857</v>
      </c>
      <c r="W108" s="43">
        <v>0</v>
      </c>
      <c r="X108" s="43">
        <v>0</v>
      </c>
      <c r="Y108" s="43">
        <v>0</v>
      </c>
      <c r="Z108" s="43">
        <v>0</v>
      </c>
      <c r="AA108" s="43">
        <v>0</v>
      </c>
      <c r="AB108" s="43">
        <v>150000</v>
      </c>
      <c r="AC108" s="43">
        <v>0</v>
      </c>
      <c r="AD108" s="43">
        <v>0</v>
      </c>
      <c r="AE108" s="43">
        <v>0</v>
      </c>
      <c r="AF108" s="43">
        <v>0</v>
      </c>
      <c r="AG108" s="43"/>
      <c r="AH108" s="43">
        <f t="shared" si="2"/>
        <v>1119034</v>
      </c>
      <c r="AT108" s="7">
        <v>10653.53</v>
      </c>
    </row>
    <row r="109" spans="1:66" hidden="1" x14ac:dyDescent="0.2">
      <c r="A109" s="4">
        <v>11</v>
      </c>
      <c r="B109" s="35" t="s">
        <v>302</v>
      </c>
      <c r="C109" s="35"/>
      <c r="D109" s="35" t="s">
        <v>462</v>
      </c>
      <c r="E109" s="35"/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  <c r="S109" s="43">
        <v>0</v>
      </c>
      <c r="T109" s="43">
        <v>0</v>
      </c>
      <c r="U109" s="43">
        <v>0</v>
      </c>
      <c r="V109" s="43">
        <v>0</v>
      </c>
      <c r="W109" s="43">
        <v>0</v>
      </c>
      <c r="X109" s="43">
        <v>0</v>
      </c>
      <c r="Y109" s="43">
        <v>0</v>
      </c>
      <c r="Z109" s="43">
        <v>0</v>
      </c>
      <c r="AA109" s="43">
        <v>0</v>
      </c>
      <c r="AB109" s="43">
        <v>0</v>
      </c>
      <c r="AC109" s="43">
        <v>0</v>
      </c>
      <c r="AD109" s="43">
        <v>0</v>
      </c>
      <c r="AE109" s="43">
        <v>0</v>
      </c>
      <c r="AF109" s="43">
        <v>0</v>
      </c>
      <c r="AG109" s="43"/>
      <c r="AH109" s="43">
        <f t="shared" si="2"/>
        <v>0</v>
      </c>
    </row>
    <row r="110" spans="1:66" x14ac:dyDescent="0.2">
      <c r="A110" s="4">
        <v>77</v>
      </c>
      <c r="B110" s="3" t="s">
        <v>147</v>
      </c>
      <c r="D110" s="3" t="s">
        <v>90</v>
      </c>
      <c r="F110" s="43">
        <v>0</v>
      </c>
      <c r="G110" s="43">
        <v>0</v>
      </c>
      <c r="H110" s="43">
        <v>2337736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38066</v>
      </c>
      <c r="W110" s="43">
        <v>0</v>
      </c>
      <c r="X110" s="43">
        <v>0</v>
      </c>
      <c r="Y110" s="43">
        <v>0</v>
      </c>
      <c r="Z110" s="43">
        <v>0</v>
      </c>
      <c r="AA110" s="43">
        <v>0</v>
      </c>
      <c r="AB110" s="43">
        <v>0</v>
      </c>
      <c r="AC110" s="43">
        <v>0</v>
      </c>
      <c r="AD110" s="43">
        <v>0</v>
      </c>
      <c r="AE110" s="43">
        <v>0</v>
      </c>
      <c r="AF110" s="43">
        <v>0</v>
      </c>
      <c r="AG110" s="43"/>
      <c r="AH110" s="43">
        <f t="shared" si="2"/>
        <v>2375802</v>
      </c>
    </row>
    <row r="111" spans="1:66" hidden="1" x14ac:dyDescent="0.2">
      <c r="A111" s="4">
        <v>132</v>
      </c>
      <c r="B111" s="3" t="s">
        <v>148</v>
      </c>
      <c r="D111" s="3" t="s">
        <v>39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3">
        <v>0</v>
      </c>
      <c r="Z111" s="43">
        <v>0</v>
      </c>
      <c r="AA111" s="43">
        <v>0</v>
      </c>
      <c r="AB111" s="43">
        <v>0</v>
      </c>
      <c r="AC111" s="43">
        <v>0</v>
      </c>
      <c r="AD111" s="43">
        <v>0</v>
      </c>
      <c r="AE111" s="43">
        <v>0</v>
      </c>
      <c r="AF111" s="43">
        <v>0</v>
      </c>
      <c r="AG111" s="43"/>
      <c r="AH111" s="43">
        <f t="shared" si="2"/>
        <v>0</v>
      </c>
    </row>
    <row r="112" spans="1:66" x14ac:dyDescent="0.2">
      <c r="A112" s="4">
        <v>91</v>
      </c>
      <c r="B112" s="3" t="s">
        <v>583</v>
      </c>
      <c r="D112" s="3" t="s">
        <v>150</v>
      </c>
      <c r="F112" s="43">
        <v>0</v>
      </c>
      <c r="G112" s="43">
        <v>0</v>
      </c>
      <c r="H112" s="43">
        <f>3541526+1323555</f>
        <v>4865081</v>
      </c>
      <c r="I112" s="43">
        <v>0</v>
      </c>
      <c r="J112" s="43">
        <v>720961</v>
      </c>
      <c r="K112" s="43">
        <v>0</v>
      </c>
      <c r="L112" s="43">
        <v>371223</v>
      </c>
      <c r="M112" s="43">
        <v>0</v>
      </c>
      <c r="N112" s="43">
        <v>595381</v>
      </c>
      <c r="O112" s="43">
        <v>0</v>
      </c>
      <c r="P112" s="43">
        <v>1373400</v>
      </c>
      <c r="Q112" s="43"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55126</v>
      </c>
      <c r="W112" s="43">
        <v>0</v>
      </c>
      <c r="X112" s="43">
        <v>0</v>
      </c>
      <c r="Y112" s="43">
        <v>0</v>
      </c>
      <c r="Z112" s="43">
        <v>0</v>
      </c>
      <c r="AA112" s="43">
        <v>0</v>
      </c>
      <c r="AB112" s="43">
        <v>108495</v>
      </c>
      <c r="AC112" s="43">
        <v>0</v>
      </c>
      <c r="AD112" s="43">
        <v>0</v>
      </c>
      <c r="AE112" s="43">
        <v>0</v>
      </c>
      <c r="AF112" s="43">
        <v>0</v>
      </c>
      <c r="AG112" s="43"/>
      <c r="AH112" s="43">
        <f t="shared" si="2"/>
        <v>8089667</v>
      </c>
    </row>
    <row r="113" spans="1:66" hidden="1" x14ac:dyDescent="0.2">
      <c r="A113" s="4">
        <v>59</v>
      </c>
      <c r="B113" s="3" t="s">
        <v>151</v>
      </c>
      <c r="D113" s="3" t="s">
        <v>79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0</v>
      </c>
      <c r="Y113" s="43">
        <v>0</v>
      </c>
      <c r="Z113" s="43">
        <v>0</v>
      </c>
      <c r="AA113" s="43">
        <v>0</v>
      </c>
      <c r="AB113" s="43">
        <v>0</v>
      </c>
      <c r="AC113" s="43">
        <v>0</v>
      </c>
      <c r="AD113" s="43">
        <v>0</v>
      </c>
      <c r="AE113" s="43">
        <v>0</v>
      </c>
      <c r="AF113" s="43">
        <v>0</v>
      </c>
      <c r="AG113" s="43"/>
      <c r="AH113" s="43">
        <f t="shared" si="2"/>
        <v>0</v>
      </c>
    </row>
    <row r="114" spans="1:66" x14ac:dyDescent="0.2">
      <c r="A114" s="4">
        <v>92</v>
      </c>
      <c r="B114" s="3" t="s">
        <v>584</v>
      </c>
      <c r="D114" s="3" t="s">
        <v>152</v>
      </c>
      <c r="F114" s="43">
        <v>0</v>
      </c>
      <c r="G114" s="43">
        <v>0</v>
      </c>
      <c r="H114" s="43">
        <v>659650</v>
      </c>
      <c r="I114" s="43">
        <v>0</v>
      </c>
      <c r="J114" s="43">
        <v>157683</v>
      </c>
      <c r="K114" s="43">
        <v>0</v>
      </c>
      <c r="L114" s="43">
        <v>110682</v>
      </c>
      <c r="M114" s="43">
        <v>0</v>
      </c>
      <c r="N114" s="43">
        <v>199377</v>
      </c>
      <c r="O114" s="43">
        <v>0</v>
      </c>
      <c r="P114" s="43">
        <v>373248</v>
      </c>
      <c r="Q114" s="43">
        <v>0</v>
      </c>
      <c r="R114" s="43">
        <v>0</v>
      </c>
      <c r="S114" s="43">
        <v>0</v>
      </c>
      <c r="T114" s="43">
        <v>0</v>
      </c>
      <c r="U114" s="43">
        <v>0</v>
      </c>
      <c r="V114" s="43">
        <v>1846</v>
      </c>
      <c r="W114" s="43">
        <v>0</v>
      </c>
      <c r="X114" s="43">
        <v>0</v>
      </c>
      <c r="Y114" s="43">
        <v>0</v>
      </c>
      <c r="Z114" s="43">
        <v>0</v>
      </c>
      <c r="AA114" s="43">
        <v>0</v>
      </c>
      <c r="AB114" s="43">
        <v>0</v>
      </c>
      <c r="AC114" s="43">
        <v>0</v>
      </c>
      <c r="AD114" s="43">
        <v>0</v>
      </c>
      <c r="AE114" s="43">
        <v>0</v>
      </c>
      <c r="AF114" s="43">
        <v>0</v>
      </c>
      <c r="AG114" s="43"/>
      <c r="AH114" s="43">
        <f t="shared" si="2"/>
        <v>1502486</v>
      </c>
      <c r="AI114" s="47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4"/>
    </row>
    <row r="115" spans="1:66" hidden="1" x14ac:dyDescent="0.2">
      <c r="A115" s="4">
        <v>12</v>
      </c>
      <c r="B115" s="35" t="s">
        <v>153</v>
      </c>
      <c r="C115" s="35"/>
      <c r="D115" s="35" t="s">
        <v>462</v>
      </c>
      <c r="E115" s="35"/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0</v>
      </c>
      <c r="T115" s="43">
        <v>0</v>
      </c>
      <c r="U115" s="43">
        <v>0</v>
      </c>
      <c r="V115" s="43">
        <v>0</v>
      </c>
      <c r="W115" s="43">
        <v>0</v>
      </c>
      <c r="X115" s="43">
        <v>0</v>
      </c>
      <c r="Y115" s="43">
        <v>0</v>
      </c>
      <c r="Z115" s="43">
        <v>0</v>
      </c>
      <c r="AA115" s="43">
        <v>0</v>
      </c>
      <c r="AB115" s="43">
        <v>0</v>
      </c>
      <c r="AC115" s="43">
        <v>0</v>
      </c>
      <c r="AD115" s="43">
        <v>0</v>
      </c>
      <c r="AE115" s="43">
        <v>0</v>
      </c>
      <c r="AF115" s="43">
        <v>0</v>
      </c>
      <c r="AG115" s="43"/>
      <c r="AH115" s="43">
        <f t="shared" si="2"/>
        <v>0</v>
      </c>
    </row>
    <row r="116" spans="1:66" x14ac:dyDescent="0.2">
      <c r="A116" s="4">
        <v>98</v>
      </c>
      <c r="B116" s="3" t="s">
        <v>154</v>
      </c>
      <c r="D116" s="3" t="s">
        <v>59</v>
      </c>
      <c r="F116" s="43">
        <v>0</v>
      </c>
      <c r="G116" s="43">
        <v>0</v>
      </c>
      <c r="H116" s="43">
        <v>0</v>
      </c>
      <c r="I116" s="43">
        <v>0</v>
      </c>
      <c r="J116" s="43">
        <v>7497</v>
      </c>
      <c r="K116" s="43">
        <v>0</v>
      </c>
      <c r="L116" s="43">
        <v>13602</v>
      </c>
      <c r="M116" s="43">
        <v>0</v>
      </c>
      <c r="N116" s="43">
        <v>3674</v>
      </c>
      <c r="O116" s="43">
        <v>0</v>
      </c>
      <c r="P116" s="43">
        <v>61153</v>
      </c>
      <c r="Q116" s="43">
        <v>0</v>
      </c>
      <c r="R116" s="43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0</v>
      </c>
      <c r="Y116" s="43">
        <v>0</v>
      </c>
      <c r="Z116" s="43">
        <v>0</v>
      </c>
      <c r="AA116" s="43">
        <v>0</v>
      </c>
      <c r="AB116" s="43">
        <v>0</v>
      </c>
      <c r="AC116" s="43">
        <v>0</v>
      </c>
      <c r="AD116" s="43">
        <v>0</v>
      </c>
      <c r="AE116" s="43">
        <v>0</v>
      </c>
      <c r="AF116" s="43">
        <v>0</v>
      </c>
      <c r="AG116" s="43"/>
      <c r="AH116" s="43">
        <f t="shared" si="2"/>
        <v>85926</v>
      </c>
      <c r="AI116" s="47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4"/>
    </row>
    <row r="117" spans="1:66" x14ac:dyDescent="0.2">
      <c r="A117" s="4">
        <v>181</v>
      </c>
      <c r="B117" s="3" t="s">
        <v>155</v>
      </c>
      <c r="D117" s="3" t="s">
        <v>156</v>
      </c>
      <c r="F117" s="43">
        <v>0</v>
      </c>
      <c r="G117" s="43">
        <v>0</v>
      </c>
      <c r="H117" s="43">
        <v>116194</v>
      </c>
      <c r="I117" s="43">
        <v>0</v>
      </c>
      <c r="J117" s="43">
        <v>55970</v>
      </c>
      <c r="K117" s="43">
        <v>0</v>
      </c>
      <c r="L117" s="43">
        <v>0</v>
      </c>
      <c r="M117" s="43">
        <v>0</v>
      </c>
      <c r="N117" s="43">
        <v>59476</v>
      </c>
      <c r="O117" s="43">
        <v>0</v>
      </c>
      <c r="P117" s="43">
        <v>234444</v>
      </c>
      <c r="Q117" s="43">
        <v>0</v>
      </c>
      <c r="R117" s="43">
        <v>0</v>
      </c>
      <c r="S117" s="43">
        <v>0</v>
      </c>
      <c r="T117" s="43">
        <v>0</v>
      </c>
      <c r="U117" s="43">
        <v>0</v>
      </c>
      <c r="V117" s="43">
        <v>5185</v>
      </c>
      <c r="W117" s="43">
        <v>0</v>
      </c>
      <c r="X117" s="43">
        <v>0</v>
      </c>
      <c r="Y117" s="43">
        <v>0</v>
      </c>
      <c r="Z117" s="43">
        <v>0</v>
      </c>
      <c r="AA117" s="43">
        <v>0</v>
      </c>
      <c r="AB117" s="43">
        <v>0</v>
      </c>
      <c r="AC117" s="43">
        <v>0</v>
      </c>
      <c r="AD117" s="43">
        <v>0</v>
      </c>
      <c r="AE117" s="43">
        <v>0</v>
      </c>
      <c r="AF117" s="43">
        <v>0</v>
      </c>
      <c r="AG117" s="43"/>
      <c r="AH117" s="43">
        <f t="shared" si="2"/>
        <v>471269</v>
      </c>
      <c r="AI117" s="47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4"/>
    </row>
    <row r="118" spans="1:66" hidden="1" x14ac:dyDescent="0.2">
      <c r="A118" s="4">
        <v>13</v>
      </c>
      <c r="B118" s="4" t="s">
        <v>303</v>
      </c>
      <c r="C118" s="35"/>
      <c r="D118" s="35" t="s">
        <v>462</v>
      </c>
      <c r="E118" s="35"/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  <c r="X118" s="43">
        <v>0</v>
      </c>
      <c r="Y118" s="43">
        <v>0</v>
      </c>
      <c r="Z118" s="43">
        <v>0</v>
      </c>
      <c r="AA118" s="43">
        <v>0</v>
      </c>
      <c r="AB118" s="43">
        <v>0</v>
      </c>
      <c r="AC118" s="43">
        <v>0</v>
      </c>
      <c r="AD118" s="43">
        <v>0</v>
      </c>
      <c r="AE118" s="43">
        <v>0</v>
      </c>
      <c r="AF118" s="43">
        <v>0</v>
      </c>
      <c r="AG118" s="43"/>
      <c r="AH118" s="43">
        <f t="shared" si="2"/>
        <v>0</v>
      </c>
      <c r="AI118" s="47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4"/>
    </row>
    <row r="119" spans="1:66" hidden="1" x14ac:dyDescent="0.2">
      <c r="A119" s="4">
        <v>239</v>
      </c>
      <c r="B119" s="3" t="s">
        <v>157</v>
      </c>
      <c r="D119" s="3" t="s">
        <v>158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0</v>
      </c>
      <c r="U119" s="43">
        <v>0</v>
      </c>
      <c r="V119" s="43">
        <v>0</v>
      </c>
      <c r="W119" s="43">
        <v>0</v>
      </c>
      <c r="X119" s="43">
        <v>0</v>
      </c>
      <c r="Y119" s="43">
        <v>0</v>
      </c>
      <c r="Z119" s="43">
        <v>0</v>
      </c>
      <c r="AA119" s="43">
        <v>0</v>
      </c>
      <c r="AB119" s="43">
        <v>0</v>
      </c>
      <c r="AC119" s="43">
        <v>0</v>
      </c>
      <c r="AD119" s="43">
        <v>0</v>
      </c>
      <c r="AE119" s="43">
        <v>0</v>
      </c>
      <c r="AF119" s="43">
        <v>0</v>
      </c>
      <c r="AG119" s="43"/>
      <c r="AH119" s="43">
        <f t="shared" si="2"/>
        <v>0</v>
      </c>
    </row>
    <row r="120" spans="1:66" hidden="1" x14ac:dyDescent="0.2">
      <c r="A120" s="4">
        <v>144</v>
      </c>
      <c r="B120" s="3" t="s">
        <v>34</v>
      </c>
      <c r="D120" s="3" t="s">
        <v>55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0</v>
      </c>
      <c r="AC120" s="43">
        <v>0</v>
      </c>
      <c r="AD120" s="43">
        <v>0</v>
      </c>
      <c r="AE120" s="43">
        <v>0</v>
      </c>
      <c r="AF120" s="43">
        <v>0</v>
      </c>
      <c r="AG120" s="43"/>
      <c r="AH120" s="43">
        <f t="shared" si="2"/>
        <v>0</v>
      </c>
    </row>
    <row r="121" spans="1:66" x14ac:dyDescent="0.2">
      <c r="A121" s="4">
        <v>107</v>
      </c>
      <c r="B121" s="3" t="s">
        <v>159</v>
      </c>
      <c r="D121" s="3" t="s">
        <v>56</v>
      </c>
      <c r="F121" s="43">
        <v>0</v>
      </c>
      <c r="G121" s="43">
        <v>0</v>
      </c>
      <c r="H121" s="43">
        <v>1145647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40552</v>
      </c>
      <c r="W121" s="43">
        <v>0</v>
      </c>
      <c r="X121" s="43">
        <v>0</v>
      </c>
      <c r="Y121" s="43">
        <v>0</v>
      </c>
      <c r="Z121" s="43">
        <v>0</v>
      </c>
      <c r="AA121" s="43">
        <v>0</v>
      </c>
      <c r="AB121" s="43">
        <v>0</v>
      </c>
      <c r="AC121" s="43">
        <v>0</v>
      </c>
      <c r="AD121" s="43">
        <v>0</v>
      </c>
      <c r="AE121" s="43">
        <v>0</v>
      </c>
      <c r="AF121" s="43">
        <v>0</v>
      </c>
      <c r="AG121" s="43"/>
      <c r="AH121" s="43">
        <f t="shared" ref="AH121:AH153" si="3">SUM(F121:AF121)</f>
        <v>1186199</v>
      </c>
    </row>
    <row r="122" spans="1:66" x14ac:dyDescent="0.2">
      <c r="A122" s="4">
        <v>103</v>
      </c>
      <c r="B122" s="3" t="s">
        <v>160</v>
      </c>
      <c r="D122" s="3" t="s">
        <v>58</v>
      </c>
      <c r="F122" s="43">
        <v>0</v>
      </c>
      <c r="G122" s="43">
        <v>0</v>
      </c>
      <c r="H122" s="43">
        <v>102830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3">
        <v>0</v>
      </c>
      <c r="X122" s="43">
        <v>0</v>
      </c>
      <c r="Y122" s="43">
        <v>0</v>
      </c>
      <c r="Z122" s="43">
        <v>0</v>
      </c>
      <c r="AA122" s="43">
        <v>0</v>
      </c>
      <c r="AB122" s="43">
        <v>0</v>
      </c>
      <c r="AC122" s="43">
        <v>0</v>
      </c>
      <c r="AD122" s="43">
        <v>0</v>
      </c>
      <c r="AE122" s="43">
        <v>0</v>
      </c>
      <c r="AF122" s="43">
        <v>0</v>
      </c>
      <c r="AG122" s="43"/>
      <c r="AH122" s="43">
        <f t="shared" si="3"/>
        <v>102830</v>
      </c>
    </row>
    <row r="123" spans="1:66" hidden="1" x14ac:dyDescent="0.2">
      <c r="A123" s="4">
        <v>109</v>
      </c>
      <c r="B123" s="3" t="s">
        <v>585</v>
      </c>
      <c r="D123" s="3" t="s">
        <v>161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43">
        <v>0</v>
      </c>
      <c r="AB123" s="43">
        <v>0</v>
      </c>
      <c r="AC123" s="43">
        <v>0</v>
      </c>
      <c r="AD123" s="43">
        <v>0</v>
      </c>
      <c r="AE123" s="43">
        <v>0</v>
      </c>
      <c r="AF123" s="43">
        <v>0</v>
      </c>
      <c r="AG123" s="43"/>
      <c r="AH123" s="43">
        <f t="shared" si="3"/>
        <v>0</v>
      </c>
    </row>
    <row r="124" spans="1:66" hidden="1" x14ac:dyDescent="0.2">
      <c r="A124" s="4">
        <v>133</v>
      </c>
      <c r="B124" s="3" t="s">
        <v>304</v>
      </c>
      <c r="D124" s="3" t="s">
        <v>39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3">
        <v>0</v>
      </c>
      <c r="Z124" s="43">
        <v>0</v>
      </c>
      <c r="AA124" s="43">
        <v>0</v>
      </c>
      <c r="AB124" s="43">
        <v>0</v>
      </c>
      <c r="AC124" s="43">
        <v>0</v>
      </c>
      <c r="AD124" s="43">
        <v>0</v>
      </c>
      <c r="AE124" s="43">
        <v>0</v>
      </c>
      <c r="AF124" s="43">
        <v>0</v>
      </c>
      <c r="AG124" s="43"/>
      <c r="AH124" s="43">
        <f t="shared" si="3"/>
        <v>0</v>
      </c>
      <c r="AI124" s="47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4"/>
    </row>
    <row r="125" spans="1:66" hidden="1" x14ac:dyDescent="0.2">
      <c r="A125" s="4">
        <v>225</v>
      </c>
      <c r="B125" s="3" t="s">
        <v>162</v>
      </c>
      <c r="D125" s="3" t="s">
        <v>54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3">
        <v>0</v>
      </c>
      <c r="Z125" s="43">
        <v>0</v>
      </c>
      <c r="AA125" s="43">
        <v>0</v>
      </c>
      <c r="AB125" s="43">
        <v>0</v>
      </c>
      <c r="AC125" s="43">
        <v>0</v>
      </c>
      <c r="AD125" s="43">
        <v>0</v>
      </c>
      <c r="AE125" s="43">
        <v>0</v>
      </c>
      <c r="AF125" s="43">
        <v>0</v>
      </c>
      <c r="AG125" s="43"/>
      <c r="AH125" s="43">
        <f t="shared" si="3"/>
        <v>0</v>
      </c>
    </row>
    <row r="126" spans="1:66" x14ac:dyDescent="0.2">
      <c r="A126" s="4">
        <v>218</v>
      </c>
      <c r="B126" s="3" t="s">
        <v>333</v>
      </c>
      <c r="D126" s="3" t="s">
        <v>20</v>
      </c>
      <c r="F126" s="43">
        <v>0</v>
      </c>
      <c r="G126" s="43">
        <v>0</v>
      </c>
      <c r="H126" s="43">
        <v>1265563</v>
      </c>
      <c r="I126" s="43">
        <v>0</v>
      </c>
      <c r="J126" s="43">
        <v>460592</v>
      </c>
      <c r="K126" s="43">
        <v>0</v>
      </c>
      <c r="L126" s="43">
        <v>283716</v>
      </c>
      <c r="M126" s="43">
        <v>0</v>
      </c>
      <c r="N126" s="43">
        <v>381875</v>
      </c>
      <c r="O126" s="43">
        <v>0</v>
      </c>
      <c r="P126" s="43">
        <v>128758</v>
      </c>
      <c r="Q126" s="43">
        <v>0</v>
      </c>
      <c r="R126" s="43">
        <v>0</v>
      </c>
      <c r="S126" s="43">
        <v>0</v>
      </c>
      <c r="T126" s="43">
        <v>0</v>
      </c>
      <c r="U126" s="43">
        <v>0</v>
      </c>
      <c r="V126" s="43">
        <v>10163</v>
      </c>
      <c r="W126" s="43">
        <v>0</v>
      </c>
      <c r="X126" s="43">
        <v>0</v>
      </c>
      <c r="Y126" s="43">
        <v>0</v>
      </c>
      <c r="Z126" s="43">
        <v>0</v>
      </c>
      <c r="AA126" s="43">
        <v>0</v>
      </c>
      <c r="AB126" s="43">
        <v>90000</v>
      </c>
      <c r="AC126" s="43">
        <v>0</v>
      </c>
      <c r="AD126" s="43">
        <v>0</v>
      </c>
      <c r="AE126" s="43">
        <v>0</v>
      </c>
      <c r="AF126" s="43">
        <v>0</v>
      </c>
      <c r="AG126" s="43"/>
      <c r="AH126" s="43">
        <f t="shared" si="3"/>
        <v>2620667</v>
      </c>
      <c r="AI126" s="47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4"/>
    </row>
    <row r="127" spans="1:66" hidden="1" x14ac:dyDescent="0.2">
      <c r="A127" s="4">
        <v>66</v>
      </c>
      <c r="B127" s="3" t="s">
        <v>164</v>
      </c>
      <c r="D127" s="3" t="s">
        <v>165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  <c r="Z127" s="43">
        <v>0</v>
      </c>
      <c r="AA127" s="43">
        <v>0</v>
      </c>
      <c r="AB127" s="43">
        <v>0</v>
      </c>
      <c r="AC127" s="43">
        <v>0</v>
      </c>
      <c r="AD127" s="43">
        <v>0</v>
      </c>
      <c r="AE127" s="43">
        <v>0</v>
      </c>
      <c r="AF127" s="43">
        <v>0</v>
      </c>
      <c r="AG127" s="43"/>
      <c r="AH127" s="43">
        <f t="shared" si="3"/>
        <v>0</v>
      </c>
      <c r="AI127" s="47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4"/>
    </row>
    <row r="128" spans="1:66" hidden="1" x14ac:dyDescent="0.2">
      <c r="A128" s="4">
        <v>148</v>
      </c>
      <c r="B128" s="3" t="s">
        <v>35</v>
      </c>
      <c r="D128" s="3" t="s">
        <v>10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0</v>
      </c>
      <c r="X128" s="43">
        <v>0</v>
      </c>
      <c r="Y128" s="43">
        <v>0</v>
      </c>
      <c r="Z128" s="43">
        <v>0</v>
      </c>
      <c r="AA128" s="43">
        <v>0</v>
      </c>
      <c r="AB128" s="43">
        <v>0</v>
      </c>
      <c r="AC128" s="43">
        <v>0</v>
      </c>
      <c r="AD128" s="43">
        <v>0</v>
      </c>
      <c r="AE128" s="43">
        <v>0</v>
      </c>
      <c r="AF128" s="43">
        <v>0</v>
      </c>
      <c r="AG128" s="43"/>
      <c r="AH128" s="43">
        <f t="shared" si="3"/>
        <v>0</v>
      </c>
    </row>
    <row r="129" spans="1:66" x14ac:dyDescent="0.2">
      <c r="A129" s="4">
        <v>182</v>
      </c>
      <c r="B129" s="3" t="s">
        <v>166</v>
      </c>
      <c r="D129" s="3" t="s">
        <v>156</v>
      </c>
      <c r="F129" s="43">
        <v>0</v>
      </c>
      <c r="G129" s="43">
        <v>0</v>
      </c>
      <c r="H129" s="43">
        <v>26313</v>
      </c>
      <c r="I129" s="43">
        <v>0</v>
      </c>
      <c r="J129" s="43">
        <v>217183</v>
      </c>
      <c r="K129" s="43">
        <v>0</v>
      </c>
      <c r="L129" s="43">
        <v>2365</v>
      </c>
      <c r="M129" s="43">
        <v>0</v>
      </c>
      <c r="N129" s="43">
        <v>108724</v>
      </c>
      <c r="O129" s="43">
        <v>0</v>
      </c>
      <c r="P129" s="43">
        <v>589275</v>
      </c>
      <c r="Q129" s="43">
        <v>0</v>
      </c>
      <c r="R129" s="43">
        <v>0</v>
      </c>
      <c r="S129" s="43">
        <v>0</v>
      </c>
      <c r="T129" s="43">
        <v>0</v>
      </c>
      <c r="U129" s="43">
        <v>0</v>
      </c>
      <c r="V129" s="43">
        <v>118296</v>
      </c>
      <c r="W129" s="43">
        <v>0</v>
      </c>
      <c r="X129" s="43">
        <v>0</v>
      </c>
      <c r="Y129" s="43">
        <v>0</v>
      </c>
      <c r="Z129" s="43">
        <v>0</v>
      </c>
      <c r="AA129" s="43">
        <v>0</v>
      </c>
      <c r="AB129" s="43">
        <v>0</v>
      </c>
      <c r="AC129" s="43">
        <v>0</v>
      </c>
      <c r="AD129" s="43">
        <v>0</v>
      </c>
      <c r="AE129" s="43">
        <v>0</v>
      </c>
      <c r="AF129" s="43">
        <v>0</v>
      </c>
      <c r="AG129" s="43"/>
      <c r="AH129" s="43">
        <f t="shared" si="3"/>
        <v>1062156</v>
      </c>
      <c r="AI129" s="47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4"/>
    </row>
    <row r="130" spans="1:66" hidden="1" x14ac:dyDescent="0.2">
      <c r="A130" s="4">
        <v>164</v>
      </c>
      <c r="B130" s="35" t="s">
        <v>335</v>
      </c>
      <c r="C130" s="35"/>
      <c r="D130" s="35" t="s">
        <v>485</v>
      </c>
      <c r="E130" s="35"/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3">
        <v>0</v>
      </c>
      <c r="Z130" s="43">
        <v>0</v>
      </c>
      <c r="AA130" s="43">
        <v>0</v>
      </c>
      <c r="AB130" s="43">
        <v>0</v>
      </c>
      <c r="AC130" s="43">
        <v>0</v>
      </c>
      <c r="AD130" s="43">
        <v>0</v>
      </c>
      <c r="AE130" s="43">
        <v>0</v>
      </c>
      <c r="AF130" s="43">
        <v>0</v>
      </c>
      <c r="AG130" s="43"/>
      <c r="AH130" s="43">
        <f t="shared" si="3"/>
        <v>0</v>
      </c>
    </row>
    <row r="131" spans="1:66" hidden="1" x14ac:dyDescent="0.2">
      <c r="A131" s="4">
        <v>115</v>
      </c>
      <c r="B131" s="3" t="s">
        <v>167</v>
      </c>
      <c r="D131" s="3" t="s">
        <v>168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43">
        <v>0</v>
      </c>
      <c r="Y131" s="43">
        <v>0</v>
      </c>
      <c r="Z131" s="43">
        <v>0</v>
      </c>
      <c r="AA131" s="43">
        <v>0</v>
      </c>
      <c r="AB131" s="43">
        <v>0</v>
      </c>
      <c r="AC131" s="43">
        <v>0</v>
      </c>
      <c r="AD131" s="43">
        <v>0</v>
      </c>
      <c r="AE131" s="43">
        <v>0</v>
      </c>
      <c r="AF131" s="43">
        <v>0</v>
      </c>
      <c r="AG131" s="43"/>
      <c r="AH131" s="43">
        <f t="shared" si="3"/>
        <v>0</v>
      </c>
    </row>
    <row r="132" spans="1:66" hidden="1" x14ac:dyDescent="0.2">
      <c r="A132" s="4">
        <v>173</v>
      </c>
      <c r="B132" s="3" t="s">
        <v>334</v>
      </c>
      <c r="D132" s="3" t="s">
        <v>57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0</v>
      </c>
      <c r="S132" s="43">
        <v>0</v>
      </c>
      <c r="T132" s="43">
        <v>0</v>
      </c>
      <c r="U132" s="43">
        <v>0</v>
      </c>
      <c r="V132" s="43">
        <v>0</v>
      </c>
      <c r="W132" s="43">
        <v>0</v>
      </c>
      <c r="X132" s="43">
        <v>0</v>
      </c>
      <c r="Y132" s="43">
        <v>0</v>
      </c>
      <c r="Z132" s="43">
        <v>0</v>
      </c>
      <c r="AA132" s="43">
        <v>0</v>
      </c>
      <c r="AB132" s="43">
        <v>0</v>
      </c>
      <c r="AC132" s="43">
        <v>0</v>
      </c>
      <c r="AD132" s="43">
        <v>0</v>
      </c>
      <c r="AE132" s="43">
        <v>0</v>
      </c>
      <c r="AF132" s="43">
        <v>0</v>
      </c>
      <c r="AG132" s="43"/>
      <c r="AH132" s="43">
        <f t="shared" si="3"/>
        <v>0</v>
      </c>
    </row>
    <row r="133" spans="1:66" x14ac:dyDescent="0.2">
      <c r="A133" s="4">
        <v>205</v>
      </c>
      <c r="B133" s="3" t="s">
        <v>169</v>
      </c>
      <c r="D133" s="3" t="s">
        <v>43</v>
      </c>
      <c r="F133" s="43">
        <v>72078.66</v>
      </c>
      <c r="G133" s="43">
        <v>0</v>
      </c>
      <c r="H133" s="43">
        <f>430505.67+89678.99</f>
        <v>520184.66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15388.14</v>
      </c>
      <c r="S133" s="43">
        <v>0</v>
      </c>
      <c r="T133" s="43">
        <v>4491</v>
      </c>
      <c r="U133" s="43">
        <v>0</v>
      </c>
      <c r="V133" s="43">
        <v>2844.41</v>
      </c>
      <c r="W133" s="43">
        <v>0</v>
      </c>
      <c r="X133" s="43">
        <v>0</v>
      </c>
      <c r="Y133" s="43">
        <v>0</v>
      </c>
      <c r="Z133" s="43">
        <v>0</v>
      </c>
      <c r="AA133" s="43">
        <v>0</v>
      </c>
      <c r="AB133" s="43">
        <v>0</v>
      </c>
      <c r="AC133" s="43">
        <v>0</v>
      </c>
      <c r="AD133" s="43">
        <v>0</v>
      </c>
      <c r="AE133" s="43">
        <v>0</v>
      </c>
      <c r="AF133" s="43">
        <v>0</v>
      </c>
      <c r="AG133" s="43"/>
      <c r="AH133" s="43">
        <f t="shared" si="3"/>
        <v>614986.87</v>
      </c>
    </row>
    <row r="134" spans="1:66" hidden="1" x14ac:dyDescent="0.2">
      <c r="A134" s="4">
        <v>191</v>
      </c>
      <c r="B134" s="3" t="s">
        <v>170</v>
      </c>
      <c r="D134" s="3" t="s">
        <v>171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3">
        <v>0</v>
      </c>
      <c r="Z134" s="43">
        <v>0</v>
      </c>
      <c r="AA134" s="43">
        <v>0</v>
      </c>
      <c r="AB134" s="43">
        <v>0</v>
      </c>
      <c r="AC134" s="43">
        <v>0</v>
      </c>
      <c r="AD134" s="43">
        <v>0</v>
      </c>
      <c r="AE134" s="43">
        <v>0</v>
      </c>
      <c r="AF134" s="43">
        <v>0</v>
      </c>
      <c r="AG134" s="43"/>
      <c r="AH134" s="43">
        <f t="shared" si="3"/>
        <v>0</v>
      </c>
    </row>
    <row r="135" spans="1:66" hidden="1" x14ac:dyDescent="0.2">
      <c r="A135" s="4">
        <v>14</v>
      </c>
      <c r="B135" s="35" t="s">
        <v>172</v>
      </c>
      <c r="C135" s="35"/>
      <c r="D135" s="35" t="s">
        <v>462</v>
      </c>
      <c r="E135" s="35"/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/>
      <c r="AH135" s="43">
        <f t="shared" si="3"/>
        <v>0</v>
      </c>
    </row>
    <row r="136" spans="1:66" hidden="1" x14ac:dyDescent="0.2">
      <c r="A136" s="4">
        <v>226</v>
      </c>
      <c r="B136" s="3" t="s">
        <v>173</v>
      </c>
      <c r="D136" s="3" t="s">
        <v>54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0</v>
      </c>
      <c r="AB136" s="43">
        <v>0</v>
      </c>
      <c r="AC136" s="43">
        <v>0</v>
      </c>
      <c r="AD136" s="43">
        <v>0</v>
      </c>
      <c r="AE136" s="43">
        <v>0</v>
      </c>
      <c r="AF136" s="43">
        <v>0</v>
      </c>
      <c r="AG136" s="43"/>
      <c r="AH136" s="43">
        <f t="shared" si="3"/>
        <v>0</v>
      </c>
      <c r="AK136" s="4"/>
    </row>
    <row r="137" spans="1:66" hidden="1" x14ac:dyDescent="0.2">
      <c r="A137" s="4">
        <v>124</v>
      </c>
      <c r="B137" s="3" t="s">
        <v>174</v>
      </c>
      <c r="D137" s="3" t="s">
        <v>13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  <c r="X137" s="43">
        <v>0</v>
      </c>
      <c r="Y137" s="43">
        <v>0</v>
      </c>
      <c r="Z137" s="43">
        <v>0</v>
      </c>
      <c r="AA137" s="43">
        <v>0</v>
      </c>
      <c r="AB137" s="43">
        <v>0</v>
      </c>
      <c r="AC137" s="43">
        <v>0</v>
      </c>
      <c r="AD137" s="43">
        <v>0</v>
      </c>
      <c r="AE137" s="43">
        <v>0</v>
      </c>
      <c r="AF137" s="43">
        <v>0</v>
      </c>
      <c r="AG137" s="43"/>
      <c r="AH137" s="43">
        <f t="shared" si="3"/>
        <v>0</v>
      </c>
      <c r="AJ137" s="48"/>
      <c r="AK137" s="48"/>
      <c r="AL137" s="48"/>
      <c r="AM137" s="48"/>
    </row>
    <row r="138" spans="1:66" x14ac:dyDescent="0.2">
      <c r="A138" s="4">
        <v>54</v>
      </c>
      <c r="B138" s="12" t="s">
        <v>429</v>
      </c>
      <c r="C138" s="15"/>
      <c r="D138" s="15" t="s">
        <v>17</v>
      </c>
      <c r="E138" s="15"/>
      <c r="F138" s="43">
        <v>0</v>
      </c>
      <c r="G138" s="43">
        <v>0</v>
      </c>
      <c r="H138" s="43">
        <v>1282857</v>
      </c>
      <c r="I138" s="43">
        <v>0</v>
      </c>
      <c r="J138" s="43">
        <v>1316372</v>
      </c>
      <c r="K138" s="43">
        <v>0</v>
      </c>
      <c r="L138" s="43">
        <v>125635</v>
      </c>
      <c r="M138" s="43">
        <v>0</v>
      </c>
      <c r="N138" s="43">
        <v>613160</v>
      </c>
      <c r="O138" s="43">
        <v>0</v>
      </c>
      <c r="P138" s="43">
        <v>332048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80108</v>
      </c>
      <c r="W138" s="43">
        <v>0</v>
      </c>
      <c r="X138" s="43">
        <v>0</v>
      </c>
      <c r="Y138" s="43">
        <v>0</v>
      </c>
      <c r="Z138" s="43">
        <v>0</v>
      </c>
      <c r="AA138" s="43">
        <v>0</v>
      </c>
      <c r="AB138" s="43">
        <v>0</v>
      </c>
      <c r="AC138" s="43">
        <v>0</v>
      </c>
      <c r="AD138" s="43">
        <v>0</v>
      </c>
      <c r="AE138" s="43">
        <v>0</v>
      </c>
      <c r="AF138" s="43">
        <v>0</v>
      </c>
      <c r="AG138" s="43"/>
      <c r="AH138" s="43">
        <f t="shared" si="3"/>
        <v>3750180</v>
      </c>
    </row>
    <row r="139" spans="1:66" x14ac:dyDescent="0.2">
      <c r="A139" s="4">
        <v>25</v>
      </c>
      <c r="B139" s="3" t="s">
        <v>7</v>
      </c>
      <c r="D139" s="3" t="s">
        <v>8</v>
      </c>
      <c r="F139" s="43">
        <v>0</v>
      </c>
      <c r="G139" s="43">
        <v>0</v>
      </c>
      <c r="H139" s="43">
        <v>2191536</v>
      </c>
      <c r="I139" s="43">
        <v>0</v>
      </c>
      <c r="J139" s="43">
        <v>1719084</v>
      </c>
      <c r="K139" s="43">
        <v>0</v>
      </c>
      <c r="L139" s="43">
        <v>240037</v>
      </c>
      <c r="M139" s="43">
        <v>0</v>
      </c>
      <c r="N139" s="43">
        <v>607419</v>
      </c>
      <c r="O139" s="43">
        <v>0</v>
      </c>
      <c r="P139" s="43">
        <v>814867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290796</v>
      </c>
      <c r="W139" s="43">
        <v>0</v>
      </c>
      <c r="X139" s="43">
        <v>0</v>
      </c>
      <c r="Y139" s="43">
        <v>0</v>
      </c>
      <c r="Z139" s="43">
        <v>0</v>
      </c>
      <c r="AA139" s="43">
        <v>0</v>
      </c>
      <c r="AB139" s="43">
        <v>1200000</v>
      </c>
      <c r="AC139" s="43">
        <v>0</v>
      </c>
      <c r="AD139" s="43">
        <v>0</v>
      </c>
      <c r="AE139" s="43">
        <v>0</v>
      </c>
      <c r="AF139" s="43">
        <v>0</v>
      </c>
      <c r="AG139" s="43"/>
      <c r="AH139" s="43">
        <f t="shared" si="3"/>
        <v>7063739</v>
      </c>
      <c r="AI139" s="47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4"/>
    </row>
    <row r="140" spans="1:66" hidden="1" x14ac:dyDescent="0.2">
      <c r="A140" s="4">
        <v>241</v>
      </c>
      <c r="B140" s="3" t="s">
        <v>175</v>
      </c>
      <c r="D140" s="3" t="s">
        <v>52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  <c r="X140" s="43">
        <v>0</v>
      </c>
      <c r="Y140" s="43">
        <v>0</v>
      </c>
      <c r="Z140" s="43">
        <v>0</v>
      </c>
      <c r="AA140" s="43">
        <v>0</v>
      </c>
      <c r="AB140" s="43">
        <v>0</v>
      </c>
      <c r="AC140" s="43">
        <v>0</v>
      </c>
      <c r="AD140" s="43">
        <v>0</v>
      </c>
      <c r="AE140" s="43">
        <v>0</v>
      </c>
      <c r="AF140" s="43">
        <v>0</v>
      </c>
      <c r="AG140" s="43"/>
      <c r="AH140" s="43">
        <f t="shared" si="3"/>
        <v>0</v>
      </c>
      <c r="AI140" s="47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4"/>
    </row>
    <row r="141" spans="1:66" hidden="1" x14ac:dyDescent="0.2">
      <c r="A141" s="4">
        <v>41</v>
      </c>
      <c r="B141" s="35" t="s">
        <v>305</v>
      </c>
      <c r="C141" s="35"/>
      <c r="D141" s="35" t="s">
        <v>472</v>
      </c>
      <c r="E141" s="35"/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43">
        <v>0</v>
      </c>
      <c r="Y141" s="43">
        <v>0</v>
      </c>
      <c r="Z141" s="43">
        <v>0</v>
      </c>
      <c r="AA141" s="43">
        <v>0</v>
      </c>
      <c r="AB141" s="43">
        <v>0</v>
      </c>
      <c r="AC141" s="43">
        <v>0</v>
      </c>
      <c r="AD141" s="43">
        <v>0</v>
      </c>
      <c r="AE141" s="43">
        <v>0</v>
      </c>
      <c r="AF141" s="43">
        <v>0</v>
      </c>
      <c r="AG141" s="43"/>
      <c r="AH141" s="43">
        <f t="shared" si="3"/>
        <v>0</v>
      </c>
    </row>
    <row r="142" spans="1:66" s="4" customFormat="1" hidden="1" x14ac:dyDescent="0.2">
      <c r="A142" s="4">
        <v>42</v>
      </c>
      <c r="B142" s="3" t="s">
        <v>176</v>
      </c>
      <c r="C142" s="3"/>
      <c r="D142" s="3" t="s">
        <v>49</v>
      </c>
      <c r="E142" s="3"/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3">
        <v>0</v>
      </c>
      <c r="Z142" s="43">
        <v>0</v>
      </c>
      <c r="AA142" s="43">
        <v>0</v>
      </c>
      <c r="AB142" s="43">
        <v>0</v>
      </c>
      <c r="AC142" s="43">
        <v>0</v>
      </c>
      <c r="AD142" s="43">
        <v>0</v>
      </c>
      <c r="AE142" s="43">
        <v>0</v>
      </c>
      <c r="AF142" s="43">
        <v>0</v>
      </c>
      <c r="AG142" s="43"/>
      <c r="AH142" s="43">
        <f t="shared" si="3"/>
        <v>0</v>
      </c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s="4" customFormat="1" hidden="1" x14ac:dyDescent="0.2">
      <c r="A143" s="4">
        <v>104</v>
      </c>
      <c r="B143" s="3" t="s">
        <v>177</v>
      </c>
      <c r="C143" s="3"/>
      <c r="D143" s="3" t="s">
        <v>58</v>
      </c>
      <c r="E143" s="3"/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3">
        <v>0</v>
      </c>
      <c r="Z143" s="43">
        <v>0</v>
      </c>
      <c r="AA143" s="43">
        <v>0</v>
      </c>
      <c r="AB143" s="43">
        <v>0</v>
      </c>
      <c r="AC143" s="43">
        <v>0</v>
      </c>
      <c r="AD143" s="43">
        <v>0</v>
      </c>
      <c r="AE143" s="43">
        <v>0</v>
      </c>
      <c r="AF143" s="43">
        <v>0</v>
      </c>
      <c r="AG143" s="43"/>
      <c r="AH143" s="43">
        <f t="shared" si="3"/>
        <v>0</v>
      </c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s="4" customFormat="1" x14ac:dyDescent="0.2">
      <c r="A144" s="4">
        <v>134</v>
      </c>
      <c r="B144" s="3" t="s">
        <v>558</v>
      </c>
      <c r="C144" s="3"/>
      <c r="D144" s="3" t="s">
        <v>39</v>
      </c>
      <c r="E144" s="3"/>
      <c r="F144" s="43">
        <v>0</v>
      </c>
      <c r="G144" s="43">
        <v>0</v>
      </c>
      <c r="H144" s="43">
        <v>1855008</v>
      </c>
      <c r="I144" s="43">
        <v>0</v>
      </c>
      <c r="J144" s="43">
        <v>866595</v>
      </c>
      <c r="K144" s="43">
        <v>0</v>
      </c>
      <c r="L144" s="43">
        <v>100673</v>
      </c>
      <c r="M144" s="43">
        <v>0</v>
      </c>
      <c r="N144" s="43">
        <v>398727</v>
      </c>
      <c r="O144" s="43">
        <v>0</v>
      </c>
      <c r="P144" s="43">
        <v>463890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128267</v>
      </c>
      <c r="W144" s="43">
        <v>0</v>
      </c>
      <c r="X144" s="43">
        <v>0</v>
      </c>
      <c r="Y144" s="43">
        <v>0</v>
      </c>
      <c r="Z144" s="43">
        <v>0</v>
      </c>
      <c r="AA144" s="43">
        <v>0</v>
      </c>
      <c r="AB144" s="43">
        <v>650000</v>
      </c>
      <c r="AC144" s="43">
        <v>0</v>
      </c>
      <c r="AD144" s="43">
        <v>0</v>
      </c>
      <c r="AE144" s="43">
        <v>0</v>
      </c>
      <c r="AF144" s="43">
        <v>0</v>
      </c>
      <c r="AG144" s="43"/>
      <c r="AH144" s="43">
        <f t="shared" si="3"/>
        <v>4463160</v>
      </c>
      <c r="AI144" s="47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</row>
    <row r="145" spans="1:66" s="4" customFormat="1" x14ac:dyDescent="0.2">
      <c r="A145" s="4">
        <v>5</v>
      </c>
      <c r="B145" s="3" t="s">
        <v>178</v>
      </c>
      <c r="C145" s="3"/>
      <c r="D145" s="3" t="s">
        <v>95</v>
      </c>
      <c r="E145" s="3"/>
      <c r="F145" s="43">
        <v>0</v>
      </c>
      <c r="G145" s="43">
        <v>0</v>
      </c>
      <c r="H145" s="43">
        <v>1622220</v>
      </c>
      <c r="I145" s="43">
        <v>0</v>
      </c>
      <c r="J145" s="43">
        <v>208954</v>
      </c>
      <c r="K145" s="43">
        <v>0</v>
      </c>
      <c r="L145" s="43">
        <v>14516</v>
      </c>
      <c r="M145" s="43">
        <v>0</v>
      </c>
      <c r="N145" s="43">
        <v>148113</v>
      </c>
      <c r="O145" s="43">
        <v>0</v>
      </c>
      <c r="P145" s="43">
        <v>8789</v>
      </c>
      <c r="Q145" s="43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21951</v>
      </c>
      <c r="W145" s="43">
        <v>0</v>
      </c>
      <c r="X145" s="43">
        <v>0</v>
      </c>
      <c r="Y145" s="43">
        <v>0</v>
      </c>
      <c r="Z145" s="43">
        <v>0</v>
      </c>
      <c r="AA145" s="43">
        <v>0</v>
      </c>
      <c r="AB145" s="43">
        <v>205800</v>
      </c>
      <c r="AC145" s="43">
        <v>0</v>
      </c>
      <c r="AD145" s="43">
        <v>0</v>
      </c>
      <c r="AE145" s="43">
        <v>0</v>
      </c>
      <c r="AF145" s="43">
        <v>0</v>
      </c>
      <c r="AG145" s="43"/>
      <c r="AH145" s="43">
        <f t="shared" si="3"/>
        <v>2230343</v>
      </c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s="4" customFormat="1" x14ac:dyDescent="0.2">
      <c r="A146" s="4" t="s">
        <v>641</v>
      </c>
      <c r="B146" s="3" t="s">
        <v>642</v>
      </c>
      <c r="C146" s="3"/>
      <c r="D146" s="3" t="s">
        <v>95</v>
      </c>
      <c r="E146" s="3"/>
      <c r="F146" s="43">
        <v>0</v>
      </c>
      <c r="G146" s="43">
        <v>0</v>
      </c>
      <c r="H146" s="43">
        <v>3492.23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221672.89</v>
      </c>
      <c r="O146" s="43">
        <v>0</v>
      </c>
      <c r="P146" s="43">
        <v>36934.94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  <c r="X146" s="43">
        <v>0</v>
      </c>
      <c r="Y146" s="43">
        <v>0</v>
      </c>
      <c r="Z146" s="43">
        <v>0</v>
      </c>
      <c r="AA146" s="43">
        <v>0</v>
      </c>
      <c r="AB146" s="43">
        <v>0</v>
      </c>
      <c r="AC146" s="43">
        <v>0</v>
      </c>
      <c r="AD146" s="43">
        <v>0</v>
      </c>
      <c r="AE146" s="43">
        <v>0</v>
      </c>
      <c r="AF146" s="43">
        <v>0</v>
      </c>
      <c r="AG146" s="43"/>
      <c r="AH146" s="43">
        <f t="shared" ref="AH146" si="4">SUM(F146:AF146)</f>
        <v>262100.06000000003</v>
      </c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s="4" customFormat="1" x14ac:dyDescent="0.2">
      <c r="A147" s="4">
        <v>139</v>
      </c>
      <c r="B147" s="3" t="s">
        <v>643</v>
      </c>
      <c r="C147" s="3"/>
      <c r="D147" s="3" t="s">
        <v>85</v>
      </c>
      <c r="E147" s="3"/>
      <c r="F147" s="43">
        <v>0</v>
      </c>
      <c r="G147" s="43">
        <v>0</v>
      </c>
      <c r="H147" s="43">
        <v>5061</v>
      </c>
      <c r="I147" s="43">
        <v>0</v>
      </c>
      <c r="J147" s="43">
        <v>0</v>
      </c>
      <c r="K147" s="43">
        <v>0</v>
      </c>
      <c r="L147" s="43">
        <v>146188</v>
      </c>
      <c r="M147" s="43">
        <v>0</v>
      </c>
      <c r="N147" s="43">
        <v>156698</v>
      </c>
      <c r="O147" s="43">
        <v>0</v>
      </c>
      <c r="P147" s="43">
        <v>901570</v>
      </c>
      <c r="Q147" s="43">
        <v>0</v>
      </c>
      <c r="R147" s="43">
        <v>0</v>
      </c>
      <c r="S147" s="43">
        <v>0</v>
      </c>
      <c r="T147" s="43">
        <v>23123</v>
      </c>
      <c r="U147" s="43">
        <v>0</v>
      </c>
      <c r="V147" s="43">
        <v>26818</v>
      </c>
      <c r="W147" s="43">
        <v>0</v>
      </c>
      <c r="X147" s="43">
        <v>0</v>
      </c>
      <c r="Y147" s="43">
        <v>0</v>
      </c>
      <c r="Z147" s="43">
        <v>0</v>
      </c>
      <c r="AA147" s="43">
        <v>0</v>
      </c>
      <c r="AB147" s="43">
        <v>0</v>
      </c>
      <c r="AC147" s="43">
        <v>0</v>
      </c>
      <c r="AD147" s="43">
        <v>0</v>
      </c>
      <c r="AE147" s="43">
        <v>0</v>
      </c>
      <c r="AF147" s="43">
        <v>0</v>
      </c>
      <c r="AG147" s="43"/>
      <c r="AH147" s="43">
        <f t="shared" si="3"/>
        <v>1259458</v>
      </c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s="4" customFormat="1" x14ac:dyDescent="0.2">
      <c r="A148" s="4">
        <v>108</v>
      </c>
      <c r="B148" s="3" t="s">
        <v>559</v>
      </c>
      <c r="C148" s="3"/>
      <c r="D148" s="3" t="s">
        <v>179</v>
      </c>
      <c r="E148" s="3"/>
      <c r="F148" s="43">
        <v>0</v>
      </c>
      <c r="G148" s="43">
        <v>0</v>
      </c>
      <c r="H148" s="43">
        <v>0</v>
      </c>
      <c r="I148" s="43">
        <v>0</v>
      </c>
      <c r="J148" s="43">
        <v>134735</v>
      </c>
      <c r="K148" s="43">
        <v>0</v>
      </c>
      <c r="L148" s="43">
        <v>11083</v>
      </c>
      <c r="M148" s="43">
        <v>0</v>
      </c>
      <c r="N148" s="43">
        <v>178611</v>
      </c>
      <c r="O148" s="43"/>
      <c r="P148" s="43">
        <v>465910</v>
      </c>
      <c r="Q148" s="43">
        <v>0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0</v>
      </c>
      <c r="X148" s="43">
        <v>0</v>
      </c>
      <c r="Y148" s="43">
        <v>0</v>
      </c>
      <c r="Z148" s="43">
        <v>0</v>
      </c>
      <c r="AA148" s="43">
        <v>0</v>
      </c>
      <c r="AB148" s="43">
        <v>0</v>
      </c>
      <c r="AC148" s="43">
        <v>0</v>
      </c>
      <c r="AD148" s="43">
        <v>0</v>
      </c>
      <c r="AE148" s="43">
        <v>0</v>
      </c>
      <c r="AF148" s="43">
        <v>0</v>
      </c>
      <c r="AG148" s="43"/>
      <c r="AH148" s="43">
        <f t="shared" si="3"/>
        <v>790339</v>
      </c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s="4" customFormat="1" x14ac:dyDescent="0.2">
      <c r="A149" s="4">
        <v>149</v>
      </c>
      <c r="B149" s="3" t="s">
        <v>9</v>
      </c>
      <c r="C149" s="3"/>
      <c r="D149" s="3" t="s">
        <v>10</v>
      </c>
      <c r="E149" s="3"/>
      <c r="F149" s="43">
        <v>0</v>
      </c>
      <c r="G149" s="43">
        <v>0</v>
      </c>
      <c r="H149" s="43">
        <v>285778</v>
      </c>
      <c r="I149" s="43">
        <v>0</v>
      </c>
      <c r="J149" s="43">
        <v>109979</v>
      </c>
      <c r="K149" s="43">
        <v>0</v>
      </c>
      <c r="L149" s="43">
        <v>31316</v>
      </c>
      <c r="M149" s="43">
        <v>0</v>
      </c>
      <c r="N149" s="43">
        <v>96002</v>
      </c>
      <c r="O149" s="43">
        <v>0</v>
      </c>
      <c r="P149" s="43">
        <v>213622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3">
        <v>0</v>
      </c>
      <c r="X149" s="43">
        <v>0</v>
      </c>
      <c r="Y149" s="43">
        <v>0</v>
      </c>
      <c r="Z149" s="43">
        <v>0</v>
      </c>
      <c r="AA149" s="43">
        <v>0</v>
      </c>
      <c r="AB149" s="43">
        <v>100000</v>
      </c>
      <c r="AC149" s="43">
        <v>0</v>
      </c>
      <c r="AD149" s="43">
        <v>0</v>
      </c>
      <c r="AE149" s="43">
        <v>0</v>
      </c>
      <c r="AF149" s="43">
        <v>0</v>
      </c>
      <c r="AG149" s="43"/>
      <c r="AH149" s="43">
        <f t="shared" si="3"/>
        <v>836697</v>
      </c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s="4" customFormat="1" x14ac:dyDescent="0.2">
      <c r="A150" s="4">
        <v>145</v>
      </c>
      <c r="B150" s="3" t="s">
        <v>180</v>
      </c>
      <c r="C150" s="3"/>
      <c r="D150" s="3" t="s">
        <v>55</v>
      </c>
      <c r="E150" s="3"/>
      <c r="F150" s="43">
        <v>0</v>
      </c>
      <c r="G150" s="43">
        <v>0</v>
      </c>
      <c r="H150" s="43">
        <v>2054153</v>
      </c>
      <c r="I150" s="43">
        <v>0</v>
      </c>
      <c r="J150" s="43">
        <v>206340</v>
      </c>
      <c r="K150" s="43">
        <v>0</v>
      </c>
      <c r="L150" s="43">
        <v>0</v>
      </c>
      <c r="M150" s="43">
        <v>0</v>
      </c>
      <c r="N150" s="43">
        <v>48011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46012</v>
      </c>
      <c r="W150" s="43">
        <v>0</v>
      </c>
      <c r="X150" s="43">
        <v>0</v>
      </c>
      <c r="Y150" s="43">
        <v>0</v>
      </c>
      <c r="Z150" s="43">
        <v>0</v>
      </c>
      <c r="AA150" s="43">
        <v>0</v>
      </c>
      <c r="AB150" s="43">
        <v>0</v>
      </c>
      <c r="AC150" s="43">
        <v>0</v>
      </c>
      <c r="AD150" s="43">
        <v>0</v>
      </c>
      <c r="AE150" s="43">
        <v>0</v>
      </c>
      <c r="AF150" s="43">
        <v>1376521</v>
      </c>
      <c r="AG150" s="43"/>
      <c r="AH150" s="43">
        <f t="shared" si="3"/>
        <v>3731037</v>
      </c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s="4" customFormat="1" x14ac:dyDescent="0.2">
      <c r="A151" s="4">
        <v>7</v>
      </c>
      <c r="B151" s="3" t="s">
        <v>181</v>
      </c>
      <c r="C151" s="3"/>
      <c r="D151" s="3" t="s">
        <v>81</v>
      </c>
      <c r="E151" s="3"/>
      <c r="F151" s="43">
        <v>0</v>
      </c>
      <c r="G151" s="43">
        <v>0</v>
      </c>
      <c r="H151" s="43">
        <v>190081</v>
      </c>
      <c r="I151" s="43">
        <v>0</v>
      </c>
      <c r="J151" s="43">
        <v>70602</v>
      </c>
      <c r="K151" s="43">
        <v>0</v>
      </c>
      <c r="L151" s="43">
        <v>46134</v>
      </c>
      <c r="M151" s="43">
        <v>0</v>
      </c>
      <c r="N151" s="43">
        <v>70308</v>
      </c>
      <c r="O151" s="43"/>
      <c r="P151" s="43">
        <v>152016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7017</v>
      </c>
      <c r="W151" s="43">
        <v>0</v>
      </c>
      <c r="X151" s="43">
        <v>0</v>
      </c>
      <c r="Y151" s="43">
        <v>0</v>
      </c>
      <c r="Z151" s="43">
        <v>0</v>
      </c>
      <c r="AA151" s="43">
        <v>0</v>
      </c>
      <c r="AB151" s="43">
        <v>0</v>
      </c>
      <c r="AC151" s="43">
        <v>0</v>
      </c>
      <c r="AD151" s="43">
        <v>0</v>
      </c>
      <c r="AE151" s="43">
        <v>0</v>
      </c>
      <c r="AF151" s="43">
        <v>0</v>
      </c>
      <c r="AG151" s="43"/>
      <c r="AH151" s="43">
        <f t="shared" si="3"/>
        <v>536158</v>
      </c>
      <c r="AI151" s="47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</row>
    <row r="152" spans="1:66" s="4" customFormat="1" hidden="1" x14ac:dyDescent="0.2">
      <c r="A152" s="4">
        <v>210</v>
      </c>
      <c r="B152" s="3" t="s">
        <v>306</v>
      </c>
      <c r="C152" s="3"/>
      <c r="D152" s="3" t="s">
        <v>23</v>
      </c>
      <c r="E152" s="3"/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3">
        <v>0</v>
      </c>
      <c r="Q152" s="43">
        <v>0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0</v>
      </c>
      <c r="X152" s="43">
        <v>0</v>
      </c>
      <c r="Y152" s="43">
        <v>0</v>
      </c>
      <c r="Z152" s="43">
        <v>0</v>
      </c>
      <c r="AA152" s="43">
        <v>0</v>
      </c>
      <c r="AB152" s="43">
        <v>0</v>
      </c>
      <c r="AC152" s="43">
        <v>0</v>
      </c>
      <c r="AD152" s="43">
        <v>0</v>
      </c>
      <c r="AE152" s="43">
        <v>0</v>
      </c>
      <c r="AF152" s="43">
        <v>0</v>
      </c>
      <c r="AG152" s="43"/>
      <c r="AH152" s="43">
        <f t="shared" si="3"/>
        <v>0</v>
      </c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x14ac:dyDescent="0.2">
      <c r="A153" s="4">
        <v>125</v>
      </c>
      <c r="B153" s="3" t="s">
        <v>182</v>
      </c>
      <c r="D153" s="3" t="s">
        <v>13</v>
      </c>
      <c r="F153" s="43">
        <v>0</v>
      </c>
      <c r="G153" s="43">
        <v>0</v>
      </c>
      <c r="H153" s="43">
        <v>453897</v>
      </c>
      <c r="I153" s="43">
        <v>0</v>
      </c>
      <c r="J153" s="43">
        <v>309781</v>
      </c>
      <c r="K153" s="43">
        <v>0</v>
      </c>
      <c r="L153" s="43">
        <v>5000</v>
      </c>
      <c r="M153" s="43">
        <v>0</v>
      </c>
      <c r="N153" s="43">
        <v>134488</v>
      </c>
      <c r="O153" s="43">
        <v>0</v>
      </c>
      <c r="P153" s="43">
        <v>282581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3">
        <v>0</v>
      </c>
      <c r="X153" s="43">
        <v>0</v>
      </c>
      <c r="Y153" s="43">
        <v>0</v>
      </c>
      <c r="Z153" s="43">
        <v>0</v>
      </c>
      <c r="AA153" s="43">
        <v>0</v>
      </c>
      <c r="AB153" s="43">
        <v>0</v>
      </c>
      <c r="AC153" s="43">
        <v>0</v>
      </c>
      <c r="AD153" s="43">
        <v>0</v>
      </c>
      <c r="AE153" s="43">
        <v>0</v>
      </c>
      <c r="AF153" s="43">
        <v>0</v>
      </c>
      <c r="AG153" s="43"/>
      <c r="AH153" s="43">
        <f t="shared" si="3"/>
        <v>1185747</v>
      </c>
      <c r="AI153" s="47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4"/>
    </row>
    <row r="154" spans="1:66" x14ac:dyDescent="0.2">
      <c r="A154" s="4">
        <v>197</v>
      </c>
      <c r="B154" s="3" t="s">
        <v>586</v>
      </c>
      <c r="D154" s="3" t="s">
        <v>183</v>
      </c>
      <c r="F154" s="43">
        <v>0</v>
      </c>
      <c r="G154" s="43">
        <v>0</v>
      </c>
      <c r="H154" s="43">
        <v>4059245</v>
      </c>
      <c r="I154" s="43">
        <v>0</v>
      </c>
      <c r="J154" s="43">
        <v>1435100</v>
      </c>
      <c r="K154" s="43">
        <v>0</v>
      </c>
      <c r="L154" s="43">
        <v>207708</v>
      </c>
      <c r="M154" s="43">
        <v>0</v>
      </c>
      <c r="N154" s="43">
        <v>754998</v>
      </c>
      <c r="O154" s="43">
        <v>0</v>
      </c>
      <c r="P154" s="43">
        <v>689979</v>
      </c>
      <c r="Q154" s="43">
        <v>0</v>
      </c>
      <c r="R154" s="43">
        <v>0</v>
      </c>
      <c r="S154" s="43">
        <v>0</v>
      </c>
      <c r="T154" s="43">
        <v>0</v>
      </c>
      <c r="U154" s="43">
        <v>0</v>
      </c>
      <c r="V154" s="43">
        <v>17153</v>
      </c>
      <c r="W154" s="43">
        <v>0</v>
      </c>
      <c r="X154" s="43">
        <v>0</v>
      </c>
      <c r="Y154" s="43">
        <v>0</v>
      </c>
      <c r="Z154" s="43">
        <v>0</v>
      </c>
      <c r="AA154" s="43">
        <v>0</v>
      </c>
      <c r="AB154" s="43">
        <v>235000</v>
      </c>
      <c r="AC154" s="43">
        <v>0</v>
      </c>
      <c r="AD154" s="43">
        <v>0</v>
      </c>
      <c r="AE154" s="43">
        <v>0</v>
      </c>
      <c r="AF154" s="43">
        <v>0</v>
      </c>
      <c r="AG154" s="43"/>
      <c r="AH154" s="43">
        <f t="shared" ref="AH154:AH160" si="5">SUM(F154:AF154)</f>
        <v>7399183</v>
      </c>
      <c r="AI154" s="47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4"/>
    </row>
    <row r="155" spans="1:66" hidden="1" x14ac:dyDescent="0.2">
      <c r="A155" s="4">
        <v>195</v>
      </c>
      <c r="B155" s="3" t="s">
        <v>184</v>
      </c>
      <c r="D155" s="3" t="s">
        <v>100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0</v>
      </c>
      <c r="X155" s="43">
        <v>0</v>
      </c>
      <c r="Y155" s="43">
        <v>0</v>
      </c>
      <c r="Z155" s="43">
        <v>0</v>
      </c>
      <c r="AA155" s="43">
        <v>0</v>
      </c>
      <c r="AB155" s="43">
        <v>0</v>
      </c>
      <c r="AC155" s="43">
        <v>0</v>
      </c>
      <c r="AD155" s="43">
        <v>0</v>
      </c>
      <c r="AE155" s="43">
        <v>0</v>
      </c>
      <c r="AF155" s="43">
        <v>0</v>
      </c>
      <c r="AG155" s="43"/>
      <c r="AH155" s="43">
        <f t="shared" si="5"/>
        <v>0</v>
      </c>
      <c r="AI155" s="47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4"/>
    </row>
    <row r="156" spans="1:66" x14ac:dyDescent="0.2">
      <c r="A156" s="4">
        <v>154</v>
      </c>
      <c r="B156" s="3" t="s">
        <v>185</v>
      </c>
      <c r="D156" s="3" t="s">
        <v>186</v>
      </c>
      <c r="F156" s="43">
        <v>0</v>
      </c>
      <c r="G156" s="43">
        <v>0</v>
      </c>
      <c r="H156" s="43">
        <v>1726505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3">
        <v>0</v>
      </c>
      <c r="Z156" s="43">
        <v>0</v>
      </c>
      <c r="AA156" s="43">
        <v>0</v>
      </c>
      <c r="AB156" s="43">
        <v>0</v>
      </c>
      <c r="AC156" s="43">
        <v>0</v>
      </c>
      <c r="AD156" s="43">
        <v>0</v>
      </c>
      <c r="AE156" s="43">
        <v>0</v>
      </c>
      <c r="AF156" s="43">
        <v>0</v>
      </c>
      <c r="AG156" s="43"/>
      <c r="AH156" s="43">
        <f t="shared" si="5"/>
        <v>1726505</v>
      </c>
      <c r="AI156" s="47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4"/>
    </row>
    <row r="157" spans="1:66" hidden="1" x14ac:dyDescent="0.2">
      <c r="A157" s="4">
        <v>21</v>
      </c>
      <c r="B157" s="35" t="s">
        <v>422</v>
      </c>
      <c r="C157" s="35"/>
      <c r="D157" s="35" t="s">
        <v>465</v>
      </c>
      <c r="E157" s="35"/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3">
        <v>0</v>
      </c>
      <c r="Z157" s="43">
        <v>0</v>
      </c>
      <c r="AA157" s="43">
        <v>0</v>
      </c>
      <c r="AB157" s="43">
        <v>0</v>
      </c>
      <c r="AC157" s="43">
        <v>0</v>
      </c>
      <c r="AD157" s="43">
        <v>0</v>
      </c>
      <c r="AE157" s="43">
        <v>0</v>
      </c>
      <c r="AF157" s="43">
        <v>0</v>
      </c>
      <c r="AG157" s="43"/>
      <c r="AH157" s="43">
        <f t="shared" si="5"/>
        <v>0</v>
      </c>
      <c r="AK157" s="4"/>
    </row>
    <row r="158" spans="1:66" hidden="1" x14ac:dyDescent="0.2">
      <c r="A158" s="4">
        <v>198</v>
      </c>
      <c r="B158" s="3" t="s">
        <v>187</v>
      </c>
      <c r="D158" s="3" t="s">
        <v>183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0</v>
      </c>
      <c r="Z158" s="43">
        <v>0</v>
      </c>
      <c r="AA158" s="43">
        <v>0</v>
      </c>
      <c r="AB158" s="43">
        <v>0</v>
      </c>
      <c r="AC158" s="43">
        <v>0</v>
      </c>
      <c r="AD158" s="43">
        <v>0</v>
      </c>
      <c r="AE158" s="43">
        <v>0</v>
      </c>
      <c r="AF158" s="43">
        <v>0</v>
      </c>
      <c r="AG158" s="43"/>
      <c r="AH158" s="43">
        <f t="shared" si="5"/>
        <v>0</v>
      </c>
    </row>
    <row r="159" spans="1:66" hidden="1" x14ac:dyDescent="0.2">
      <c r="A159" s="4">
        <v>242</v>
      </c>
      <c r="B159" s="35" t="s">
        <v>188</v>
      </c>
      <c r="C159" s="35"/>
      <c r="D159" s="35" t="s">
        <v>493</v>
      </c>
      <c r="E159" s="35"/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0</v>
      </c>
      <c r="V159" s="43">
        <v>0</v>
      </c>
      <c r="W159" s="43">
        <v>0</v>
      </c>
      <c r="X159" s="43">
        <v>0</v>
      </c>
      <c r="Y159" s="43">
        <v>0</v>
      </c>
      <c r="Z159" s="43">
        <v>0</v>
      </c>
      <c r="AA159" s="43">
        <v>0</v>
      </c>
      <c r="AB159" s="43">
        <v>0</v>
      </c>
      <c r="AC159" s="43">
        <v>0</v>
      </c>
      <c r="AD159" s="43">
        <v>0</v>
      </c>
      <c r="AE159" s="43">
        <v>0</v>
      </c>
      <c r="AF159" s="43">
        <v>0</v>
      </c>
      <c r="AG159" s="43"/>
      <c r="AH159" s="43">
        <f t="shared" si="5"/>
        <v>0</v>
      </c>
    </row>
    <row r="160" spans="1:66" hidden="1" x14ac:dyDescent="0.2">
      <c r="A160" s="4">
        <v>99</v>
      </c>
      <c r="B160" s="3" t="s">
        <v>189</v>
      </c>
      <c r="D160" s="3" t="s">
        <v>59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0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43">
        <v>0</v>
      </c>
      <c r="AA160" s="43">
        <v>0</v>
      </c>
      <c r="AB160" s="43">
        <v>0</v>
      </c>
      <c r="AC160" s="43">
        <v>0</v>
      </c>
      <c r="AD160" s="43">
        <v>0</v>
      </c>
      <c r="AE160" s="43">
        <v>0</v>
      </c>
      <c r="AF160" s="43">
        <v>0</v>
      </c>
      <c r="AG160" s="43"/>
      <c r="AH160" s="43">
        <f t="shared" si="5"/>
        <v>0</v>
      </c>
      <c r="AI160" s="47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4"/>
    </row>
    <row r="161" spans="1:66" s="7" customFormat="1" x14ac:dyDescent="0.2">
      <c r="A161" s="7">
        <v>237</v>
      </c>
      <c r="B161" s="7" t="s">
        <v>190</v>
      </c>
      <c r="D161" s="7" t="s">
        <v>191</v>
      </c>
      <c r="F161" s="43">
        <v>0</v>
      </c>
      <c r="G161" s="43">
        <v>0</v>
      </c>
      <c r="H161" s="43">
        <v>656694</v>
      </c>
      <c r="I161" s="43">
        <v>0</v>
      </c>
      <c r="J161" s="43">
        <v>448938</v>
      </c>
      <c r="K161" s="43">
        <v>0</v>
      </c>
      <c r="L161" s="43">
        <v>39990</v>
      </c>
      <c r="M161" s="43">
        <v>0</v>
      </c>
      <c r="N161" s="43">
        <v>134224</v>
      </c>
      <c r="O161" s="43">
        <v>0</v>
      </c>
      <c r="P161" s="43">
        <v>223833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85546</v>
      </c>
      <c r="W161" s="43">
        <v>0</v>
      </c>
      <c r="X161" s="43">
        <v>0</v>
      </c>
      <c r="Y161" s="43">
        <v>0</v>
      </c>
      <c r="Z161" s="43">
        <v>0</v>
      </c>
      <c r="AA161" s="43">
        <v>0</v>
      </c>
      <c r="AB161" s="43">
        <v>0</v>
      </c>
      <c r="AC161" s="43">
        <v>0</v>
      </c>
      <c r="AD161" s="43">
        <v>0</v>
      </c>
      <c r="AE161" s="43">
        <v>0</v>
      </c>
      <c r="AF161" s="43">
        <v>0</v>
      </c>
      <c r="AG161" s="43"/>
      <c r="AH161" s="43">
        <f t="shared" ref="AH161:AH203" si="6">SUM(F161:AF161)</f>
        <v>1589225</v>
      </c>
      <c r="AI161" s="46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</row>
    <row r="162" spans="1:66" hidden="1" x14ac:dyDescent="0.2">
      <c r="A162" s="4">
        <v>243</v>
      </c>
      <c r="B162" s="35" t="s">
        <v>192</v>
      </c>
      <c r="C162" s="35"/>
      <c r="D162" s="35" t="s">
        <v>493</v>
      </c>
      <c r="E162" s="35"/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3">
        <v>0</v>
      </c>
      <c r="R162" s="43">
        <v>0</v>
      </c>
      <c r="S162" s="43">
        <v>0</v>
      </c>
      <c r="T162" s="43">
        <v>0</v>
      </c>
      <c r="U162" s="43">
        <v>0</v>
      </c>
      <c r="V162" s="43">
        <v>0</v>
      </c>
      <c r="W162" s="43">
        <v>0</v>
      </c>
      <c r="X162" s="43">
        <v>0</v>
      </c>
      <c r="Y162" s="43">
        <v>0</v>
      </c>
      <c r="Z162" s="43">
        <v>0</v>
      </c>
      <c r="AA162" s="43">
        <v>0</v>
      </c>
      <c r="AB162" s="43">
        <v>0</v>
      </c>
      <c r="AC162" s="43">
        <v>0</v>
      </c>
      <c r="AD162" s="43">
        <v>0</v>
      </c>
      <c r="AE162" s="43">
        <v>0</v>
      </c>
      <c r="AF162" s="43">
        <v>0</v>
      </c>
      <c r="AG162" s="43"/>
      <c r="AH162" s="43">
        <f t="shared" si="6"/>
        <v>0</v>
      </c>
    </row>
    <row r="163" spans="1:66" x14ac:dyDescent="0.2">
      <c r="A163" s="4">
        <v>211</v>
      </c>
      <c r="B163" s="3" t="s">
        <v>193</v>
      </c>
      <c r="D163" s="3" t="s">
        <v>23</v>
      </c>
      <c r="F163" s="43">
        <v>0</v>
      </c>
      <c r="G163" s="43">
        <v>0</v>
      </c>
      <c r="H163" s="43">
        <v>2204501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31101</v>
      </c>
      <c r="W163" s="43">
        <v>0</v>
      </c>
      <c r="X163" s="43">
        <v>0</v>
      </c>
      <c r="Y163" s="43">
        <v>0</v>
      </c>
      <c r="Z163" s="43">
        <v>0</v>
      </c>
      <c r="AA163" s="43">
        <v>0</v>
      </c>
      <c r="AB163" s="43">
        <v>30000</v>
      </c>
      <c r="AC163" s="43">
        <v>0</v>
      </c>
      <c r="AD163" s="43">
        <v>0</v>
      </c>
      <c r="AE163" s="43">
        <v>0</v>
      </c>
      <c r="AF163" s="43">
        <v>0</v>
      </c>
      <c r="AG163" s="43"/>
      <c r="AH163" s="43">
        <f t="shared" si="6"/>
        <v>2265602</v>
      </c>
    </row>
    <row r="164" spans="1:66" hidden="1" x14ac:dyDescent="0.2">
      <c r="A164" s="4">
        <v>94</v>
      </c>
      <c r="B164" s="3" t="s">
        <v>336</v>
      </c>
      <c r="D164" s="3" t="s">
        <v>137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3">
        <v>0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3">
        <v>0</v>
      </c>
      <c r="Z164" s="43">
        <v>0</v>
      </c>
      <c r="AA164" s="43">
        <v>0</v>
      </c>
      <c r="AB164" s="43">
        <v>0</v>
      </c>
      <c r="AC164" s="43">
        <v>0</v>
      </c>
      <c r="AD164" s="43">
        <v>0</v>
      </c>
      <c r="AE164" s="43">
        <v>0</v>
      </c>
      <c r="AF164" s="43">
        <v>0</v>
      </c>
      <c r="AG164" s="43"/>
      <c r="AH164" s="43">
        <f t="shared" si="6"/>
        <v>0</v>
      </c>
    </row>
    <row r="165" spans="1:66" x14ac:dyDescent="0.2">
      <c r="A165" s="4">
        <v>227</v>
      </c>
      <c r="B165" s="7" t="s">
        <v>431</v>
      </c>
      <c r="C165" s="7"/>
      <c r="D165" s="7" t="s">
        <v>54</v>
      </c>
      <c r="E165" s="7"/>
      <c r="F165" s="43">
        <v>0</v>
      </c>
      <c r="G165" s="43">
        <v>0</v>
      </c>
      <c r="H165" s="43">
        <v>1108670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59154</v>
      </c>
      <c r="W165" s="43">
        <v>0</v>
      </c>
      <c r="X165" s="43">
        <v>0</v>
      </c>
      <c r="Y165" s="43">
        <v>0</v>
      </c>
      <c r="Z165" s="43">
        <v>0</v>
      </c>
      <c r="AA165" s="43">
        <v>0</v>
      </c>
      <c r="AB165" s="43">
        <v>0</v>
      </c>
      <c r="AC165" s="43">
        <v>0</v>
      </c>
      <c r="AD165" s="43">
        <v>38782</v>
      </c>
      <c r="AE165" s="43">
        <v>0</v>
      </c>
      <c r="AF165" s="43">
        <v>0</v>
      </c>
      <c r="AG165" s="43"/>
      <c r="AH165" s="43">
        <f t="shared" si="6"/>
        <v>1206606</v>
      </c>
    </row>
    <row r="166" spans="1:66" hidden="1" x14ac:dyDescent="0.2">
      <c r="A166" s="4">
        <v>29</v>
      </c>
      <c r="B166" s="35" t="s">
        <v>194</v>
      </c>
      <c r="C166" s="35"/>
      <c r="D166" s="35" t="s">
        <v>469</v>
      </c>
      <c r="E166" s="35"/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0</v>
      </c>
      <c r="S166" s="43">
        <v>0</v>
      </c>
      <c r="T166" s="43">
        <v>0</v>
      </c>
      <c r="U166" s="43">
        <v>0</v>
      </c>
      <c r="V166" s="43">
        <v>0</v>
      </c>
      <c r="W166" s="43">
        <v>0</v>
      </c>
      <c r="X166" s="43">
        <v>0</v>
      </c>
      <c r="Y166" s="43">
        <v>0</v>
      </c>
      <c r="Z166" s="43">
        <v>0</v>
      </c>
      <c r="AA166" s="43">
        <v>0</v>
      </c>
      <c r="AB166" s="43">
        <v>0</v>
      </c>
      <c r="AC166" s="43">
        <v>0</v>
      </c>
      <c r="AD166" s="43">
        <v>0</v>
      </c>
      <c r="AE166" s="43">
        <v>0</v>
      </c>
      <c r="AF166" s="43">
        <v>0</v>
      </c>
      <c r="AG166" s="43"/>
      <c r="AH166" s="43">
        <f t="shared" si="6"/>
        <v>0</v>
      </c>
      <c r="AK166" s="4"/>
    </row>
    <row r="167" spans="1:66" x14ac:dyDescent="0.2">
      <c r="A167" s="4">
        <v>156</v>
      </c>
      <c r="B167" s="3" t="s">
        <v>587</v>
      </c>
      <c r="D167" s="3" t="s">
        <v>18</v>
      </c>
      <c r="F167" s="43">
        <v>0</v>
      </c>
      <c r="G167" s="43">
        <v>0</v>
      </c>
      <c r="H167" s="43">
        <v>3415408</v>
      </c>
      <c r="I167" s="43">
        <v>0</v>
      </c>
      <c r="J167" s="43">
        <v>1656156</v>
      </c>
      <c r="K167" s="43">
        <v>0</v>
      </c>
      <c r="L167" s="43">
        <v>233939</v>
      </c>
      <c r="M167" s="43">
        <v>0</v>
      </c>
      <c r="N167" s="43">
        <v>953832</v>
      </c>
      <c r="O167" s="43">
        <v>0</v>
      </c>
      <c r="P167" s="43">
        <v>1251159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3225</v>
      </c>
      <c r="W167" s="43">
        <v>0</v>
      </c>
      <c r="X167" s="43">
        <v>0</v>
      </c>
      <c r="Y167" s="43">
        <v>0</v>
      </c>
      <c r="Z167" s="43">
        <v>0</v>
      </c>
      <c r="AA167" s="43">
        <v>0</v>
      </c>
      <c r="AB167" s="43">
        <v>0</v>
      </c>
      <c r="AC167" s="43">
        <v>0</v>
      </c>
      <c r="AD167" s="43">
        <v>0</v>
      </c>
      <c r="AE167" s="43">
        <v>0</v>
      </c>
      <c r="AF167" s="43">
        <v>0</v>
      </c>
      <c r="AG167" s="43"/>
      <c r="AH167" s="43">
        <f t="shared" si="6"/>
        <v>7513719</v>
      </c>
      <c r="AI167" s="47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4"/>
    </row>
    <row r="168" spans="1:66" hidden="1" x14ac:dyDescent="0.2">
      <c r="A168" s="4">
        <v>157</v>
      </c>
      <c r="B168" s="35" t="s">
        <v>481</v>
      </c>
      <c r="C168" s="35"/>
      <c r="D168" s="35" t="s">
        <v>482</v>
      </c>
      <c r="E168" s="35"/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43">
        <v>0</v>
      </c>
      <c r="Y168" s="43">
        <v>0</v>
      </c>
      <c r="Z168" s="43">
        <v>0</v>
      </c>
      <c r="AA168" s="43">
        <v>0</v>
      </c>
      <c r="AB168" s="43">
        <v>0</v>
      </c>
      <c r="AC168" s="43">
        <v>0</v>
      </c>
      <c r="AD168" s="43">
        <v>0</v>
      </c>
      <c r="AE168" s="43">
        <v>0</v>
      </c>
      <c r="AF168" s="43">
        <v>0</v>
      </c>
      <c r="AG168" s="43"/>
      <c r="AH168" s="43">
        <f t="shared" si="6"/>
        <v>0</v>
      </c>
      <c r="AK168" s="4"/>
    </row>
    <row r="169" spans="1:66" x14ac:dyDescent="0.2">
      <c r="A169" s="4">
        <v>126</v>
      </c>
      <c r="B169" s="35" t="s">
        <v>12</v>
      </c>
      <c r="C169" s="35"/>
      <c r="D169" s="35" t="s">
        <v>13</v>
      </c>
      <c r="E169" s="35"/>
      <c r="F169" s="43">
        <v>0</v>
      </c>
      <c r="G169" s="43">
        <v>0</v>
      </c>
      <c r="H169" s="43">
        <v>1181142</v>
      </c>
      <c r="I169" s="43">
        <v>0</v>
      </c>
      <c r="J169" s="43">
        <v>874212</v>
      </c>
      <c r="K169" s="43">
        <v>0</v>
      </c>
      <c r="L169" s="43">
        <v>277139</v>
      </c>
      <c r="M169" s="43">
        <v>0</v>
      </c>
      <c r="N169" s="43">
        <v>394089</v>
      </c>
      <c r="O169" s="43">
        <v>0</v>
      </c>
      <c r="P169" s="43">
        <v>616197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3">
        <v>0</v>
      </c>
      <c r="Z169" s="43">
        <v>0</v>
      </c>
      <c r="AA169" s="43">
        <v>0</v>
      </c>
      <c r="AB169" s="43">
        <v>277425</v>
      </c>
      <c r="AC169" s="43">
        <v>0</v>
      </c>
      <c r="AD169" s="43">
        <v>0</v>
      </c>
      <c r="AE169" s="43">
        <v>0</v>
      </c>
      <c r="AF169" s="43">
        <v>0</v>
      </c>
      <c r="AG169" s="43"/>
      <c r="AH169" s="43">
        <f t="shared" si="6"/>
        <v>3620204</v>
      </c>
      <c r="AK169" s="4"/>
    </row>
    <row r="170" spans="1:66" hidden="1" x14ac:dyDescent="0.2">
      <c r="A170" s="4">
        <v>160</v>
      </c>
      <c r="B170" s="35" t="s">
        <v>588</v>
      </c>
      <c r="C170" s="35"/>
      <c r="D170" s="35" t="s">
        <v>484</v>
      </c>
      <c r="E170" s="35"/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3">
        <v>0</v>
      </c>
      <c r="Q170" s="43">
        <v>0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43">
        <v>0</v>
      </c>
      <c r="Y170" s="43">
        <v>0</v>
      </c>
      <c r="Z170" s="43">
        <v>0</v>
      </c>
      <c r="AA170" s="43">
        <v>0</v>
      </c>
      <c r="AB170" s="43">
        <v>0</v>
      </c>
      <c r="AC170" s="43">
        <v>0</v>
      </c>
      <c r="AD170" s="43">
        <v>0</v>
      </c>
      <c r="AE170" s="43">
        <v>0</v>
      </c>
      <c r="AF170" s="43">
        <v>0</v>
      </c>
      <c r="AG170" s="43"/>
      <c r="AH170" s="43">
        <f t="shared" si="6"/>
        <v>0</v>
      </c>
    </row>
    <row r="171" spans="1:66" hidden="1" x14ac:dyDescent="0.2">
      <c r="A171" s="4">
        <v>26</v>
      </c>
      <c r="B171" s="3" t="s">
        <v>195</v>
      </c>
      <c r="D171" s="3" t="s">
        <v>8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3">
        <v>0</v>
      </c>
      <c r="Z171" s="43">
        <v>0</v>
      </c>
      <c r="AA171" s="43">
        <v>0</v>
      </c>
      <c r="AB171" s="43">
        <v>0</v>
      </c>
      <c r="AC171" s="43">
        <v>0</v>
      </c>
      <c r="AD171" s="43">
        <v>0</v>
      </c>
      <c r="AE171" s="43">
        <v>0</v>
      </c>
      <c r="AF171" s="43">
        <v>0</v>
      </c>
      <c r="AG171" s="43"/>
      <c r="AH171" s="43">
        <f t="shared" si="6"/>
        <v>0</v>
      </c>
      <c r="AI171" s="47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4"/>
    </row>
    <row r="172" spans="1:66" x14ac:dyDescent="0.2">
      <c r="A172" s="4">
        <v>126</v>
      </c>
      <c r="B172" s="35" t="s">
        <v>652</v>
      </c>
      <c r="C172" s="35"/>
      <c r="D172" s="35" t="s">
        <v>8</v>
      </c>
      <c r="E172" s="35"/>
      <c r="F172" s="43">
        <v>0</v>
      </c>
      <c r="G172" s="43">
        <v>0</v>
      </c>
      <c r="H172" s="43">
        <v>2214195</v>
      </c>
      <c r="I172" s="43">
        <v>0</v>
      </c>
      <c r="J172" s="43">
        <v>1656985</v>
      </c>
      <c r="K172" s="43">
        <v>0</v>
      </c>
      <c r="L172" s="43">
        <v>155341</v>
      </c>
      <c r="M172" s="43">
        <v>0</v>
      </c>
      <c r="N172" s="43">
        <v>752348</v>
      </c>
      <c r="O172" s="43">
        <v>0</v>
      </c>
      <c r="P172" s="43">
        <v>851232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187421</v>
      </c>
      <c r="W172" s="43">
        <v>0</v>
      </c>
      <c r="X172" s="43">
        <v>0</v>
      </c>
      <c r="Y172" s="43">
        <v>0</v>
      </c>
      <c r="Z172" s="43">
        <v>0</v>
      </c>
      <c r="AA172" s="43">
        <v>0</v>
      </c>
      <c r="AB172" s="43">
        <v>1500000</v>
      </c>
      <c r="AC172" s="43">
        <v>0</v>
      </c>
      <c r="AD172" s="43">
        <v>0</v>
      </c>
      <c r="AE172" s="43">
        <v>0</v>
      </c>
      <c r="AF172" s="43">
        <v>0</v>
      </c>
      <c r="AG172" s="43"/>
      <c r="AH172" s="43">
        <f t="shared" ref="AH172" si="7">SUM(F172:AF172)</f>
        <v>7317522</v>
      </c>
      <c r="AK172" s="4"/>
    </row>
    <row r="173" spans="1:66" hidden="1" x14ac:dyDescent="0.2">
      <c r="A173" s="4">
        <v>67</v>
      </c>
      <c r="B173" s="3" t="s">
        <v>196</v>
      </c>
      <c r="D173" s="3" t="s">
        <v>165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43">
        <v>0</v>
      </c>
      <c r="Y173" s="43">
        <v>0</v>
      </c>
      <c r="Z173" s="43">
        <v>0</v>
      </c>
      <c r="AA173" s="43">
        <v>0</v>
      </c>
      <c r="AB173" s="43">
        <v>0</v>
      </c>
      <c r="AC173" s="43">
        <v>0</v>
      </c>
      <c r="AD173" s="43">
        <v>0</v>
      </c>
      <c r="AE173" s="43">
        <v>0</v>
      </c>
      <c r="AF173" s="43">
        <v>0</v>
      </c>
      <c r="AG173" s="43"/>
      <c r="AH173" s="43">
        <f t="shared" si="6"/>
        <v>0</v>
      </c>
    </row>
    <row r="174" spans="1:66" hidden="1" x14ac:dyDescent="0.2">
      <c r="A174" s="4">
        <v>165</v>
      </c>
      <c r="B174" s="35" t="s">
        <v>197</v>
      </c>
      <c r="C174" s="35"/>
      <c r="D174" s="35" t="s">
        <v>485</v>
      </c>
      <c r="E174" s="35"/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43">
        <v>0</v>
      </c>
      <c r="Y174" s="43">
        <v>0</v>
      </c>
      <c r="Z174" s="43">
        <v>0</v>
      </c>
      <c r="AA174" s="43">
        <v>0</v>
      </c>
      <c r="AB174" s="43">
        <v>0</v>
      </c>
      <c r="AC174" s="43">
        <v>0</v>
      </c>
      <c r="AD174" s="43">
        <v>0</v>
      </c>
      <c r="AE174" s="43">
        <v>0</v>
      </c>
      <c r="AF174" s="43">
        <v>0</v>
      </c>
      <c r="AG174" s="43"/>
      <c r="AH174" s="43">
        <f t="shared" si="6"/>
        <v>0</v>
      </c>
    </row>
    <row r="175" spans="1:66" hidden="1" x14ac:dyDescent="0.2">
      <c r="A175" s="4">
        <v>212</v>
      </c>
      <c r="B175" s="35" t="s">
        <v>198</v>
      </c>
      <c r="C175" s="35"/>
      <c r="D175" s="35" t="s">
        <v>490</v>
      </c>
      <c r="E175" s="35"/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3">
        <v>0</v>
      </c>
      <c r="Z175" s="43">
        <v>0</v>
      </c>
      <c r="AA175" s="43">
        <v>0</v>
      </c>
      <c r="AB175" s="43">
        <v>0</v>
      </c>
      <c r="AC175" s="43">
        <v>0</v>
      </c>
      <c r="AD175" s="43">
        <v>0</v>
      </c>
      <c r="AE175" s="43">
        <v>0</v>
      </c>
      <c r="AF175" s="43">
        <v>0</v>
      </c>
      <c r="AG175" s="43"/>
      <c r="AH175" s="43">
        <f t="shared" si="6"/>
        <v>0</v>
      </c>
      <c r="AI175" s="47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4"/>
    </row>
    <row r="176" spans="1:66" hidden="1" x14ac:dyDescent="0.2">
      <c r="A176" s="4">
        <v>259</v>
      </c>
      <c r="B176" s="3" t="s">
        <v>307</v>
      </c>
      <c r="D176" s="3" t="s">
        <v>61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0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3">
        <v>0</v>
      </c>
      <c r="Z176" s="43">
        <v>0</v>
      </c>
      <c r="AA176" s="43">
        <v>0</v>
      </c>
      <c r="AB176" s="43">
        <v>0</v>
      </c>
      <c r="AC176" s="43">
        <v>0</v>
      </c>
      <c r="AD176" s="43">
        <v>0</v>
      </c>
      <c r="AE176" s="43">
        <v>0</v>
      </c>
      <c r="AF176" s="43">
        <v>0</v>
      </c>
      <c r="AG176" s="43"/>
      <c r="AH176" s="43">
        <f t="shared" si="6"/>
        <v>0</v>
      </c>
      <c r="AI176" s="47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4"/>
    </row>
    <row r="177" spans="1:66" hidden="1" x14ac:dyDescent="0.2">
      <c r="A177" s="4">
        <v>168</v>
      </c>
      <c r="B177" s="35" t="s">
        <v>486</v>
      </c>
      <c r="C177" s="35"/>
      <c r="D177" s="35" t="s">
        <v>487</v>
      </c>
      <c r="E177" s="35"/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0</v>
      </c>
      <c r="Y177" s="43">
        <v>0</v>
      </c>
      <c r="Z177" s="43">
        <v>0</v>
      </c>
      <c r="AA177" s="43">
        <v>0</v>
      </c>
      <c r="AB177" s="43">
        <v>0</v>
      </c>
      <c r="AC177" s="43">
        <v>0</v>
      </c>
      <c r="AD177" s="43">
        <v>0</v>
      </c>
      <c r="AE177" s="43">
        <v>0</v>
      </c>
      <c r="AF177" s="43">
        <v>0</v>
      </c>
      <c r="AG177" s="43"/>
      <c r="AH177" s="43">
        <f t="shared" si="6"/>
        <v>0</v>
      </c>
      <c r="AK177" s="4"/>
    </row>
    <row r="178" spans="1:66" x14ac:dyDescent="0.2">
      <c r="A178" s="4">
        <v>111</v>
      </c>
      <c r="B178" s="3" t="s">
        <v>200</v>
      </c>
      <c r="D178" s="3" t="s">
        <v>87</v>
      </c>
      <c r="F178" s="43">
        <v>0</v>
      </c>
      <c r="G178" s="43">
        <v>0</v>
      </c>
      <c r="H178" s="43">
        <v>119522</v>
      </c>
      <c r="I178" s="43">
        <v>0</v>
      </c>
      <c r="J178" s="43">
        <v>0</v>
      </c>
      <c r="K178" s="43">
        <v>0</v>
      </c>
      <c r="L178" s="43">
        <v>717</v>
      </c>
      <c r="M178" s="43">
        <v>0</v>
      </c>
      <c r="N178" s="43">
        <v>2065</v>
      </c>
      <c r="O178" s="43">
        <v>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3">
        <v>0</v>
      </c>
      <c r="Z178" s="43">
        <v>0</v>
      </c>
      <c r="AA178" s="43">
        <v>0</v>
      </c>
      <c r="AB178" s="43">
        <v>0</v>
      </c>
      <c r="AC178" s="43">
        <v>0</v>
      </c>
      <c r="AD178" s="43">
        <v>0</v>
      </c>
      <c r="AE178" s="43">
        <v>0</v>
      </c>
      <c r="AF178" s="43">
        <v>0</v>
      </c>
      <c r="AG178" s="43"/>
      <c r="AH178" s="43">
        <f t="shared" si="6"/>
        <v>122304</v>
      </c>
    </row>
    <row r="179" spans="1:66" x14ac:dyDescent="0.2">
      <c r="A179" s="4">
        <v>248</v>
      </c>
      <c r="B179" s="3" t="s">
        <v>201</v>
      </c>
      <c r="D179" s="3" t="s">
        <v>202</v>
      </c>
      <c r="F179" s="43">
        <v>0</v>
      </c>
      <c r="G179" s="43">
        <v>0</v>
      </c>
      <c r="H179" s="43">
        <v>1942</v>
      </c>
      <c r="I179" s="43">
        <v>0</v>
      </c>
      <c r="J179" s="43">
        <v>29511</v>
      </c>
      <c r="K179" s="43">
        <v>0</v>
      </c>
      <c r="L179" s="43">
        <v>0</v>
      </c>
      <c r="M179" s="43">
        <v>0</v>
      </c>
      <c r="N179" s="43">
        <v>36327</v>
      </c>
      <c r="O179" s="43">
        <v>0</v>
      </c>
      <c r="P179" s="43">
        <v>122341</v>
      </c>
      <c r="Q179" s="43">
        <v>0</v>
      </c>
      <c r="R179" s="43">
        <v>0</v>
      </c>
      <c r="S179" s="43">
        <v>0</v>
      </c>
      <c r="T179" s="43">
        <v>0</v>
      </c>
      <c r="U179" s="43">
        <v>0</v>
      </c>
      <c r="V179" s="43">
        <v>4141</v>
      </c>
      <c r="W179" s="43">
        <v>0</v>
      </c>
      <c r="X179" s="43">
        <v>0</v>
      </c>
      <c r="Y179" s="43">
        <v>0</v>
      </c>
      <c r="Z179" s="43">
        <v>0</v>
      </c>
      <c r="AA179" s="43">
        <v>0</v>
      </c>
      <c r="AB179" s="43">
        <v>0</v>
      </c>
      <c r="AC179" s="43">
        <v>0</v>
      </c>
      <c r="AD179" s="43">
        <v>0</v>
      </c>
      <c r="AE179" s="43">
        <v>0</v>
      </c>
      <c r="AF179" s="43">
        <v>0</v>
      </c>
      <c r="AG179" s="43"/>
      <c r="AH179" s="43">
        <f t="shared" si="6"/>
        <v>194262</v>
      </c>
    </row>
    <row r="180" spans="1:66" hidden="1" x14ac:dyDescent="0.2">
      <c r="A180" s="4">
        <v>175</v>
      </c>
      <c r="B180" s="3" t="s">
        <v>204</v>
      </c>
      <c r="D180" s="3" t="s">
        <v>66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v>0</v>
      </c>
      <c r="O180" s="43">
        <v>0</v>
      </c>
      <c r="P180" s="43">
        <v>0</v>
      </c>
      <c r="Q180" s="43">
        <v>0</v>
      </c>
      <c r="R180" s="43">
        <v>0</v>
      </c>
      <c r="S180" s="43">
        <v>0</v>
      </c>
      <c r="T180" s="43">
        <v>0</v>
      </c>
      <c r="U180" s="43">
        <v>0</v>
      </c>
      <c r="V180" s="43">
        <v>0</v>
      </c>
      <c r="W180" s="43">
        <v>0</v>
      </c>
      <c r="X180" s="43">
        <v>0</v>
      </c>
      <c r="Y180" s="43">
        <v>0</v>
      </c>
      <c r="Z180" s="43">
        <v>0</v>
      </c>
      <c r="AA180" s="43">
        <v>0</v>
      </c>
      <c r="AB180" s="43">
        <v>0</v>
      </c>
      <c r="AC180" s="43">
        <v>0</v>
      </c>
      <c r="AD180" s="43">
        <v>0</v>
      </c>
      <c r="AE180" s="43">
        <v>0</v>
      </c>
      <c r="AF180" s="43">
        <v>0</v>
      </c>
      <c r="AG180" s="43"/>
      <c r="AH180" s="43">
        <f t="shared" si="6"/>
        <v>0</v>
      </c>
    </row>
    <row r="181" spans="1:66" hidden="1" x14ac:dyDescent="0.2">
      <c r="A181" s="4">
        <v>150</v>
      </c>
      <c r="B181" s="35" t="s">
        <v>205</v>
      </c>
      <c r="C181" s="35"/>
      <c r="D181" s="35" t="s">
        <v>480</v>
      </c>
      <c r="E181" s="35"/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3">
        <v>0</v>
      </c>
      <c r="R181" s="43">
        <v>0</v>
      </c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43">
        <v>0</v>
      </c>
      <c r="Y181" s="43">
        <v>0</v>
      </c>
      <c r="Z181" s="43">
        <v>0</v>
      </c>
      <c r="AA181" s="43">
        <v>0</v>
      </c>
      <c r="AB181" s="43">
        <v>0</v>
      </c>
      <c r="AC181" s="43">
        <v>0</v>
      </c>
      <c r="AD181" s="43">
        <v>0</v>
      </c>
      <c r="AE181" s="43">
        <v>0</v>
      </c>
      <c r="AF181" s="43">
        <v>0</v>
      </c>
      <c r="AG181" s="43"/>
      <c r="AH181" s="43">
        <f t="shared" si="6"/>
        <v>0</v>
      </c>
      <c r="AI181" s="47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4"/>
    </row>
    <row r="182" spans="1:66" hidden="1" x14ac:dyDescent="0.2">
      <c r="A182" s="4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4"/>
      <c r="AH182" s="70"/>
    </row>
    <row r="183" spans="1:66" x14ac:dyDescent="0.2">
      <c r="A183" s="4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4"/>
      <c r="AH183" s="70" t="s">
        <v>576</v>
      </c>
    </row>
    <row r="184" spans="1:66" x14ac:dyDescent="0.2">
      <c r="B184" s="3" t="s">
        <v>514</v>
      </c>
    </row>
    <row r="185" spans="1:66" x14ac:dyDescent="0.2">
      <c r="B185" s="3" t="s">
        <v>632</v>
      </c>
    </row>
    <row r="186" spans="1:66" ht="12" hidden="1" customHeight="1" x14ac:dyDescent="0.2">
      <c r="B186" s="83" t="s">
        <v>5</v>
      </c>
    </row>
    <row r="187" spans="1:66" s="36" customFormat="1" x14ac:dyDescent="0.2">
      <c r="B187" s="86" t="s">
        <v>5</v>
      </c>
      <c r="H187" s="36" t="s">
        <v>6</v>
      </c>
    </row>
    <row r="188" spans="1:66" s="36" customFormat="1" x14ac:dyDescent="0.2">
      <c r="F188" s="36" t="s">
        <v>319</v>
      </c>
      <c r="H188" s="36" t="s">
        <v>545</v>
      </c>
      <c r="J188" s="36" t="s">
        <v>622</v>
      </c>
      <c r="N188" s="36" t="s">
        <v>544</v>
      </c>
      <c r="Z188" s="36" t="s">
        <v>326</v>
      </c>
      <c r="AF188" s="36" t="s">
        <v>0</v>
      </c>
    </row>
    <row r="189" spans="1:66" s="36" customFormat="1" x14ac:dyDescent="0.2">
      <c r="F189" s="36" t="s">
        <v>320</v>
      </c>
      <c r="H189" s="36" t="s">
        <v>321</v>
      </c>
      <c r="J189" s="36" t="s">
        <v>623</v>
      </c>
      <c r="L189" s="36" t="s">
        <v>322</v>
      </c>
      <c r="N189" s="36" t="s">
        <v>542</v>
      </c>
      <c r="P189" s="36" t="s">
        <v>625</v>
      </c>
      <c r="V189" s="36" t="s">
        <v>28</v>
      </c>
      <c r="X189" s="36" t="s">
        <v>324</v>
      </c>
      <c r="Z189" s="36" t="s">
        <v>327</v>
      </c>
      <c r="AF189" s="36" t="s">
        <v>294</v>
      </c>
    </row>
    <row r="190" spans="1:66" s="36" customFormat="1" ht="12" customHeight="1" x14ac:dyDescent="0.2">
      <c r="A190" s="36" t="s">
        <v>563</v>
      </c>
      <c r="B190" s="37" t="s">
        <v>6</v>
      </c>
      <c r="D190" s="37" t="s">
        <v>4</v>
      </c>
      <c r="F190" s="37" t="s">
        <v>27</v>
      </c>
      <c r="H190" s="37" t="s">
        <v>322</v>
      </c>
      <c r="I190" s="44"/>
      <c r="J190" s="45" t="s">
        <v>624</v>
      </c>
      <c r="L190" s="37" t="s">
        <v>27</v>
      </c>
      <c r="N190" s="37" t="s">
        <v>543</v>
      </c>
      <c r="O190" s="44"/>
      <c r="P190" s="37" t="s">
        <v>626</v>
      </c>
      <c r="R190" s="37" t="s">
        <v>2</v>
      </c>
      <c r="T190" s="37" t="s">
        <v>0</v>
      </c>
      <c r="V190" s="37" t="s">
        <v>323</v>
      </c>
      <c r="X190" s="37" t="s">
        <v>325</v>
      </c>
      <c r="Z190" s="37" t="s">
        <v>328</v>
      </c>
      <c r="AB190" s="37" t="s">
        <v>497</v>
      </c>
      <c r="AD190" s="37" t="s">
        <v>498</v>
      </c>
      <c r="AF190" s="37" t="s">
        <v>329</v>
      </c>
      <c r="AH190" s="45" t="s">
        <v>26</v>
      </c>
    </row>
    <row r="191" spans="1:66" s="36" customFormat="1" ht="12" customHeight="1" x14ac:dyDescent="0.2">
      <c r="B191" s="44"/>
      <c r="D191" s="44"/>
      <c r="F191" s="44"/>
      <c r="H191" s="44"/>
      <c r="I191" s="44"/>
      <c r="J191" s="57"/>
      <c r="L191" s="44"/>
      <c r="N191" s="44"/>
      <c r="O191" s="44"/>
      <c r="P191" s="44"/>
      <c r="R191" s="44"/>
      <c r="T191" s="44"/>
      <c r="V191" s="44"/>
      <c r="X191" s="44"/>
      <c r="Z191" s="44"/>
      <c r="AB191" s="44"/>
      <c r="AD191" s="44"/>
      <c r="AF191" s="44"/>
      <c r="AH191" s="57"/>
    </row>
    <row r="192" spans="1:66" x14ac:dyDescent="0.2">
      <c r="A192" s="4">
        <v>127</v>
      </c>
      <c r="B192" s="3" t="s">
        <v>203</v>
      </c>
      <c r="D192" s="3" t="s">
        <v>13</v>
      </c>
      <c r="F192" s="43">
        <v>0</v>
      </c>
      <c r="G192" s="43">
        <v>0</v>
      </c>
      <c r="H192" s="43">
        <v>2440765</v>
      </c>
      <c r="I192" s="43">
        <v>0</v>
      </c>
      <c r="J192" s="43">
        <v>0</v>
      </c>
      <c r="K192" s="43">
        <v>0</v>
      </c>
      <c r="L192" s="93">
        <v>0</v>
      </c>
      <c r="M192" s="93">
        <v>0</v>
      </c>
      <c r="N192" s="93">
        <v>0</v>
      </c>
      <c r="O192" s="93">
        <v>0</v>
      </c>
      <c r="P192" s="93">
        <v>0</v>
      </c>
      <c r="Q192" s="93">
        <v>0</v>
      </c>
      <c r="R192" s="93">
        <v>0</v>
      </c>
      <c r="S192" s="93">
        <v>0</v>
      </c>
      <c r="T192" s="93">
        <v>0</v>
      </c>
      <c r="U192" s="93">
        <v>0</v>
      </c>
      <c r="V192" s="93">
        <v>7747</v>
      </c>
      <c r="W192" s="93">
        <v>0</v>
      </c>
      <c r="X192" s="93">
        <v>0</v>
      </c>
      <c r="Y192" s="93">
        <v>0</v>
      </c>
      <c r="Z192" s="93">
        <v>0</v>
      </c>
      <c r="AA192" s="93">
        <v>0</v>
      </c>
      <c r="AB192" s="93">
        <v>0</v>
      </c>
      <c r="AC192" s="93">
        <v>0</v>
      </c>
      <c r="AD192" s="93">
        <v>0</v>
      </c>
      <c r="AE192" s="93">
        <v>0</v>
      </c>
      <c r="AF192" s="93">
        <v>0</v>
      </c>
      <c r="AG192" s="93"/>
      <c r="AH192" s="93">
        <f>SUM(F192:AF192)</f>
        <v>2448512</v>
      </c>
      <c r="AI192" s="49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8"/>
    </row>
    <row r="193" spans="1:66" x14ac:dyDescent="0.2">
      <c r="A193" s="4">
        <v>122</v>
      </c>
      <c r="B193" s="3" t="s">
        <v>423</v>
      </c>
      <c r="D193" s="3" t="s">
        <v>14</v>
      </c>
      <c r="F193" s="43">
        <v>0</v>
      </c>
      <c r="G193" s="43">
        <v>0</v>
      </c>
      <c r="H193" s="43">
        <v>2262583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32607</v>
      </c>
      <c r="W193" s="43">
        <v>0</v>
      </c>
      <c r="X193" s="43">
        <v>0</v>
      </c>
      <c r="Y193" s="43">
        <v>0</v>
      </c>
      <c r="Z193" s="43">
        <v>0</v>
      </c>
      <c r="AA193" s="43">
        <v>0</v>
      </c>
      <c r="AB193" s="43">
        <v>200000</v>
      </c>
      <c r="AC193" s="43">
        <v>0</v>
      </c>
      <c r="AD193" s="43">
        <v>0</v>
      </c>
      <c r="AE193" s="43">
        <v>0</v>
      </c>
      <c r="AF193" s="43">
        <v>0</v>
      </c>
      <c r="AG193" s="43"/>
      <c r="AH193" s="43">
        <f>SUM(F193:AF193)</f>
        <v>2495190</v>
      </c>
    </row>
    <row r="194" spans="1:66" x14ac:dyDescent="0.2">
      <c r="A194" s="4">
        <v>178</v>
      </c>
      <c r="B194" s="3" t="s">
        <v>589</v>
      </c>
      <c r="D194" s="3" t="s">
        <v>207</v>
      </c>
      <c r="F194" s="88">
        <v>0</v>
      </c>
      <c r="G194" s="88">
        <v>0</v>
      </c>
      <c r="H194" s="88">
        <v>1410711</v>
      </c>
      <c r="I194" s="88">
        <v>0</v>
      </c>
      <c r="J194" s="88">
        <v>655574</v>
      </c>
      <c r="K194" s="88">
        <v>0</v>
      </c>
      <c r="L194" s="88">
        <v>115858</v>
      </c>
      <c r="M194" s="88">
        <v>0</v>
      </c>
      <c r="N194" s="88">
        <v>388780</v>
      </c>
      <c r="O194" s="88">
        <v>0</v>
      </c>
      <c r="P194" s="88">
        <v>805207</v>
      </c>
      <c r="Q194" s="88">
        <v>0</v>
      </c>
      <c r="R194" s="88">
        <v>0</v>
      </c>
      <c r="S194" s="88">
        <v>0</v>
      </c>
      <c r="T194" s="88">
        <v>0</v>
      </c>
      <c r="U194" s="88">
        <v>0</v>
      </c>
      <c r="V194" s="88">
        <v>216839</v>
      </c>
      <c r="W194" s="88">
        <v>0</v>
      </c>
      <c r="X194" s="88">
        <v>0</v>
      </c>
      <c r="Y194" s="88">
        <v>0</v>
      </c>
      <c r="Z194" s="88">
        <v>0</v>
      </c>
      <c r="AA194" s="88">
        <v>0</v>
      </c>
      <c r="AB194" s="88">
        <v>0</v>
      </c>
      <c r="AC194" s="88">
        <v>0</v>
      </c>
      <c r="AD194" s="88">
        <v>0</v>
      </c>
      <c r="AE194" s="88">
        <v>0</v>
      </c>
      <c r="AF194" s="88">
        <v>0</v>
      </c>
      <c r="AG194" s="88"/>
      <c r="AH194" s="88">
        <f t="shared" si="6"/>
        <v>3592969</v>
      </c>
      <c r="AI194" s="47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4"/>
    </row>
    <row r="195" spans="1:66" hidden="1" x14ac:dyDescent="0.2">
      <c r="A195" s="4">
        <v>105</v>
      </c>
      <c r="B195" s="3" t="s">
        <v>308</v>
      </c>
      <c r="D195" s="3" t="s">
        <v>58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15"/>
      <c r="AH195" s="92">
        <f t="shared" si="6"/>
        <v>0</v>
      </c>
      <c r="AI195" s="47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4"/>
    </row>
    <row r="196" spans="1:66" hidden="1" x14ac:dyDescent="0.2">
      <c r="A196" s="4">
        <v>16</v>
      </c>
      <c r="B196" s="35" t="s">
        <v>452</v>
      </c>
      <c r="C196" s="35"/>
      <c r="D196" s="35" t="s">
        <v>463</v>
      </c>
      <c r="E196" s="35"/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35"/>
      <c r="AH196" s="92">
        <f t="shared" si="6"/>
        <v>0</v>
      </c>
    </row>
    <row r="197" spans="1:66" hidden="1" x14ac:dyDescent="0.2">
      <c r="A197" s="4">
        <v>228</v>
      </c>
      <c r="B197" s="3" t="s">
        <v>432</v>
      </c>
      <c r="D197" s="3" t="s">
        <v>54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/>
      <c r="AH197" s="92">
        <f t="shared" si="6"/>
        <v>0</v>
      </c>
    </row>
    <row r="198" spans="1:66" hidden="1" x14ac:dyDescent="0.2">
      <c r="A198" s="4">
        <v>33</v>
      </c>
      <c r="B198" s="35" t="s">
        <v>453</v>
      </c>
      <c r="C198" s="35"/>
      <c r="D198" s="35" t="s">
        <v>470</v>
      </c>
      <c r="E198" s="35"/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15"/>
      <c r="AH198" s="92">
        <f t="shared" si="6"/>
        <v>0</v>
      </c>
    </row>
    <row r="199" spans="1:66" x14ac:dyDescent="0.2">
      <c r="A199" s="4">
        <v>112</v>
      </c>
      <c r="B199" s="3" t="s">
        <v>337</v>
      </c>
      <c r="D199" s="3" t="s">
        <v>87</v>
      </c>
      <c r="F199" s="43">
        <v>18712.7</v>
      </c>
      <c r="G199" s="43">
        <v>0</v>
      </c>
      <c r="H199" s="43">
        <f>166020.53+38167.45</f>
        <v>204187.97999999998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3">
        <v>0</v>
      </c>
      <c r="Q199" s="43">
        <v>0</v>
      </c>
      <c r="R199" s="43">
        <v>3973.25</v>
      </c>
      <c r="S199" s="43">
        <v>0</v>
      </c>
      <c r="T199" s="43">
        <v>2659</v>
      </c>
      <c r="U199" s="43">
        <v>0</v>
      </c>
      <c r="V199" s="43">
        <v>29024.639999999999</v>
      </c>
      <c r="W199" s="43">
        <v>0</v>
      </c>
      <c r="X199" s="43">
        <v>0</v>
      </c>
      <c r="Y199" s="43">
        <v>0</v>
      </c>
      <c r="Z199" s="43">
        <v>0</v>
      </c>
      <c r="AA199" s="43">
        <v>0</v>
      </c>
      <c r="AB199" s="43">
        <v>12553.46</v>
      </c>
      <c r="AC199" s="43">
        <v>0</v>
      </c>
      <c r="AD199" s="43">
        <v>0</v>
      </c>
      <c r="AE199" s="43">
        <v>0</v>
      </c>
      <c r="AF199" s="43">
        <v>0</v>
      </c>
      <c r="AG199" s="43"/>
      <c r="AH199" s="43">
        <f t="shared" si="6"/>
        <v>271111.03000000003</v>
      </c>
    </row>
    <row r="200" spans="1:66" hidden="1" x14ac:dyDescent="0.2">
      <c r="A200" s="4">
        <v>60</v>
      </c>
      <c r="B200" s="3" t="s">
        <v>209</v>
      </c>
      <c r="D200" s="3" t="s">
        <v>79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0</v>
      </c>
      <c r="S200" s="43">
        <v>0</v>
      </c>
      <c r="T200" s="43">
        <v>0</v>
      </c>
      <c r="U200" s="43">
        <v>0</v>
      </c>
      <c r="V200" s="43">
        <v>0</v>
      </c>
      <c r="W200" s="43">
        <v>0</v>
      </c>
      <c r="X200" s="43">
        <v>0</v>
      </c>
      <c r="Y200" s="43">
        <v>0</v>
      </c>
      <c r="Z200" s="43">
        <v>0</v>
      </c>
      <c r="AA200" s="43">
        <v>0</v>
      </c>
      <c r="AB200" s="43">
        <v>0</v>
      </c>
      <c r="AC200" s="43">
        <v>0</v>
      </c>
      <c r="AD200" s="43">
        <v>0</v>
      </c>
      <c r="AE200" s="43">
        <v>0</v>
      </c>
      <c r="AF200" s="43">
        <v>0</v>
      </c>
      <c r="AG200" s="43"/>
      <c r="AH200" s="43">
        <f t="shared" si="6"/>
        <v>0</v>
      </c>
    </row>
    <row r="201" spans="1:66" hidden="1" x14ac:dyDescent="0.2">
      <c r="A201" s="4">
        <v>186</v>
      </c>
      <c r="B201" s="35" t="s">
        <v>454</v>
      </c>
      <c r="C201" s="35"/>
      <c r="D201" s="35" t="s">
        <v>489</v>
      </c>
      <c r="E201" s="35"/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3">
        <v>0</v>
      </c>
      <c r="Q201" s="43">
        <v>0</v>
      </c>
      <c r="R201" s="43">
        <v>0</v>
      </c>
      <c r="S201" s="43">
        <v>0</v>
      </c>
      <c r="T201" s="43">
        <v>0</v>
      </c>
      <c r="U201" s="43">
        <v>0</v>
      </c>
      <c r="V201" s="43">
        <v>0</v>
      </c>
      <c r="W201" s="43">
        <v>0</v>
      </c>
      <c r="X201" s="43">
        <v>0</v>
      </c>
      <c r="Y201" s="43">
        <v>0</v>
      </c>
      <c r="Z201" s="43">
        <v>0</v>
      </c>
      <c r="AA201" s="43">
        <v>0</v>
      </c>
      <c r="AB201" s="43">
        <v>0</v>
      </c>
      <c r="AC201" s="43">
        <v>0</v>
      </c>
      <c r="AD201" s="43">
        <v>0</v>
      </c>
      <c r="AE201" s="43">
        <v>0</v>
      </c>
      <c r="AF201" s="43">
        <v>0</v>
      </c>
      <c r="AG201" s="43"/>
      <c r="AH201" s="43">
        <f t="shared" si="6"/>
        <v>0</v>
      </c>
    </row>
    <row r="202" spans="1:66" hidden="1" x14ac:dyDescent="0.2">
      <c r="A202" s="4">
        <v>235</v>
      </c>
      <c r="B202" s="35" t="s">
        <v>210</v>
      </c>
      <c r="C202" s="35"/>
      <c r="D202" s="35" t="s">
        <v>492</v>
      </c>
      <c r="E202" s="35"/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43">
        <v>0</v>
      </c>
      <c r="R202" s="43">
        <v>0</v>
      </c>
      <c r="S202" s="43">
        <v>0</v>
      </c>
      <c r="T202" s="43">
        <v>0</v>
      </c>
      <c r="U202" s="43">
        <v>0</v>
      </c>
      <c r="V202" s="43">
        <v>0</v>
      </c>
      <c r="W202" s="43">
        <v>0</v>
      </c>
      <c r="X202" s="43">
        <v>0</v>
      </c>
      <c r="Y202" s="43">
        <v>0</v>
      </c>
      <c r="Z202" s="43">
        <v>0</v>
      </c>
      <c r="AA202" s="43">
        <v>0</v>
      </c>
      <c r="AB202" s="43">
        <v>0</v>
      </c>
      <c r="AC202" s="43">
        <v>0</v>
      </c>
      <c r="AD202" s="43">
        <v>0</v>
      </c>
      <c r="AE202" s="43">
        <v>0</v>
      </c>
      <c r="AF202" s="43">
        <v>0</v>
      </c>
      <c r="AG202" s="43"/>
      <c r="AH202" s="43">
        <f t="shared" si="6"/>
        <v>0</v>
      </c>
    </row>
    <row r="203" spans="1:66" x14ac:dyDescent="0.2">
      <c r="A203" s="4">
        <v>229</v>
      </c>
      <c r="B203" s="3" t="s">
        <v>211</v>
      </c>
      <c r="D203" s="3" t="s">
        <v>54</v>
      </c>
      <c r="F203" s="43">
        <v>0</v>
      </c>
      <c r="G203" s="43">
        <v>0</v>
      </c>
      <c r="H203" s="43">
        <v>218613</v>
      </c>
      <c r="I203" s="43">
        <v>0</v>
      </c>
      <c r="J203" s="43">
        <v>132044</v>
      </c>
      <c r="K203" s="43">
        <v>0</v>
      </c>
      <c r="L203" s="43">
        <v>11787</v>
      </c>
      <c r="M203" s="43">
        <v>0</v>
      </c>
      <c r="N203" s="43">
        <v>101397</v>
      </c>
      <c r="O203" s="43">
        <v>0</v>
      </c>
      <c r="P203" s="43">
        <v>193520</v>
      </c>
      <c r="Q203" s="43">
        <v>0</v>
      </c>
      <c r="R203" s="43">
        <v>0</v>
      </c>
      <c r="S203" s="43">
        <v>0</v>
      </c>
      <c r="T203" s="43">
        <v>0</v>
      </c>
      <c r="U203" s="43">
        <v>0</v>
      </c>
      <c r="V203" s="43">
        <v>28733</v>
      </c>
      <c r="W203" s="43">
        <v>0</v>
      </c>
      <c r="X203" s="43">
        <v>0</v>
      </c>
      <c r="Y203" s="43">
        <v>0</v>
      </c>
      <c r="Z203" s="43">
        <v>0</v>
      </c>
      <c r="AA203" s="43">
        <v>0</v>
      </c>
      <c r="AB203" s="43">
        <v>0</v>
      </c>
      <c r="AC203" s="43">
        <v>0</v>
      </c>
      <c r="AD203" s="43">
        <v>0</v>
      </c>
      <c r="AE203" s="43">
        <v>0</v>
      </c>
      <c r="AF203" s="43">
        <v>0</v>
      </c>
      <c r="AG203" s="43"/>
      <c r="AH203" s="43">
        <f t="shared" si="6"/>
        <v>686094</v>
      </c>
    </row>
    <row r="204" spans="1:66" hidden="1" x14ac:dyDescent="0.2">
      <c r="A204" s="4">
        <v>85</v>
      </c>
      <c r="B204" s="3" t="s">
        <v>214</v>
      </c>
      <c r="D204" s="3" t="s">
        <v>40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0</v>
      </c>
      <c r="S204" s="43">
        <v>0</v>
      </c>
      <c r="T204" s="43">
        <v>0</v>
      </c>
      <c r="U204" s="43">
        <v>0</v>
      </c>
      <c r="V204" s="43">
        <v>0</v>
      </c>
      <c r="W204" s="43">
        <v>0</v>
      </c>
      <c r="X204" s="43">
        <v>0</v>
      </c>
      <c r="Y204" s="43">
        <v>0</v>
      </c>
      <c r="Z204" s="43">
        <v>0</v>
      </c>
      <c r="AA204" s="43">
        <v>0</v>
      </c>
      <c r="AB204" s="43">
        <v>0</v>
      </c>
      <c r="AC204" s="43">
        <v>0</v>
      </c>
      <c r="AD204" s="43">
        <v>0</v>
      </c>
      <c r="AE204" s="43">
        <v>0</v>
      </c>
      <c r="AF204" s="43">
        <v>0</v>
      </c>
      <c r="AG204" s="43"/>
      <c r="AH204" s="43">
        <f t="shared" ref="AH204:AH240" si="8">SUM(F204:AF204)</f>
        <v>0</v>
      </c>
    </row>
    <row r="205" spans="1:66" hidden="1" x14ac:dyDescent="0.2">
      <c r="A205" s="4">
        <v>250</v>
      </c>
      <c r="B205" s="35" t="s">
        <v>215</v>
      </c>
      <c r="C205" s="35"/>
      <c r="D205" s="35" t="s">
        <v>494</v>
      </c>
      <c r="E205" s="35"/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3">
        <v>0</v>
      </c>
      <c r="X205" s="43">
        <v>0</v>
      </c>
      <c r="Y205" s="43">
        <v>0</v>
      </c>
      <c r="Z205" s="43">
        <v>0</v>
      </c>
      <c r="AA205" s="43">
        <v>0</v>
      </c>
      <c r="AB205" s="43">
        <v>0</v>
      </c>
      <c r="AC205" s="43">
        <v>0</v>
      </c>
      <c r="AD205" s="43">
        <v>0</v>
      </c>
      <c r="AE205" s="43">
        <v>0</v>
      </c>
      <c r="AF205" s="43">
        <v>0</v>
      </c>
      <c r="AG205" s="43"/>
      <c r="AH205" s="43">
        <f t="shared" si="8"/>
        <v>0</v>
      </c>
      <c r="AI205" s="4"/>
    </row>
    <row r="206" spans="1:66" hidden="1" x14ac:dyDescent="0.2">
      <c r="A206" s="4">
        <v>213</v>
      </c>
      <c r="B206" s="3" t="s">
        <v>216</v>
      </c>
      <c r="D206" s="3" t="s">
        <v>23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43">
        <v>0</v>
      </c>
      <c r="Z206" s="43">
        <v>0</v>
      </c>
      <c r="AA206" s="43">
        <v>0</v>
      </c>
      <c r="AB206" s="43">
        <v>0</v>
      </c>
      <c r="AC206" s="43">
        <v>0</v>
      </c>
      <c r="AD206" s="43">
        <v>0</v>
      </c>
      <c r="AE206" s="43">
        <v>0</v>
      </c>
      <c r="AF206" s="43">
        <v>0</v>
      </c>
      <c r="AG206" s="43"/>
      <c r="AH206" s="43">
        <f t="shared" si="8"/>
        <v>0</v>
      </c>
    </row>
    <row r="207" spans="1:66" x14ac:dyDescent="0.2">
      <c r="A207" s="4"/>
      <c r="B207" s="3" t="s">
        <v>603</v>
      </c>
      <c r="D207" s="3" t="s">
        <v>54</v>
      </c>
      <c r="F207" s="43">
        <v>0</v>
      </c>
      <c r="G207" s="43">
        <v>0</v>
      </c>
      <c r="H207" s="43">
        <v>117212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v>103415</v>
      </c>
      <c r="O207" s="43">
        <v>0</v>
      </c>
      <c r="P207" s="43">
        <v>257900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3">
        <v>0</v>
      </c>
      <c r="X207" s="43">
        <v>0</v>
      </c>
      <c r="Y207" s="43">
        <v>0</v>
      </c>
      <c r="Z207" s="43">
        <v>0</v>
      </c>
      <c r="AA207" s="43">
        <v>0</v>
      </c>
      <c r="AB207" s="43">
        <v>15865</v>
      </c>
      <c r="AC207" s="43">
        <v>0</v>
      </c>
      <c r="AD207" s="43">
        <v>0</v>
      </c>
      <c r="AE207" s="43">
        <v>0</v>
      </c>
      <c r="AF207" s="43">
        <v>0</v>
      </c>
      <c r="AG207" s="43"/>
      <c r="AH207" s="43">
        <f t="shared" si="8"/>
        <v>494392</v>
      </c>
    </row>
    <row r="208" spans="1:66" s="4" customFormat="1" x14ac:dyDescent="0.2">
      <c r="A208" s="4">
        <v>251</v>
      </c>
      <c r="B208" s="3" t="s">
        <v>434</v>
      </c>
      <c r="C208" s="3"/>
      <c r="D208" s="3" t="s">
        <v>63</v>
      </c>
      <c r="E208" s="3"/>
      <c r="F208" s="43">
        <v>0</v>
      </c>
      <c r="G208" s="43">
        <v>0</v>
      </c>
      <c r="H208" s="43">
        <v>37343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0</v>
      </c>
      <c r="Q208" s="43">
        <v>0</v>
      </c>
      <c r="R208" s="43">
        <v>0</v>
      </c>
      <c r="S208" s="43">
        <v>0</v>
      </c>
      <c r="T208" s="43">
        <v>0</v>
      </c>
      <c r="U208" s="43">
        <v>0</v>
      </c>
      <c r="V208" s="43">
        <v>0</v>
      </c>
      <c r="W208" s="43">
        <v>0</v>
      </c>
      <c r="X208" s="43">
        <v>0</v>
      </c>
      <c r="Y208" s="43">
        <v>0</v>
      </c>
      <c r="Z208" s="43">
        <v>0</v>
      </c>
      <c r="AA208" s="43">
        <v>0</v>
      </c>
      <c r="AB208" s="43">
        <v>0</v>
      </c>
      <c r="AC208" s="43">
        <v>0</v>
      </c>
      <c r="AD208" s="43">
        <v>0</v>
      </c>
      <c r="AE208" s="43">
        <v>0</v>
      </c>
      <c r="AF208" s="43">
        <v>0</v>
      </c>
      <c r="AG208" s="43"/>
      <c r="AH208" s="43">
        <f t="shared" si="8"/>
        <v>37343</v>
      </c>
      <c r="AI208" s="47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</row>
    <row r="209" spans="1:66" s="4" customFormat="1" hidden="1" x14ac:dyDescent="0.2">
      <c r="A209" s="4">
        <v>113</v>
      </c>
      <c r="B209" s="3" t="s">
        <v>217</v>
      </c>
      <c r="C209" s="3"/>
      <c r="D209" s="3" t="s">
        <v>87</v>
      </c>
      <c r="E209" s="3"/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3">
        <v>0</v>
      </c>
      <c r="Q209" s="43">
        <v>0</v>
      </c>
      <c r="R209" s="43">
        <v>0</v>
      </c>
      <c r="S209" s="43">
        <v>0</v>
      </c>
      <c r="T209" s="43">
        <v>0</v>
      </c>
      <c r="U209" s="43">
        <v>0</v>
      </c>
      <c r="V209" s="43">
        <v>0</v>
      </c>
      <c r="W209" s="43">
        <v>0</v>
      </c>
      <c r="X209" s="43">
        <v>0</v>
      </c>
      <c r="Y209" s="43">
        <v>0</v>
      </c>
      <c r="Z209" s="43">
        <v>0</v>
      </c>
      <c r="AA209" s="43">
        <v>0</v>
      </c>
      <c r="AB209" s="43">
        <v>0</v>
      </c>
      <c r="AC209" s="43">
        <v>0</v>
      </c>
      <c r="AD209" s="43">
        <v>0</v>
      </c>
      <c r="AE209" s="43">
        <v>0</v>
      </c>
      <c r="AF209" s="43">
        <v>0</v>
      </c>
      <c r="AG209" s="43"/>
      <c r="AH209" s="43">
        <f t="shared" si="8"/>
        <v>0</v>
      </c>
      <c r="AI209" s="47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</row>
    <row r="210" spans="1:66" s="4" customFormat="1" x14ac:dyDescent="0.2">
      <c r="A210" s="4">
        <v>183</v>
      </c>
      <c r="B210" s="3" t="s">
        <v>218</v>
      </c>
      <c r="C210" s="3"/>
      <c r="D210" s="3" t="s">
        <v>156</v>
      </c>
      <c r="E210" s="3"/>
      <c r="F210" s="43">
        <v>0</v>
      </c>
      <c r="G210" s="43">
        <v>0</v>
      </c>
      <c r="H210" s="43">
        <v>25146</v>
      </c>
      <c r="I210" s="43">
        <v>0</v>
      </c>
      <c r="J210" s="43">
        <v>0</v>
      </c>
      <c r="K210" s="43">
        <v>0</v>
      </c>
      <c r="L210" s="43">
        <v>7702</v>
      </c>
      <c r="M210" s="43">
        <v>0</v>
      </c>
      <c r="N210" s="43">
        <v>41314</v>
      </c>
      <c r="O210" s="43">
        <v>0</v>
      </c>
      <c r="P210" s="43">
        <v>176235</v>
      </c>
      <c r="Q210" s="43">
        <v>0</v>
      </c>
      <c r="R210" s="43">
        <v>0</v>
      </c>
      <c r="S210" s="43">
        <v>0</v>
      </c>
      <c r="T210" s="43">
        <v>0</v>
      </c>
      <c r="U210" s="43">
        <v>0</v>
      </c>
      <c r="V210" s="43">
        <v>8975</v>
      </c>
      <c r="W210" s="43">
        <v>0</v>
      </c>
      <c r="X210" s="43">
        <v>0</v>
      </c>
      <c r="Y210" s="43">
        <v>0</v>
      </c>
      <c r="Z210" s="43">
        <v>0</v>
      </c>
      <c r="AA210" s="43">
        <v>0</v>
      </c>
      <c r="AB210" s="43">
        <v>0</v>
      </c>
      <c r="AC210" s="43">
        <v>0</v>
      </c>
      <c r="AD210" s="43">
        <v>0</v>
      </c>
      <c r="AE210" s="43">
        <v>0</v>
      </c>
      <c r="AF210" s="43">
        <v>0</v>
      </c>
      <c r="AG210" s="43"/>
      <c r="AH210" s="43">
        <f t="shared" si="8"/>
        <v>259372</v>
      </c>
      <c r="AI210" s="47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</row>
    <row r="211" spans="1:66" s="4" customFormat="1" x14ac:dyDescent="0.2">
      <c r="A211" s="4">
        <v>116</v>
      </c>
      <c r="B211" s="3" t="s">
        <v>219</v>
      </c>
      <c r="C211" s="3"/>
      <c r="D211" s="3" t="s">
        <v>168</v>
      </c>
      <c r="E211" s="3"/>
      <c r="F211" s="43">
        <v>54902</v>
      </c>
      <c r="G211" s="43">
        <v>0</v>
      </c>
      <c r="H211" s="43">
        <f>157283+109+12908</f>
        <v>170300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>
        <v>0</v>
      </c>
      <c r="P211" s="43">
        <v>0</v>
      </c>
      <c r="Q211" s="43">
        <v>0</v>
      </c>
      <c r="R211" s="43">
        <v>5001</v>
      </c>
      <c r="S211" s="43">
        <v>0</v>
      </c>
      <c r="T211" s="43">
        <v>1468</v>
      </c>
      <c r="U211" s="43">
        <v>0</v>
      </c>
      <c r="V211" s="43">
        <v>30707</v>
      </c>
      <c r="W211" s="43">
        <v>0</v>
      </c>
      <c r="X211" s="43">
        <v>0</v>
      </c>
      <c r="Y211" s="43">
        <v>0</v>
      </c>
      <c r="Z211" s="43">
        <v>0</v>
      </c>
      <c r="AA211" s="43">
        <v>0</v>
      </c>
      <c r="AB211" s="43">
        <v>0</v>
      </c>
      <c r="AC211" s="43">
        <v>0</v>
      </c>
      <c r="AD211" s="43">
        <v>0</v>
      </c>
      <c r="AE211" s="43">
        <v>0</v>
      </c>
      <c r="AF211" s="43">
        <v>0</v>
      </c>
      <c r="AG211" s="43"/>
      <c r="AH211" s="43">
        <f t="shared" si="8"/>
        <v>262378</v>
      </c>
      <c r="AI211" s="47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</row>
    <row r="212" spans="1:66" hidden="1" x14ac:dyDescent="0.2">
      <c r="A212" s="4">
        <v>146</v>
      </c>
      <c r="B212" s="3" t="s">
        <v>220</v>
      </c>
      <c r="D212" s="3" t="s">
        <v>55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43">
        <v>0</v>
      </c>
      <c r="S212" s="43">
        <v>0</v>
      </c>
      <c r="T212" s="43">
        <v>0</v>
      </c>
      <c r="U212" s="43">
        <v>0</v>
      </c>
      <c r="V212" s="43">
        <v>0</v>
      </c>
      <c r="W212" s="43">
        <v>0</v>
      </c>
      <c r="X212" s="43">
        <v>0</v>
      </c>
      <c r="Y212" s="43">
        <v>0</v>
      </c>
      <c r="Z212" s="43">
        <v>0</v>
      </c>
      <c r="AA212" s="43">
        <v>0</v>
      </c>
      <c r="AB212" s="43">
        <v>0</v>
      </c>
      <c r="AC212" s="43">
        <v>0</v>
      </c>
      <c r="AD212" s="43">
        <v>0</v>
      </c>
      <c r="AE212" s="43">
        <v>0</v>
      </c>
      <c r="AF212" s="43">
        <v>0</v>
      </c>
      <c r="AG212" s="43"/>
      <c r="AH212" s="43">
        <f t="shared" si="8"/>
        <v>0</v>
      </c>
      <c r="AT212" s="3">
        <v>838.96</v>
      </c>
    </row>
    <row r="213" spans="1:66" s="28" customFormat="1" x14ac:dyDescent="0.2">
      <c r="A213" s="4">
        <v>246</v>
      </c>
      <c r="B213" s="3" t="s">
        <v>222</v>
      </c>
      <c r="C213" s="3"/>
      <c r="D213" s="3" t="s">
        <v>223</v>
      </c>
      <c r="E213" s="3"/>
      <c r="F213" s="43">
        <v>0</v>
      </c>
      <c r="G213" s="43">
        <v>0</v>
      </c>
      <c r="H213" s="43">
        <v>395694</v>
      </c>
      <c r="I213" s="43">
        <v>0</v>
      </c>
      <c r="J213" s="43">
        <v>139568</v>
      </c>
      <c r="K213" s="43">
        <v>0</v>
      </c>
      <c r="L213" s="43">
        <v>49829</v>
      </c>
      <c r="M213" s="43">
        <v>0</v>
      </c>
      <c r="N213" s="43">
        <v>116870</v>
      </c>
      <c r="O213" s="43">
        <v>0</v>
      </c>
      <c r="P213" s="43">
        <v>160507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43">
        <v>0</v>
      </c>
      <c r="X213" s="43">
        <v>0</v>
      </c>
      <c r="Y213" s="43">
        <v>0</v>
      </c>
      <c r="Z213" s="43">
        <v>0</v>
      </c>
      <c r="AA213" s="43">
        <v>0</v>
      </c>
      <c r="AB213" s="43">
        <v>0</v>
      </c>
      <c r="AC213" s="43">
        <v>0</v>
      </c>
      <c r="AD213" s="43">
        <v>0</v>
      </c>
      <c r="AE213" s="43">
        <v>0</v>
      </c>
      <c r="AF213" s="43">
        <v>0</v>
      </c>
      <c r="AG213" s="43"/>
      <c r="AH213" s="43">
        <f t="shared" si="8"/>
        <v>862468</v>
      </c>
      <c r="AI213" s="47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4"/>
    </row>
    <row r="214" spans="1:66" hidden="1" x14ac:dyDescent="0.2">
      <c r="A214" s="4">
        <v>136</v>
      </c>
      <c r="B214" s="3" t="s">
        <v>224</v>
      </c>
      <c r="D214" s="3" t="s">
        <v>39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>
        <v>0</v>
      </c>
      <c r="P214" s="43">
        <v>0</v>
      </c>
      <c r="Q214" s="43">
        <v>0</v>
      </c>
      <c r="R214" s="43">
        <v>0</v>
      </c>
      <c r="S214" s="43">
        <v>0</v>
      </c>
      <c r="T214" s="43">
        <v>0</v>
      </c>
      <c r="U214" s="43">
        <v>0</v>
      </c>
      <c r="V214" s="43">
        <v>0</v>
      </c>
      <c r="W214" s="43">
        <v>0</v>
      </c>
      <c r="X214" s="43">
        <v>0</v>
      </c>
      <c r="Y214" s="43">
        <v>0</v>
      </c>
      <c r="Z214" s="43">
        <v>0</v>
      </c>
      <c r="AA214" s="43">
        <v>0</v>
      </c>
      <c r="AB214" s="43">
        <v>0</v>
      </c>
      <c r="AC214" s="43">
        <v>0</v>
      </c>
      <c r="AD214" s="43">
        <v>0</v>
      </c>
      <c r="AE214" s="43">
        <v>0</v>
      </c>
      <c r="AF214" s="43">
        <v>0</v>
      </c>
      <c r="AG214" s="43"/>
      <c r="AH214" s="43">
        <f t="shared" si="8"/>
        <v>0</v>
      </c>
      <c r="AI214" s="47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4"/>
    </row>
    <row r="215" spans="1:66" s="28" customFormat="1" hidden="1" x14ac:dyDescent="0.2">
      <c r="A215" s="4">
        <v>106</v>
      </c>
      <c r="B215" s="3" t="s">
        <v>225</v>
      </c>
      <c r="C215" s="3"/>
      <c r="D215" s="3" t="s">
        <v>58</v>
      </c>
      <c r="E215" s="3"/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>
        <v>0</v>
      </c>
      <c r="P215" s="43">
        <v>0</v>
      </c>
      <c r="Q215" s="43">
        <v>0</v>
      </c>
      <c r="R215" s="43">
        <v>0</v>
      </c>
      <c r="S215" s="43">
        <v>0</v>
      </c>
      <c r="T215" s="43">
        <v>0</v>
      </c>
      <c r="U215" s="43">
        <v>0</v>
      </c>
      <c r="V215" s="43">
        <v>0</v>
      </c>
      <c r="W215" s="43">
        <v>0</v>
      </c>
      <c r="X215" s="43">
        <v>0</v>
      </c>
      <c r="Y215" s="43">
        <v>0</v>
      </c>
      <c r="Z215" s="43">
        <v>0</v>
      </c>
      <c r="AA215" s="43">
        <v>0</v>
      </c>
      <c r="AB215" s="43">
        <v>0</v>
      </c>
      <c r="AC215" s="43">
        <v>0</v>
      </c>
      <c r="AD215" s="43">
        <v>0</v>
      </c>
      <c r="AE215" s="43">
        <v>0</v>
      </c>
      <c r="AF215" s="43">
        <v>0</v>
      </c>
      <c r="AG215" s="43"/>
      <c r="AH215" s="43">
        <f t="shared" si="8"/>
        <v>0</v>
      </c>
      <c r="AI215" s="47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4"/>
    </row>
    <row r="216" spans="1:66" s="28" customFormat="1" hidden="1" x14ac:dyDescent="0.2">
      <c r="A216" s="4">
        <v>184</v>
      </c>
      <c r="B216" s="3" t="s">
        <v>226</v>
      </c>
      <c r="C216" s="3"/>
      <c r="D216" s="3" t="s">
        <v>227</v>
      </c>
      <c r="E216" s="3"/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0</v>
      </c>
      <c r="V216" s="43">
        <v>0</v>
      </c>
      <c r="W216" s="43">
        <v>0</v>
      </c>
      <c r="X216" s="43">
        <v>0</v>
      </c>
      <c r="Y216" s="43">
        <v>0</v>
      </c>
      <c r="Z216" s="43">
        <v>0</v>
      </c>
      <c r="AA216" s="43">
        <v>0</v>
      </c>
      <c r="AB216" s="43">
        <v>0</v>
      </c>
      <c r="AC216" s="43">
        <v>0</v>
      </c>
      <c r="AD216" s="43">
        <v>0</v>
      </c>
      <c r="AE216" s="43">
        <v>0</v>
      </c>
      <c r="AF216" s="43">
        <v>0</v>
      </c>
      <c r="AG216" s="43"/>
      <c r="AH216" s="43">
        <f t="shared" si="8"/>
        <v>0</v>
      </c>
      <c r="AI216" s="47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4"/>
    </row>
    <row r="217" spans="1:66" s="4" customFormat="1" hidden="1" x14ac:dyDescent="0.2">
      <c r="A217" s="4">
        <v>252</v>
      </c>
      <c r="B217" s="35" t="s">
        <v>457</v>
      </c>
      <c r="C217" s="35"/>
      <c r="D217" s="35" t="s">
        <v>494</v>
      </c>
      <c r="E217" s="35"/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>
        <v>0</v>
      </c>
      <c r="P217" s="43">
        <v>0</v>
      </c>
      <c r="Q217" s="43">
        <v>0</v>
      </c>
      <c r="R217" s="43">
        <v>0</v>
      </c>
      <c r="S217" s="43">
        <v>0</v>
      </c>
      <c r="T217" s="43">
        <v>0</v>
      </c>
      <c r="U217" s="43">
        <v>0</v>
      </c>
      <c r="V217" s="43">
        <v>0</v>
      </c>
      <c r="W217" s="43">
        <v>0</v>
      </c>
      <c r="X217" s="43">
        <v>0</v>
      </c>
      <c r="Y217" s="43">
        <v>0</v>
      </c>
      <c r="Z217" s="43">
        <v>0</v>
      </c>
      <c r="AA217" s="43">
        <v>0</v>
      </c>
      <c r="AB217" s="43">
        <v>0</v>
      </c>
      <c r="AC217" s="43">
        <v>0</v>
      </c>
      <c r="AD217" s="43">
        <v>0</v>
      </c>
      <c r="AE217" s="43">
        <v>0</v>
      </c>
      <c r="AF217" s="43">
        <v>0</v>
      </c>
      <c r="AG217" s="43"/>
      <c r="AH217" s="43">
        <f t="shared" si="8"/>
        <v>0</v>
      </c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s="4" customFormat="1" hidden="1" x14ac:dyDescent="0.2">
      <c r="A218" s="4">
        <v>219</v>
      </c>
      <c r="B218" s="3" t="s">
        <v>230</v>
      </c>
      <c r="C218" s="3"/>
      <c r="D218" s="3" t="s">
        <v>20</v>
      </c>
      <c r="E218" s="3"/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3">
        <v>0</v>
      </c>
      <c r="X218" s="43">
        <v>0</v>
      </c>
      <c r="Y218" s="43">
        <v>0</v>
      </c>
      <c r="Z218" s="43">
        <v>0</v>
      </c>
      <c r="AA218" s="43">
        <v>0</v>
      </c>
      <c r="AB218" s="43">
        <v>0</v>
      </c>
      <c r="AC218" s="43">
        <v>0</v>
      </c>
      <c r="AD218" s="43">
        <v>0</v>
      </c>
      <c r="AE218" s="43">
        <v>0</v>
      </c>
      <c r="AF218" s="43">
        <v>0</v>
      </c>
      <c r="AG218" s="43"/>
      <c r="AH218" s="43">
        <f t="shared" si="8"/>
        <v>0</v>
      </c>
      <c r="AI218" s="47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</row>
    <row r="219" spans="1:66" s="4" customFormat="1" hidden="1" x14ac:dyDescent="0.2">
      <c r="A219" s="4">
        <v>187</v>
      </c>
      <c r="B219" s="35" t="s">
        <v>590</v>
      </c>
      <c r="C219" s="35"/>
      <c r="D219" s="35" t="s">
        <v>489</v>
      </c>
      <c r="E219" s="35"/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43">
        <v>0</v>
      </c>
      <c r="T219" s="43">
        <v>0</v>
      </c>
      <c r="U219" s="43">
        <v>0</v>
      </c>
      <c r="V219" s="43">
        <v>0</v>
      </c>
      <c r="W219" s="43">
        <v>0</v>
      </c>
      <c r="X219" s="43">
        <v>0</v>
      </c>
      <c r="Y219" s="43">
        <v>0</v>
      </c>
      <c r="Z219" s="43">
        <v>0</v>
      </c>
      <c r="AA219" s="43">
        <v>0</v>
      </c>
      <c r="AB219" s="43">
        <v>0</v>
      </c>
      <c r="AC219" s="43">
        <v>0</v>
      </c>
      <c r="AD219" s="43">
        <v>0</v>
      </c>
      <c r="AE219" s="43">
        <v>0</v>
      </c>
      <c r="AF219" s="43">
        <v>0</v>
      </c>
      <c r="AG219" s="43"/>
      <c r="AH219" s="43">
        <f t="shared" si="8"/>
        <v>0</v>
      </c>
      <c r="AI219" s="47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</row>
    <row r="220" spans="1:66" x14ac:dyDescent="0.2">
      <c r="A220" s="4">
        <v>176</v>
      </c>
      <c r="B220" s="3" t="s">
        <v>231</v>
      </c>
      <c r="D220" s="3" t="s">
        <v>66</v>
      </c>
      <c r="F220" s="43">
        <v>0</v>
      </c>
      <c r="G220" s="43">
        <v>0</v>
      </c>
      <c r="H220" s="43">
        <v>122100</v>
      </c>
      <c r="I220" s="43">
        <v>0</v>
      </c>
      <c r="J220" s="43">
        <v>29448</v>
      </c>
      <c r="K220" s="43">
        <v>0</v>
      </c>
      <c r="L220" s="43">
        <v>0</v>
      </c>
      <c r="M220" s="43">
        <v>0</v>
      </c>
      <c r="N220" s="43">
        <v>51261</v>
      </c>
      <c r="O220" s="43">
        <v>0</v>
      </c>
      <c r="P220" s="43">
        <v>822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9669</v>
      </c>
      <c r="W220" s="43">
        <v>0</v>
      </c>
      <c r="X220" s="43">
        <v>0</v>
      </c>
      <c r="Y220" s="43">
        <v>0</v>
      </c>
      <c r="Z220" s="43">
        <v>0</v>
      </c>
      <c r="AA220" s="43">
        <v>0</v>
      </c>
      <c r="AB220" s="43">
        <v>0</v>
      </c>
      <c r="AC220" s="43">
        <v>0</v>
      </c>
      <c r="AD220" s="43">
        <v>0</v>
      </c>
      <c r="AE220" s="43">
        <v>0</v>
      </c>
      <c r="AF220" s="43">
        <v>0</v>
      </c>
      <c r="AG220" s="43"/>
      <c r="AH220" s="43">
        <f t="shared" si="8"/>
        <v>213300</v>
      </c>
    </row>
    <row r="221" spans="1:66" s="4" customFormat="1" x14ac:dyDescent="0.2">
      <c r="A221" s="4">
        <v>128</v>
      </c>
      <c r="B221" s="3" t="s">
        <v>232</v>
      </c>
      <c r="C221" s="3"/>
      <c r="D221" s="3" t="s">
        <v>13</v>
      </c>
      <c r="E221" s="3"/>
      <c r="F221" s="43">
        <v>0</v>
      </c>
      <c r="G221" s="43">
        <v>0</v>
      </c>
      <c r="H221" s="43">
        <v>772943.55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0</v>
      </c>
      <c r="S221" s="43">
        <v>0</v>
      </c>
      <c r="T221" s="43">
        <v>0</v>
      </c>
      <c r="U221" s="43">
        <v>0</v>
      </c>
      <c r="V221" s="43">
        <v>1140</v>
      </c>
      <c r="W221" s="43">
        <v>0</v>
      </c>
      <c r="X221" s="43">
        <v>110101.96</v>
      </c>
      <c r="Y221" s="43">
        <v>0</v>
      </c>
      <c r="Z221" s="43">
        <v>0</v>
      </c>
      <c r="AA221" s="43">
        <v>0</v>
      </c>
      <c r="AB221" s="43">
        <v>0</v>
      </c>
      <c r="AC221" s="43">
        <v>0</v>
      </c>
      <c r="AD221" s="43">
        <v>0</v>
      </c>
      <c r="AE221" s="43">
        <v>0</v>
      </c>
      <c r="AF221" s="43">
        <v>0</v>
      </c>
      <c r="AG221" s="43"/>
      <c r="AH221" s="43">
        <f t="shared" si="8"/>
        <v>884185.51</v>
      </c>
      <c r="AI221" s="47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</row>
    <row r="222" spans="1:66" s="4" customFormat="1" x14ac:dyDescent="0.2">
      <c r="A222" s="4">
        <v>188</v>
      </c>
      <c r="B222" s="3" t="s">
        <v>233</v>
      </c>
      <c r="C222" s="3"/>
      <c r="D222" s="3" t="s">
        <v>234</v>
      </c>
      <c r="E222" s="3"/>
      <c r="F222" s="43">
        <v>0</v>
      </c>
      <c r="G222" s="43">
        <v>0</v>
      </c>
      <c r="H222" s="43">
        <v>792911</v>
      </c>
      <c r="I222" s="43">
        <v>0</v>
      </c>
      <c r="J222" s="43">
        <v>222870</v>
      </c>
      <c r="K222" s="43">
        <v>0</v>
      </c>
      <c r="L222" s="43">
        <v>78723</v>
      </c>
      <c r="M222" s="43">
        <v>0</v>
      </c>
      <c r="N222" s="43">
        <v>191493</v>
      </c>
      <c r="O222" s="43">
        <v>0</v>
      </c>
      <c r="P222" s="43">
        <v>256066</v>
      </c>
      <c r="Q222" s="43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20213</v>
      </c>
      <c r="W222" s="43">
        <v>0</v>
      </c>
      <c r="X222" s="43">
        <v>0</v>
      </c>
      <c r="Y222" s="43">
        <v>0</v>
      </c>
      <c r="Z222" s="43">
        <v>0</v>
      </c>
      <c r="AA222" s="43">
        <v>0</v>
      </c>
      <c r="AB222" s="43">
        <v>0</v>
      </c>
      <c r="AC222" s="43">
        <v>0</v>
      </c>
      <c r="AD222" s="43">
        <v>0</v>
      </c>
      <c r="AE222" s="43">
        <v>0</v>
      </c>
      <c r="AF222" s="43">
        <v>0</v>
      </c>
      <c r="AG222" s="43"/>
      <c r="AH222" s="43">
        <f t="shared" si="8"/>
        <v>1562276</v>
      </c>
      <c r="AI222" s="47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</row>
    <row r="223" spans="1:66" s="4" customFormat="1" hidden="1" x14ac:dyDescent="0.2">
      <c r="A223" s="4">
        <v>72</v>
      </c>
      <c r="B223" s="35" t="s">
        <v>310</v>
      </c>
      <c r="C223" s="35"/>
      <c r="D223" s="35" t="s">
        <v>475</v>
      </c>
      <c r="E223" s="35"/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>
        <v>0</v>
      </c>
      <c r="P223" s="43">
        <v>0</v>
      </c>
      <c r="Q223" s="43">
        <v>0</v>
      </c>
      <c r="R223" s="43">
        <v>0</v>
      </c>
      <c r="S223" s="43">
        <v>0</v>
      </c>
      <c r="T223" s="43">
        <v>0</v>
      </c>
      <c r="U223" s="43">
        <v>0</v>
      </c>
      <c r="V223" s="43">
        <v>0</v>
      </c>
      <c r="W223" s="43">
        <v>0</v>
      </c>
      <c r="X223" s="43">
        <v>0</v>
      </c>
      <c r="Y223" s="43">
        <v>0</v>
      </c>
      <c r="Z223" s="43">
        <v>0</v>
      </c>
      <c r="AA223" s="43">
        <v>0</v>
      </c>
      <c r="AB223" s="43">
        <v>0</v>
      </c>
      <c r="AC223" s="43">
        <v>0</v>
      </c>
      <c r="AD223" s="43">
        <v>0</v>
      </c>
      <c r="AE223" s="43">
        <v>0</v>
      </c>
      <c r="AF223" s="43">
        <v>0</v>
      </c>
      <c r="AG223" s="43"/>
      <c r="AH223" s="43">
        <f t="shared" si="8"/>
        <v>0</v>
      </c>
      <c r="AI223" s="47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</row>
    <row r="224" spans="1:66" s="4" customFormat="1" hidden="1" x14ac:dyDescent="0.2">
      <c r="A224" s="4">
        <v>163</v>
      </c>
      <c r="B224" s="4" t="s">
        <v>570</v>
      </c>
      <c r="C224" s="3"/>
      <c r="D224" s="3" t="s">
        <v>51</v>
      </c>
      <c r="E224" s="3"/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>
        <v>0</v>
      </c>
      <c r="P224" s="43">
        <v>0</v>
      </c>
      <c r="Q224" s="43">
        <v>0</v>
      </c>
      <c r="R224" s="43">
        <v>0</v>
      </c>
      <c r="S224" s="43">
        <v>0</v>
      </c>
      <c r="T224" s="43">
        <v>0</v>
      </c>
      <c r="U224" s="43">
        <v>0</v>
      </c>
      <c r="V224" s="43">
        <v>0</v>
      </c>
      <c r="W224" s="43">
        <v>0</v>
      </c>
      <c r="X224" s="43">
        <v>0</v>
      </c>
      <c r="Y224" s="43">
        <v>0</v>
      </c>
      <c r="Z224" s="43">
        <v>0</v>
      </c>
      <c r="AA224" s="43">
        <v>0</v>
      </c>
      <c r="AB224" s="43">
        <v>0</v>
      </c>
      <c r="AC224" s="43">
        <v>0</v>
      </c>
      <c r="AD224" s="43">
        <v>0</v>
      </c>
      <c r="AE224" s="43">
        <v>0</v>
      </c>
      <c r="AF224" s="43">
        <v>0</v>
      </c>
      <c r="AG224" s="43"/>
      <c r="AH224" s="43">
        <f t="shared" si="8"/>
        <v>0</v>
      </c>
      <c r="AI224" s="47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</row>
    <row r="225" spans="1:66" s="4" customFormat="1" hidden="1" x14ac:dyDescent="0.2">
      <c r="A225" s="4">
        <v>151</v>
      </c>
      <c r="B225" s="3" t="s">
        <v>235</v>
      </c>
      <c r="C225" s="3"/>
      <c r="D225" s="3" t="s">
        <v>10</v>
      </c>
      <c r="E225" s="3"/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3">
        <v>0</v>
      </c>
      <c r="R225" s="43">
        <v>0</v>
      </c>
      <c r="S225" s="43">
        <v>0</v>
      </c>
      <c r="T225" s="43">
        <v>0</v>
      </c>
      <c r="U225" s="43">
        <v>0</v>
      </c>
      <c r="V225" s="43">
        <v>0</v>
      </c>
      <c r="W225" s="43">
        <v>0</v>
      </c>
      <c r="X225" s="43">
        <v>0</v>
      </c>
      <c r="Y225" s="43">
        <v>0</v>
      </c>
      <c r="Z225" s="43">
        <v>0</v>
      </c>
      <c r="AA225" s="43">
        <v>0</v>
      </c>
      <c r="AB225" s="43">
        <v>0</v>
      </c>
      <c r="AC225" s="43">
        <v>0</v>
      </c>
      <c r="AD225" s="43">
        <v>0</v>
      </c>
      <c r="AE225" s="43">
        <v>0</v>
      </c>
      <c r="AF225" s="43">
        <v>0</v>
      </c>
      <c r="AG225" s="43"/>
      <c r="AH225" s="43">
        <f t="shared" si="8"/>
        <v>0</v>
      </c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s="4" customFormat="1" x14ac:dyDescent="0.2">
      <c r="A226" s="4">
        <v>192</v>
      </c>
      <c r="B226" s="3" t="s">
        <v>591</v>
      </c>
      <c r="C226" s="3"/>
      <c r="D226" s="3" t="s">
        <v>171</v>
      </c>
      <c r="E226" s="3"/>
      <c r="F226" s="43">
        <v>0</v>
      </c>
      <c r="G226" s="43">
        <v>0</v>
      </c>
      <c r="H226" s="43">
        <v>865154</v>
      </c>
      <c r="I226" s="43">
        <v>0</v>
      </c>
      <c r="J226" s="43">
        <v>360676</v>
      </c>
      <c r="K226" s="43">
        <v>0</v>
      </c>
      <c r="L226" s="43">
        <v>100338</v>
      </c>
      <c r="M226" s="43">
        <v>0</v>
      </c>
      <c r="N226" s="43">
        <v>155902</v>
      </c>
      <c r="O226" s="43">
        <v>0</v>
      </c>
      <c r="P226" s="43">
        <v>399069</v>
      </c>
      <c r="Q226" s="43">
        <v>0</v>
      </c>
      <c r="R226" s="43">
        <v>0</v>
      </c>
      <c r="S226" s="43">
        <v>0</v>
      </c>
      <c r="T226" s="43">
        <v>0</v>
      </c>
      <c r="U226" s="43">
        <v>0</v>
      </c>
      <c r="V226" s="43">
        <v>25635</v>
      </c>
      <c r="W226" s="43">
        <v>0</v>
      </c>
      <c r="X226" s="43">
        <v>0</v>
      </c>
      <c r="Y226" s="43">
        <v>0</v>
      </c>
      <c r="Z226" s="43">
        <v>0</v>
      </c>
      <c r="AA226" s="43">
        <v>0</v>
      </c>
      <c r="AB226" s="43">
        <v>110000</v>
      </c>
      <c r="AC226" s="43">
        <v>0</v>
      </c>
      <c r="AD226" s="43">
        <v>0</v>
      </c>
      <c r="AE226" s="43">
        <v>0</v>
      </c>
      <c r="AF226" s="43">
        <v>0</v>
      </c>
      <c r="AG226" s="43"/>
      <c r="AH226" s="43">
        <f t="shared" si="8"/>
        <v>2016774</v>
      </c>
      <c r="AI226" s="47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</row>
    <row r="227" spans="1:66" s="4" customFormat="1" hidden="1" x14ac:dyDescent="0.2">
      <c r="B227" s="4" t="s">
        <v>604</v>
      </c>
      <c r="D227" s="4" t="s">
        <v>156</v>
      </c>
      <c r="E227" s="3"/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0</v>
      </c>
      <c r="P227" s="43">
        <v>0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43">
        <v>0</v>
      </c>
      <c r="W227" s="43">
        <v>0</v>
      </c>
      <c r="X227" s="43">
        <v>0</v>
      </c>
      <c r="Y227" s="43">
        <v>0</v>
      </c>
      <c r="Z227" s="43">
        <v>0</v>
      </c>
      <c r="AA227" s="43">
        <v>0</v>
      </c>
      <c r="AB227" s="43">
        <v>0</v>
      </c>
      <c r="AC227" s="43">
        <v>0</v>
      </c>
      <c r="AD227" s="43">
        <v>0</v>
      </c>
      <c r="AE227" s="43">
        <v>0</v>
      </c>
      <c r="AF227" s="43">
        <v>0</v>
      </c>
      <c r="AG227" s="43"/>
      <c r="AH227" s="43">
        <f t="shared" si="8"/>
        <v>0</v>
      </c>
      <c r="AI227" s="47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</row>
    <row r="228" spans="1:66" s="4" customFormat="1" x14ac:dyDescent="0.2">
      <c r="A228" s="4">
        <v>55</v>
      </c>
      <c r="B228" s="4" t="s">
        <v>436</v>
      </c>
      <c r="D228" s="4" t="s">
        <v>17</v>
      </c>
      <c r="F228" s="43">
        <v>0</v>
      </c>
      <c r="G228" s="43">
        <v>0</v>
      </c>
      <c r="H228" s="43">
        <v>1923668</v>
      </c>
      <c r="I228" s="43">
        <v>0</v>
      </c>
      <c r="J228" s="43">
        <v>1168977</v>
      </c>
      <c r="K228" s="43">
        <v>0</v>
      </c>
      <c r="L228" s="43">
        <v>185973</v>
      </c>
      <c r="M228" s="43">
        <v>0</v>
      </c>
      <c r="N228" s="43">
        <v>434191</v>
      </c>
      <c r="O228" s="43">
        <v>0</v>
      </c>
      <c r="P228" s="43">
        <v>789690</v>
      </c>
      <c r="Q228" s="43">
        <v>0</v>
      </c>
      <c r="R228" s="43">
        <v>0</v>
      </c>
      <c r="S228" s="43">
        <v>0</v>
      </c>
      <c r="T228" s="43">
        <v>0</v>
      </c>
      <c r="U228" s="43">
        <v>0</v>
      </c>
      <c r="V228" s="43">
        <v>17165</v>
      </c>
      <c r="W228" s="43">
        <v>0</v>
      </c>
      <c r="X228" s="43">
        <v>0</v>
      </c>
      <c r="Y228" s="43">
        <v>0</v>
      </c>
      <c r="Z228" s="43">
        <v>0</v>
      </c>
      <c r="AA228" s="43">
        <v>0</v>
      </c>
      <c r="AB228" s="43">
        <v>237273</v>
      </c>
      <c r="AC228" s="43">
        <v>0</v>
      </c>
      <c r="AD228" s="43">
        <v>0</v>
      </c>
      <c r="AE228" s="43">
        <v>0</v>
      </c>
      <c r="AF228" s="43">
        <v>0</v>
      </c>
      <c r="AG228" s="43"/>
      <c r="AH228" s="43">
        <f t="shared" si="8"/>
        <v>4756937</v>
      </c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x14ac:dyDescent="0.2">
      <c r="A229" s="4">
        <v>202</v>
      </c>
      <c r="B229" s="3" t="s">
        <v>21</v>
      </c>
      <c r="D229" s="3" t="s">
        <v>22</v>
      </c>
      <c r="F229" s="43">
        <v>0</v>
      </c>
      <c r="G229" s="43">
        <v>0</v>
      </c>
      <c r="H229" s="43">
        <v>2536172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v>0</v>
      </c>
      <c r="O229" s="43">
        <v>0</v>
      </c>
      <c r="P229" s="43">
        <v>0</v>
      </c>
      <c r="Q229" s="43">
        <v>0</v>
      </c>
      <c r="R229" s="43">
        <v>0</v>
      </c>
      <c r="S229" s="43">
        <v>0</v>
      </c>
      <c r="T229" s="43">
        <v>0</v>
      </c>
      <c r="U229" s="43">
        <v>0</v>
      </c>
      <c r="V229" s="43">
        <v>179121</v>
      </c>
      <c r="W229" s="43">
        <v>0</v>
      </c>
      <c r="X229" s="43">
        <v>0</v>
      </c>
      <c r="Y229" s="43">
        <v>0</v>
      </c>
      <c r="Z229" s="43">
        <v>0</v>
      </c>
      <c r="AA229" s="43">
        <v>0</v>
      </c>
      <c r="AB229" s="43">
        <v>0</v>
      </c>
      <c r="AC229" s="43">
        <v>0</v>
      </c>
      <c r="AD229" s="43">
        <v>0</v>
      </c>
      <c r="AE229" s="43">
        <v>0</v>
      </c>
      <c r="AF229" s="43">
        <v>0</v>
      </c>
      <c r="AG229" s="43"/>
      <c r="AH229" s="43">
        <f t="shared" si="8"/>
        <v>2715293</v>
      </c>
    </row>
    <row r="230" spans="1:66" x14ac:dyDescent="0.2">
      <c r="A230" s="4">
        <v>196</v>
      </c>
      <c r="B230" s="3" t="s">
        <v>592</v>
      </c>
      <c r="D230" s="3" t="s">
        <v>100</v>
      </c>
      <c r="F230" s="43">
        <v>0</v>
      </c>
      <c r="G230" s="43">
        <v>0</v>
      </c>
      <c r="H230" s="43">
        <f>1085999+19613</f>
        <v>1105612</v>
      </c>
      <c r="I230" s="43">
        <v>0</v>
      </c>
      <c r="J230" s="43">
        <v>305533</v>
      </c>
      <c r="K230" s="43">
        <v>0</v>
      </c>
      <c r="L230" s="43">
        <v>0</v>
      </c>
      <c r="M230" s="43">
        <v>0</v>
      </c>
      <c r="N230" s="43">
        <v>154632</v>
      </c>
      <c r="O230" s="43">
        <v>0</v>
      </c>
      <c r="P230" s="43">
        <v>49638</v>
      </c>
      <c r="Q230" s="43">
        <v>0</v>
      </c>
      <c r="R230" s="43">
        <v>0</v>
      </c>
      <c r="S230" s="43">
        <v>0</v>
      </c>
      <c r="T230" s="43">
        <v>5976</v>
      </c>
      <c r="U230" s="43">
        <v>0</v>
      </c>
      <c r="V230" s="43">
        <v>107908</v>
      </c>
      <c r="W230" s="43">
        <v>0</v>
      </c>
      <c r="X230" s="43">
        <v>0</v>
      </c>
      <c r="Y230" s="43">
        <v>0</v>
      </c>
      <c r="Z230" s="43">
        <v>0</v>
      </c>
      <c r="AA230" s="43">
        <v>0</v>
      </c>
      <c r="AB230" s="43">
        <v>0</v>
      </c>
      <c r="AC230" s="43">
        <v>0</v>
      </c>
      <c r="AD230" s="43">
        <v>0</v>
      </c>
      <c r="AE230" s="43">
        <v>0</v>
      </c>
      <c r="AF230" s="43">
        <v>0</v>
      </c>
      <c r="AG230" s="43"/>
      <c r="AH230" s="43">
        <f t="shared" si="8"/>
        <v>1729299</v>
      </c>
    </row>
    <row r="231" spans="1:66" x14ac:dyDescent="0.2">
      <c r="A231" s="4"/>
      <c r="B231" s="4" t="s">
        <v>605</v>
      </c>
      <c r="C231" s="15"/>
      <c r="D231" s="15" t="s">
        <v>565</v>
      </c>
      <c r="F231" s="43">
        <v>0</v>
      </c>
      <c r="G231" s="43">
        <v>0</v>
      </c>
      <c r="H231" s="43">
        <v>25101652</v>
      </c>
      <c r="I231" s="43">
        <v>0</v>
      </c>
      <c r="J231" s="43">
        <v>13353727</v>
      </c>
      <c r="K231" s="43">
        <v>0</v>
      </c>
      <c r="L231" s="43">
        <v>1623431</v>
      </c>
      <c r="M231" s="43">
        <v>0</v>
      </c>
      <c r="N231" s="43">
        <v>8173678</v>
      </c>
      <c r="O231" s="43">
        <v>0</v>
      </c>
      <c r="P231" s="43">
        <v>4828572</v>
      </c>
      <c r="Q231" s="43">
        <v>0</v>
      </c>
      <c r="R231" s="43">
        <v>0</v>
      </c>
      <c r="S231" s="43">
        <v>0</v>
      </c>
      <c r="T231" s="43">
        <v>0</v>
      </c>
      <c r="U231" s="43">
        <v>0</v>
      </c>
      <c r="V231" s="43">
        <v>0</v>
      </c>
      <c r="W231" s="43">
        <v>0</v>
      </c>
      <c r="X231" s="43">
        <v>0</v>
      </c>
      <c r="Y231" s="43">
        <v>0</v>
      </c>
      <c r="Z231" s="43">
        <v>0</v>
      </c>
      <c r="AA231" s="43">
        <v>0</v>
      </c>
      <c r="AB231" s="43">
        <v>2500000</v>
      </c>
      <c r="AC231" s="43">
        <v>0</v>
      </c>
      <c r="AD231" s="43">
        <v>0</v>
      </c>
      <c r="AE231" s="43">
        <v>0</v>
      </c>
      <c r="AF231" s="43">
        <v>0</v>
      </c>
      <c r="AG231" s="43"/>
      <c r="AH231" s="43">
        <f t="shared" si="8"/>
        <v>55581060</v>
      </c>
    </row>
    <row r="232" spans="1:66" s="4" customFormat="1" hidden="1" x14ac:dyDescent="0.2">
      <c r="A232" s="4">
        <v>102</v>
      </c>
      <c r="B232" s="35" t="s">
        <v>236</v>
      </c>
      <c r="C232" s="35"/>
      <c r="D232" s="35" t="s">
        <v>476</v>
      </c>
      <c r="E232" s="35"/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v>0</v>
      </c>
      <c r="O232" s="43">
        <v>0</v>
      </c>
      <c r="P232" s="43">
        <v>0</v>
      </c>
      <c r="Q232" s="43">
        <v>0</v>
      </c>
      <c r="R232" s="43">
        <v>0</v>
      </c>
      <c r="S232" s="43">
        <v>0</v>
      </c>
      <c r="T232" s="43">
        <v>0</v>
      </c>
      <c r="U232" s="43">
        <v>0</v>
      </c>
      <c r="V232" s="43">
        <v>0</v>
      </c>
      <c r="W232" s="43">
        <v>0</v>
      </c>
      <c r="X232" s="43">
        <v>0</v>
      </c>
      <c r="Y232" s="43">
        <v>0</v>
      </c>
      <c r="Z232" s="43">
        <v>0</v>
      </c>
      <c r="AA232" s="43">
        <v>0</v>
      </c>
      <c r="AB232" s="43">
        <v>0</v>
      </c>
      <c r="AC232" s="43">
        <v>0</v>
      </c>
      <c r="AD232" s="43">
        <v>0</v>
      </c>
      <c r="AE232" s="43">
        <v>0</v>
      </c>
      <c r="AF232" s="43">
        <v>0</v>
      </c>
      <c r="AG232" s="43"/>
      <c r="AH232" s="43">
        <f t="shared" si="8"/>
        <v>0</v>
      </c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s="4" customFormat="1" hidden="1" x14ac:dyDescent="0.2">
      <c r="A233" s="39">
        <v>197.1</v>
      </c>
      <c r="B233" s="3" t="s">
        <v>568</v>
      </c>
      <c r="C233" s="3"/>
      <c r="D233" s="3" t="s">
        <v>569</v>
      </c>
      <c r="E233" s="3"/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3">
        <v>0</v>
      </c>
      <c r="R233" s="43">
        <v>0</v>
      </c>
      <c r="S233" s="43">
        <v>0</v>
      </c>
      <c r="T233" s="43">
        <v>0</v>
      </c>
      <c r="U233" s="43">
        <v>0</v>
      </c>
      <c r="V233" s="43">
        <v>0</v>
      </c>
      <c r="W233" s="43">
        <v>0</v>
      </c>
      <c r="X233" s="43">
        <v>0</v>
      </c>
      <c r="Y233" s="43">
        <v>0</v>
      </c>
      <c r="Z233" s="43">
        <v>0</v>
      </c>
      <c r="AA233" s="43">
        <v>0</v>
      </c>
      <c r="AB233" s="43">
        <v>0</v>
      </c>
      <c r="AC233" s="43">
        <v>0</v>
      </c>
      <c r="AD233" s="43">
        <v>0</v>
      </c>
      <c r="AE233" s="43">
        <v>0</v>
      </c>
      <c r="AF233" s="43">
        <v>0</v>
      </c>
      <c r="AG233" s="43"/>
      <c r="AH233" s="43">
        <f t="shared" si="8"/>
        <v>0</v>
      </c>
      <c r="AI233" s="47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</row>
    <row r="234" spans="1:66" s="4" customFormat="1" hidden="1" x14ac:dyDescent="0.2">
      <c r="A234" s="4">
        <v>193</v>
      </c>
      <c r="B234" s="3" t="s">
        <v>237</v>
      </c>
      <c r="C234" s="3"/>
      <c r="D234" s="3" t="s">
        <v>171</v>
      </c>
      <c r="E234" s="3"/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v>0</v>
      </c>
      <c r="O234" s="43">
        <v>0</v>
      </c>
      <c r="P234" s="43">
        <v>0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43">
        <v>0</v>
      </c>
      <c r="W234" s="43">
        <v>0</v>
      </c>
      <c r="X234" s="43">
        <v>0</v>
      </c>
      <c r="Y234" s="43">
        <v>0</v>
      </c>
      <c r="Z234" s="43">
        <v>0</v>
      </c>
      <c r="AA234" s="43">
        <v>0</v>
      </c>
      <c r="AB234" s="43">
        <v>0</v>
      </c>
      <c r="AC234" s="43">
        <v>0</v>
      </c>
      <c r="AD234" s="43">
        <v>0</v>
      </c>
      <c r="AE234" s="43">
        <v>0</v>
      </c>
      <c r="AF234" s="43">
        <v>0</v>
      </c>
      <c r="AG234" s="43"/>
      <c r="AH234" s="43">
        <f t="shared" si="8"/>
        <v>0</v>
      </c>
      <c r="AI234" s="47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</row>
    <row r="235" spans="1:66" s="4" customFormat="1" x14ac:dyDescent="0.2">
      <c r="A235" s="4">
        <v>153</v>
      </c>
      <c r="B235" s="3" t="s">
        <v>238</v>
      </c>
      <c r="C235" s="3"/>
      <c r="D235" s="3" t="s">
        <v>213</v>
      </c>
      <c r="E235" s="3"/>
      <c r="F235" s="43">
        <v>0</v>
      </c>
      <c r="G235" s="43">
        <v>0</v>
      </c>
      <c r="H235" s="43">
        <v>6124627</v>
      </c>
      <c r="I235" s="43">
        <v>0</v>
      </c>
      <c r="J235" s="43">
        <v>2083939</v>
      </c>
      <c r="K235" s="43">
        <v>0</v>
      </c>
      <c r="L235" s="43">
        <v>277501</v>
      </c>
      <c r="M235" s="43">
        <v>0</v>
      </c>
      <c r="N235" s="43">
        <v>1832604</v>
      </c>
      <c r="O235" s="43">
        <v>0</v>
      </c>
      <c r="P235" s="43">
        <v>1528349</v>
      </c>
      <c r="Q235" s="43">
        <v>0</v>
      </c>
      <c r="R235" s="43">
        <v>0</v>
      </c>
      <c r="S235" s="43">
        <v>0</v>
      </c>
      <c r="T235" s="43">
        <v>0</v>
      </c>
      <c r="U235" s="43">
        <v>0</v>
      </c>
      <c r="V235" s="43">
        <v>84167</v>
      </c>
      <c r="W235" s="43">
        <v>0</v>
      </c>
      <c r="X235" s="43">
        <v>0</v>
      </c>
      <c r="Y235" s="43">
        <v>0</v>
      </c>
      <c r="Z235" s="43">
        <v>0</v>
      </c>
      <c r="AA235" s="43">
        <v>0</v>
      </c>
      <c r="AB235" s="43">
        <v>6450000</v>
      </c>
      <c r="AC235" s="43">
        <v>0</v>
      </c>
      <c r="AD235" s="43">
        <v>0</v>
      </c>
      <c r="AE235" s="43">
        <v>0</v>
      </c>
      <c r="AF235" s="43">
        <v>0</v>
      </c>
      <c r="AG235" s="43"/>
      <c r="AH235" s="43">
        <f t="shared" si="8"/>
        <v>18381187</v>
      </c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s="4" customFormat="1" x14ac:dyDescent="0.2">
      <c r="A236" s="4">
        <v>238</v>
      </c>
      <c r="B236" s="3" t="s">
        <v>239</v>
      </c>
      <c r="C236" s="3"/>
      <c r="D236" s="3" t="s">
        <v>191</v>
      </c>
      <c r="E236" s="3"/>
      <c r="F236" s="43">
        <v>62846.25</v>
      </c>
      <c r="G236" s="43">
        <v>0</v>
      </c>
      <c r="H236" s="43">
        <f>119785.75+45859.22+36991.13</f>
        <v>202636.1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3">
        <v>0</v>
      </c>
      <c r="Q236" s="43">
        <v>0</v>
      </c>
      <c r="R236" s="43">
        <v>12727.95</v>
      </c>
      <c r="S236" s="43">
        <v>0</v>
      </c>
      <c r="T236" s="43">
        <v>1141.5</v>
      </c>
      <c r="U236" s="43">
        <v>0</v>
      </c>
      <c r="V236" s="43">
        <v>16817.97</v>
      </c>
      <c r="W236" s="43">
        <v>0</v>
      </c>
      <c r="X236" s="43">
        <v>42052.41</v>
      </c>
      <c r="Y236" s="43">
        <v>0</v>
      </c>
      <c r="Z236" s="43">
        <v>0</v>
      </c>
      <c r="AA236" s="43">
        <v>0</v>
      </c>
      <c r="AB236" s="43">
        <v>0</v>
      </c>
      <c r="AC236" s="43">
        <v>0</v>
      </c>
      <c r="AD236" s="43">
        <v>0</v>
      </c>
      <c r="AE236" s="43">
        <v>0</v>
      </c>
      <c r="AF236" s="43">
        <v>0</v>
      </c>
      <c r="AG236" s="43"/>
      <c r="AH236" s="43">
        <f t="shared" si="8"/>
        <v>338222.18000000005</v>
      </c>
      <c r="AI236" s="47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</row>
    <row r="237" spans="1:66" s="4" customFormat="1" hidden="1" x14ac:dyDescent="0.2">
      <c r="A237" s="4">
        <v>100</v>
      </c>
      <c r="B237" s="3" t="s">
        <v>312</v>
      </c>
      <c r="C237" s="3"/>
      <c r="D237" s="3" t="s">
        <v>59</v>
      </c>
      <c r="E237" s="3"/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v>0</v>
      </c>
      <c r="O237" s="43">
        <v>0</v>
      </c>
      <c r="P237" s="43">
        <v>0</v>
      </c>
      <c r="Q237" s="43">
        <v>0</v>
      </c>
      <c r="R237" s="43">
        <v>0</v>
      </c>
      <c r="S237" s="43">
        <v>0</v>
      </c>
      <c r="T237" s="43">
        <v>0</v>
      </c>
      <c r="U237" s="43">
        <v>0</v>
      </c>
      <c r="V237" s="43">
        <v>0</v>
      </c>
      <c r="W237" s="43">
        <v>0</v>
      </c>
      <c r="X237" s="43">
        <v>0</v>
      </c>
      <c r="Y237" s="43">
        <v>0</v>
      </c>
      <c r="Z237" s="43">
        <v>0</v>
      </c>
      <c r="AA237" s="43">
        <v>0</v>
      </c>
      <c r="AB237" s="43">
        <v>0</v>
      </c>
      <c r="AC237" s="43">
        <v>0</v>
      </c>
      <c r="AD237" s="43">
        <v>0</v>
      </c>
      <c r="AE237" s="43">
        <v>0</v>
      </c>
      <c r="AF237" s="43">
        <v>0</v>
      </c>
      <c r="AG237" s="43"/>
      <c r="AH237" s="43">
        <f t="shared" si="8"/>
        <v>0</v>
      </c>
      <c r="AI237" s="47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</row>
    <row r="238" spans="1:66" s="4" customFormat="1" hidden="1" x14ac:dyDescent="0.2">
      <c r="A238" s="4">
        <v>68</v>
      </c>
      <c r="B238" s="3" t="s">
        <v>240</v>
      </c>
      <c r="C238" s="3"/>
      <c r="D238" s="3" t="s">
        <v>165</v>
      </c>
      <c r="E238" s="3"/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3">
        <v>0</v>
      </c>
      <c r="Q238" s="43">
        <v>0</v>
      </c>
      <c r="R238" s="43">
        <v>0</v>
      </c>
      <c r="S238" s="43">
        <v>0</v>
      </c>
      <c r="T238" s="43">
        <v>0</v>
      </c>
      <c r="U238" s="43">
        <v>0</v>
      </c>
      <c r="V238" s="43">
        <v>0</v>
      </c>
      <c r="W238" s="43">
        <v>0</v>
      </c>
      <c r="X238" s="43">
        <v>0</v>
      </c>
      <c r="Y238" s="43">
        <v>0</v>
      </c>
      <c r="Z238" s="43">
        <v>0</v>
      </c>
      <c r="AA238" s="43">
        <v>0</v>
      </c>
      <c r="AB238" s="43">
        <v>0</v>
      </c>
      <c r="AC238" s="43">
        <v>0</v>
      </c>
      <c r="AD238" s="43">
        <v>0</v>
      </c>
      <c r="AE238" s="43">
        <v>0</v>
      </c>
      <c r="AF238" s="43">
        <v>0</v>
      </c>
      <c r="AG238" s="43"/>
      <c r="AH238" s="43">
        <f t="shared" si="8"/>
        <v>0</v>
      </c>
      <c r="AI238" s="47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</row>
    <row r="239" spans="1:66" s="4" customFormat="1" hidden="1" x14ac:dyDescent="0.2">
      <c r="A239" s="4">
        <v>15</v>
      </c>
      <c r="B239" s="35" t="s">
        <v>241</v>
      </c>
      <c r="C239" s="35"/>
      <c r="D239" s="35" t="s">
        <v>462</v>
      </c>
      <c r="E239" s="35"/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  <c r="Q239" s="43">
        <v>0</v>
      </c>
      <c r="R239" s="43">
        <v>0</v>
      </c>
      <c r="S239" s="43">
        <v>0</v>
      </c>
      <c r="T239" s="43">
        <v>0</v>
      </c>
      <c r="U239" s="43">
        <v>0</v>
      </c>
      <c r="V239" s="43">
        <v>0</v>
      </c>
      <c r="W239" s="43">
        <v>0</v>
      </c>
      <c r="X239" s="43">
        <v>0</v>
      </c>
      <c r="Y239" s="43">
        <v>0</v>
      </c>
      <c r="Z239" s="43">
        <v>0</v>
      </c>
      <c r="AA239" s="43">
        <v>0</v>
      </c>
      <c r="AB239" s="43">
        <v>0</v>
      </c>
      <c r="AC239" s="43">
        <v>0</v>
      </c>
      <c r="AD239" s="43">
        <v>0</v>
      </c>
      <c r="AE239" s="43">
        <v>0</v>
      </c>
      <c r="AF239" s="43">
        <v>0</v>
      </c>
      <c r="AG239" s="43"/>
      <c r="AH239" s="43">
        <f t="shared" si="8"/>
        <v>0</v>
      </c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s="4" customFormat="1" hidden="1" x14ac:dyDescent="0.2">
      <c r="A240" s="4">
        <v>161</v>
      </c>
      <c r="B240" s="35" t="s">
        <v>554</v>
      </c>
      <c r="C240" s="35"/>
      <c r="D240" s="35" t="s">
        <v>484</v>
      </c>
      <c r="E240" s="35"/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</v>
      </c>
      <c r="Q240" s="43">
        <v>0</v>
      </c>
      <c r="R240" s="43">
        <v>0</v>
      </c>
      <c r="S240" s="43">
        <v>0</v>
      </c>
      <c r="T240" s="43">
        <v>0</v>
      </c>
      <c r="U240" s="43">
        <v>0</v>
      </c>
      <c r="V240" s="43">
        <v>0</v>
      </c>
      <c r="W240" s="43">
        <v>0</v>
      </c>
      <c r="X240" s="43">
        <v>0</v>
      </c>
      <c r="Y240" s="43">
        <v>0</v>
      </c>
      <c r="Z240" s="43">
        <v>0</v>
      </c>
      <c r="AA240" s="43">
        <v>0</v>
      </c>
      <c r="AB240" s="43">
        <v>0</v>
      </c>
      <c r="AC240" s="43">
        <v>0</v>
      </c>
      <c r="AD240" s="43">
        <v>0</v>
      </c>
      <c r="AE240" s="43">
        <v>0</v>
      </c>
      <c r="AF240" s="43">
        <v>0</v>
      </c>
      <c r="AG240" s="43"/>
      <c r="AH240" s="43">
        <f t="shared" si="8"/>
        <v>0</v>
      </c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s="7" customFormat="1" x14ac:dyDescent="0.2">
      <c r="A241" s="7">
        <v>56</v>
      </c>
      <c r="B241" s="7" t="s">
        <v>242</v>
      </c>
      <c r="D241" s="7" t="s">
        <v>17</v>
      </c>
      <c r="F241" s="43">
        <v>0</v>
      </c>
      <c r="G241" s="43">
        <v>0</v>
      </c>
      <c r="H241" s="43">
        <v>1708225</v>
      </c>
      <c r="I241" s="43">
        <v>0</v>
      </c>
      <c r="J241" s="43">
        <v>1115815</v>
      </c>
      <c r="K241" s="43">
        <v>0</v>
      </c>
      <c r="L241" s="43">
        <v>299138</v>
      </c>
      <c r="M241" s="43">
        <v>0</v>
      </c>
      <c r="N241" s="43">
        <v>427327</v>
      </c>
      <c r="O241" s="43">
        <v>0</v>
      </c>
      <c r="P241" s="43">
        <v>365986</v>
      </c>
      <c r="Q241" s="43">
        <v>0</v>
      </c>
      <c r="R241" s="43">
        <v>0</v>
      </c>
      <c r="S241" s="43">
        <v>0</v>
      </c>
      <c r="T241" s="43">
        <v>0</v>
      </c>
      <c r="U241" s="43">
        <v>0</v>
      </c>
      <c r="V241" s="43">
        <v>0</v>
      </c>
      <c r="W241" s="43">
        <v>0</v>
      </c>
      <c r="X241" s="43">
        <v>0</v>
      </c>
      <c r="Y241" s="43">
        <v>0</v>
      </c>
      <c r="Z241" s="43">
        <v>0</v>
      </c>
      <c r="AA241" s="43">
        <v>0</v>
      </c>
      <c r="AB241" s="43">
        <v>208000</v>
      </c>
      <c r="AC241" s="43">
        <v>0</v>
      </c>
      <c r="AD241" s="43">
        <v>0</v>
      </c>
      <c r="AE241" s="43">
        <v>0</v>
      </c>
      <c r="AF241" s="43">
        <v>0</v>
      </c>
      <c r="AG241" s="43"/>
      <c r="AH241" s="43">
        <f t="shared" ref="AH241:AH273" si="9">SUM(F241:AF241)</f>
        <v>4124491</v>
      </c>
      <c r="AI241" s="46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</row>
    <row r="242" spans="1:66" s="74" customFormat="1" hidden="1" x14ac:dyDescent="0.2">
      <c r="A242" s="74">
        <v>214</v>
      </c>
      <c r="B242" s="75" t="s">
        <v>243</v>
      </c>
      <c r="C242" s="75"/>
      <c r="D242" s="75" t="s">
        <v>23</v>
      </c>
      <c r="E242" s="75"/>
      <c r="F242" s="43">
        <f>4247+13102+13444+13256+53562+53032+120094+12743</f>
        <v>283480</v>
      </c>
      <c r="G242" s="43">
        <v>0</v>
      </c>
      <c r="H242" s="43">
        <f>924364+123207+127135+19150+221980+20808+84160+51757+5430+970</f>
        <v>1578961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3">
        <v>0</v>
      </c>
      <c r="R242" s="43">
        <f>27811+6648+3512+14287</f>
        <v>52258</v>
      </c>
      <c r="S242" s="43">
        <v>0</v>
      </c>
      <c r="T242" s="43">
        <f>5469+729</f>
        <v>6198</v>
      </c>
      <c r="U242" s="43">
        <v>0</v>
      </c>
      <c r="V242" s="43">
        <v>127211</v>
      </c>
      <c r="W242" s="43">
        <v>0</v>
      </c>
      <c r="X242" s="43">
        <v>0</v>
      </c>
      <c r="Y242" s="43">
        <v>0</v>
      </c>
      <c r="Z242" s="43">
        <v>0</v>
      </c>
      <c r="AA242" s="43">
        <v>0</v>
      </c>
      <c r="AB242" s="43">
        <v>0</v>
      </c>
      <c r="AC242" s="43">
        <v>0</v>
      </c>
      <c r="AD242" s="43">
        <v>0</v>
      </c>
      <c r="AE242" s="43">
        <v>0</v>
      </c>
      <c r="AF242" s="43">
        <v>0</v>
      </c>
      <c r="AG242" s="43"/>
      <c r="AH242" s="43">
        <f t="shared" si="9"/>
        <v>2048108</v>
      </c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</row>
    <row r="243" spans="1:66" s="4" customFormat="1" x14ac:dyDescent="0.2">
      <c r="A243" s="4">
        <v>253</v>
      </c>
      <c r="B243" s="3" t="s">
        <v>244</v>
      </c>
      <c r="C243" s="3"/>
      <c r="D243" s="3" t="s">
        <v>63</v>
      </c>
      <c r="E243" s="3"/>
      <c r="F243" s="43">
        <v>0</v>
      </c>
      <c r="G243" s="43">
        <v>0</v>
      </c>
      <c r="H243" s="43">
        <v>853898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v>0</v>
      </c>
      <c r="O243" s="43">
        <v>0</v>
      </c>
      <c r="P243" s="43">
        <v>0</v>
      </c>
      <c r="Q243" s="43">
        <v>0</v>
      </c>
      <c r="R243" s="43">
        <v>0</v>
      </c>
      <c r="S243" s="43">
        <v>0</v>
      </c>
      <c r="T243" s="43">
        <v>0</v>
      </c>
      <c r="U243" s="43">
        <v>0</v>
      </c>
      <c r="V243" s="43">
        <v>0</v>
      </c>
      <c r="W243" s="43">
        <v>0</v>
      </c>
      <c r="X243" s="43">
        <v>0</v>
      </c>
      <c r="Y243" s="43">
        <v>0</v>
      </c>
      <c r="Z243" s="43">
        <v>0</v>
      </c>
      <c r="AA243" s="43">
        <v>0</v>
      </c>
      <c r="AB243" s="43">
        <v>0</v>
      </c>
      <c r="AC243" s="43">
        <v>0</v>
      </c>
      <c r="AD243" s="43">
        <v>0</v>
      </c>
      <c r="AE243" s="43">
        <v>0</v>
      </c>
      <c r="AF243" s="43">
        <v>0</v>
      </c>
      <c r="AG243" s="43"/>
      <c r="AH243" s="43">
        <f t="shared" si="9"/>
        <v>853898</v>
      </c>
      <c r="AI243" s="47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</row>
    <row r="244" spans="1:66" s="4" customFormat="1" hidden="1" x14ac:dyDescent="0.2">
      <c r="A244" s="4">
        <v>36</v>
      </c>
      <c r="B244" s="35" t="s">
        <v>245</v>
      </c>
      <c r="C244" s="35"/>
      <c r="D244" s="35" t="s">
        <v>471</v>
      </c>
      <c r="E244" s="35"/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v>0</v>
      </c>
      <c r="O244" s="43">
        <v>0</v>
      </c>
      <c r="P244" s="43">
        <v>0</v>
      </c>
      <c r="Q244" s="43">
        <v>0</v>
      </c>
      <c r="R244" s="43">
        <v>0</v>
      </c>
      <c r="S244" s="43">
        <v>0</v>
      </c>
      <c r="T244" s="43">
        <v>0</v>
      </c>
      <c r="U244" s="43">
        <v>0</v>
      </c>
      <c r="V244" s="43">
        <v>0</v>
      </c>
      <c r="W244" s="43">
        <v>0</v>
      </c>
      <c r="X244" s="43">
        <v>0</v>
      </c>
      <c r="Y244" s="43">
        <v>0</v>
      </c>
      <c r="Z244" s="43">
        <v>0</v>
      </c>
      <c r="AA244" s="43">
        <v>0</v>
      </c>
      <c r="AB244" s="43">
        <v>0</v>
      </c>
      <c r="AC244" s="43">
        <v>0</v>
      </c>
      <c r="AD244" s="43">
        <v>0</v>
      </c>
      <c r="AE244" s="43">
        <v>0</v>
      </c>
      <c r="AF244" s="43">
        <v>0</v>
      </c>
      <c r="AG244" s="43"/>
      <c r="AH244" s="43">
        <f t="shared" si="9"/>
        <v>0</v>
      </c>
      <c r="AI244" s="47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</row>
    <row r="245" spans="1:66" s="4" customFormat="1" hidden="1" x14ac:dyDescent="0.2">
      <c r="A245" s="4">
        <v>30</v>
      </c>
      <c r="B245" s="35" t="s">
        <v>343</v>
      </c>
      <c r="C245" s="35"/>
      <c r="D245" s="35" t="s">
        <v>469</v>
      </c>
      <c r="E245" s="35"/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3">
        <v>0</v>
      </c>
      <c r="Q245" s="43">
        <v>0</v>
      </c>
      <c r="R245" s="43">
        <v>0</v>
      </c>
      <c r="S245" s="43">
        <v>0</v>
      </c>
      <c r="T245" s="43">
        <v>0</v>
      </c>
      <c r="U245" s="43">
        <v>0</v>
      </c>
      <c r="V245" s="43">
        <v>0</v>
      </c>
      <c r="W245" s="43">
        <v>0</v>
      </c>
      <c r="X245" s="43">
        <v>0</v>
      </c>
      <c r="Y245" s="43">
        <v>0</v>
      </c>
      <c r="Z245" s="43">
        <v>0</v>
      </c>
      <c r="AA245" s="43">
        <v>0</v>
      </c>
      <c r="AB245" s="43">
        <v>0</v>
      </c>
      <c r="AC245" s="43">
        <v>0</v>
      </c>
      <c r="AD245" s="43">
        <v>0</v>
      </c>
      <c r="AE245" s="43">
        <v>0</v>
      </c>
      <c r="AF245" s="43">
        <v>0</v>
      </c>
      <c r="AG245" s="43"/>
      <c r="AH245" s="43">
        <f t="shared" si="9"/>
        <v>0</v>
      </c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s="4" customFormat="1" x14ac:dyDescent="0.2">
      <c r="A246" s="4">
        <v>43</v>
      </c>
      <c r="B246" s="3" t="s">
        <v>246</v>
      </c>
      <c r="C246" s="3"/>
      <c r="D246" s="3" t="s">
        <v>49</v>
      </c>
      <c r="E246" s="3"/>
      <c r="F246" s="43">
        <v>0</v>
      </c>
      <c r="G246" s="43">
        <v>0</v>
      </c>
      <c r="H246" s="43">
        <v>346722</v>
      </c>
      <c r="I246" s="43">
        <v>0</v>
      </c>
      <c r="J246" s="43">
        <v>264894</v>
      </c>
      <c r="K246" s="43">
        <v>0</v>
      </c>
      <c r="L246" s="43">
        <v>57635</v>
      </c>
      <c r="M246" s="43">
        <v>0</v>
      </c>
      <c r="N246" s="43">
        <v>119132</v>
      </c>
      <c r="O246" s="43">
        <v>0</v>
      </c>
      <c r="P246" s="43">
        <v>190598</v>
      </c>
      <c r="Q246" s="43">
        <v>0</v>
      </c>
      <c r="R246" s="43">
        <v>0</v>
      </c>
      <c r="S246" s="43">
        <v>0</v>
      </c>
      <c r="T246" s="43">
        <v>0</v>
      </c>
      <c r="U246" s="43">
        <v>0</v>
      </c>
      <c r="V246" s="43">
        <v>62279</v>
      </c>
      <c r="W246" s="43">
        <v>0</v>
      </c>
      <c r="X246" s="43">
        <v>0</v>
      </c>
      <c r="Y246" s="43">
        <v>0</v>
      </c>
      <c r="Z246" s="43">
        <v>0</v>
      </c>
      <c r="AA246" s="43">
        <v>0</v>
      </c>
      <c r="AB246" s="43">
        <v>201241</v>
      </c>
      <c r="AC246" s="43">
        <v>0</v>
      </c>
      <c r="AD246" s="43">
        <v>0</v>
      </c>
      <c r="AE246" s="43">
        <v>0</v>
      </c>
      <c r="AF246" s="43">
        <v>0</v>
      </c>
      <c r="AG246" s="43"/>
      <c r="AH246" s="43">
        <f t="shared" si="9"/>
        <v>1242501</v>
      </c>
      <c r="AI246" s="47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</row>
    <row r="247" spans="1:66" s="4" customFormat="1" x14ac:dyDescent="0.2">
      <c r="A247" s="4">
        <v>244</v>
      </c>
      <c r="B247" s="3" t="s">
        <v>247</v>
      </c>
      <c r="C247" s="3"/>
      <c r="D247" s="3" t="s">
        <v>52</v>
      </c>
      <c r="E247" s="3"/>
      <c r="F247" s="43">
        <v>0</v>
      </c>
      <c r="G247" s="43">
        <v>0</v>
      </c>
      <c r="H247" s="43">
        <v>582401</v>
      </c>
      <c r="I247" s="43">
        <v>0</v>
      </c>
      <c r="J247" s="43">
        <v>92603</v>
      </c>
      <c r="K247" s="43">
        <v>0</v>
      </c>
      <c r="L247" s="43">
        <v>0</v>
      </c>
      <c r="M247" s="43">
        <v>0</v>
      </c>
      <c r="N247" s="43">
        <v>25396</v>
      </c>
      <c r="O247" s="43">
        <v>0</v>
      </c>
      <c r="P247" s="43">
        <v>14344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43">
        <v>5204</v>
      </c>
      <c r="W247" s="43">
        <v>0</v>
      </c>
      <c r="X247" s="43">
        <v>0</v>
      </c>
      <c r="Y247" s="43">
        <v>0</v>
      </c>
      <c r="Z247" s="43">
        <v>0</v>
      </c>
      <c r="AA247" s="43">
        <v>0</v>
      </c>
      <c r="AB247" s="43">
        <v>0</v>
      </c>
      <c r="AC247" s="43">
        <v>0</v>
      </c>
      <c r="AD247" s="43">
        <v>0</v>
      </c>
      <c r="AE247" s="43">
        <v>0</v>
      </c>
      <c r="AF247" s="43">
        <v>0</v>
      </c>
      <c r="AG247" s="43"/>
      <c r="AH247" s="43">
        <f t="shared" si="9"/>
        <v>719948</v>
      </c>
      <c r="AI247" s="47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</row>
    <row r="248" spans="1:66" s="4" customFormat="1" x14ac:dyDescent="0.2">
      <c r="A248" s="4">
        <v>69</v>
      </c>
      <c r="B248" s="3" t="s">
        <v>313</v>
      </c>
      <c r="C248" s="3"/>
      <c r="D248" s="3" t="s">
        <v>165</v>
      </c>
      <c r="E248" s="3"/>
      <c r="F248" s="43">
        <v>0</v>
      </c>
      <c r="G248" s="43">
        <v>0</v>
      </c>
      <c r="H248" s="43">
        <v>3195537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v>0</v>
      </c>
      <c r="O248" s="43">
        <v>0</v>
      </c>
      <c r="P248" s="43">
        <v>0</v>
      </c>
      <c r="Q248" s="43">
        <v>0</v>
      </c>
      <c r="R248" s="43">
        <v>0</v>
      </c>
      <c r="S248" s="43">
        <v>0</v>
      </c>
      <c r="T248" s="43">
        <v>0</v>
      </c>
      <c r="U248" s="43">
        <v>0</v>
      </c>
      <c r="V248" s="43">
        <v>0</v>
      </c>
      <c r="W248" s="43">
        <v>0</v>
      </c>
      <c r="X248" s="43">
        <v>0</v>
      </c>
      <c r="Y248" s="43">
        <v>0</v>
      </c>
      <c r="Z248" s="43">
        <v>0</v>
      </c>
      <c r="AA248" s="43">
        <v>0</v>
      </c>
      <c r="AB248" s="43">
        <v>0</v>
      </c>
      <c r="AC248" s="43">
        <v>0</v>
      </c>
      <c r="AD248" s="43">
        <v>0</v>
      </c>
      <c r="AE248" s="43">
        <v>0</v>
      </c>
      <c r="AF248" s="43">
        <v>0</v>
      </c>
      <c r="AG248" s="43"/>
      <c r="AH248" s="43">
        <f t="shared" si="9"/>
        <v>3195537</v>
      </c>
      <c r="AI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idden="1" x14ac:dyDescent="0.2">
      <c r="A249" s="4">
        <v>177</v>
      </c>
      <c r="B249" s="3" t="s">
        <v>248</v>
      </c>
      <c r="D249" s="3" t="s">
        <v>66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3">
        <v>0</v>
      </c>
      <c r="Q249" s="43">
        <v>0</v>
      </c>
      <c r="R249" s="43">
        <v>0</v>
      </c>
      <c r="S249" s="43">
        <v>0</v>
      </c>
      <c r="T249" s="43">
        <v>0</v>
      </c>
      <c r="U249" s="43">
        <v>0</v>
      </c>
      <c r="V249" s="43">
        <v>0</v>
      </c>
      <c r="W249" s="43">
        <v>0</v>
      </c>
      <c r="X249" s="43">
        <v>0</v>
      </c>
      <c r="Y249" s="43">
        <v>0</v>
      </c>
      <c r="Z249" s="43">
        <v>0</v>
      </c>
      <c r="AA249" s="43">
        <v>0</v>
      </c>
      <c r="AB249" s="43">
        <v>0</v>
      </c>
      <c r="AC249" s="43">
        <v>0</v>
      </c>
      <c r="AD249" s="43">
        <v>0</v>
      </c>
      <c r="AE249" s="43">
        <v>0</v>
      </c>
      <c r="AF249" s="43">
        <v>0</v>
      </c>
      <c r="AG249" s="43"/>
      <c r="AH249" s="43">
        <f t="shared" si="9"/>
        <v>0</v>
      </c>
    </row>
    <row r="250" spans="1:66" s="4" customFormat="1" hidden="1" x14ac:dyDescent="0.2">
      <c r="A250" s="4">
        <v>206</v>
      </c>
      <c r="B250" s="3" t="s">
        <v>249</v>
      </c>
      <c r="C250" s="3"/>
      <c r="D250" s="3" t="s">
        <v>43</v>
      </c>
      <c r="E250" s="3"/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v>0</v>
      </c>
      <c r="O250" s="43">
        <v>0</v>
      </c>
      <c r="P250" s="43">
        <v>0</v>
      </c>
      <c r="Q250" s="43">
        <v>0</v>
      </c>
      <c r="R250" s="43">
        <v>0</v>
      </c>
      <c r="S250" s="43">
        <v>0</v>
      </c>
      <c r="T250" s="43">
        <v>0</v>
      </c>
      <c r="U250" s="43">
        <v>0</v>
      </c>
      <c r="V250" s="43">
        <v>0</v>
      </c>
      <c r="W250" s="43">
        <v>0</v>
      </c>
      <c r="X250" s="43">
        <v>0</v>
      </c>
      <c r="Y250" s="43">
        <v>0</v>
      </c>
      <c r="Z250" s="43">
        <v>0</v>
      </c>
      <c r="AA250" s="43">
        <v>0</v>
      </c>
      <c r="AB250" s="43">
        <v>0</v>
      </c>
      <c r="AC250" s="43">
        <v>0</v>
      </c>
      <c r="AD250" s="43">
        <v>0</v>
      </c>
      <c r="AE250" s="43">
        <v>0</v>
      </c>
      <c r="AF250" s="43">
        <v>0</v>
      </c>
      <c r="AG250" s="43"/>
      <c r="AH250" s="43">
        <f t="shared" si="9"/>
        <v>0</v>
      </c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s="4" customFormat="1" hidden="1" x14ac:dyDescent="0.2">
      <c r="A251" s="4">
        <v>57</v>
      </c>
      <c r="B251" s="3" t="s">
        <v>250</v>
      </c>
      <c r="C251" s="3"/>
      <c r="D251" s="3" t="s">
        <v>17</v>
      </c>
      <c r="E251" s="3"/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v>0</v>
      </c>
      <c r="O251" s="43">
        <v>0</v>
      </c>
      <c r="P251" s="43">
        <v>0</v>
      </c>
      <c r="Q251" s="43">
        <v>0</v>
      </c>
      <c r="R251" s="43">
        <v>0</v>
      </c>
      <c r="S251" s="43">
        <v>0</v>
      </c>
      <c r="T251" s="43">
        <v>0</v>
      </c>
      <c r="U251" s="43">
        <v>0</v>
      </c>
      <c r="V251" s="43">
        <v>0</v>
      </c>
      <c r="W251" s="43">
        <v>0</v>
      </c>
      <c r="X251" s="43">
        <v>0</v>
      </c>
      <c r="Y251" s="43">
        <v>0</v>
      </c>
      <c r="Z251" s="43">
        <v>0</v>
      </c>
      <c r="AA251" s="43">
        <v>0</v>
      </c>
      <c r="AB251" s="43">
        <v>0</v>
      </c>
      <c r="AC251" s="43">
        <v>0</v>
      </c>
      <c r="AD251" s="43">
        <v>0</v>
      </c>
      <c r="AE251" s="43">
        <v>0</v>
      </c>
      <c r="AF251" s="43">
        <v>0</v>
      </c>
      <c r="AG251" s="43"/>
      <c r="AH251" s="43">
        <f t="shared" si="9"/>
        <v>0</v>
      </c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s="4" customFormat="1" x14ac:dyDescent="0.2">
      <c r="A252" s="4">
        <v>69</v>
      </c>
      <c r="B252" s="3" t="s">
        <v>650</v>
      </c>
      <c r="C252" s="3"/>
      <c r="D252" s="3" t="s">
        <v>76</v>
      </c>
      <c r="E252" s="3"/>
      <c r="F252" s="43">
        <v>0</v>
      </c>
      <c r="G252" s="43">
        <v>0</v>
      </c>
      <c r="H252" s="43">
        <v>19451</v>
      </c>
      <c r="I252" s="43">
        <v>0</v>
      </c>
      <c r="J252" s="43">
        <v>203316</v>
      </c>
      <c r="K252" s="43">
        <v>0</v>
      </c>
      <c r="L252" s="43">
        <v>57513</v>
      </c>
      <c r="M252" s="43">
        <v>0</v>
      </c>
      <c r="N252" s="43">
        <v>248320</v>
      </c>
      <c r="O252" s="43">
        <v>0</v>
      </c>
      <c r="P252" s="43">
        <v>883185</v>
      </c>
      <c r="Q252" s="43">
        <v>0</v>
      </c>
      <c r="R252" s="43">
        <v>0</v>
      </c>
      <c r="S252" s="43">
        <v>0</v>
      </c>
      <c r="T252" s="43">
        <v>0</v>
      </c>
      <c r="U252" s="43">
        <v>0</v>
      </c>
      <c r="V252" s="43">
        <v>21047</v>
      </c>
      <c r="W252" s="43">
        <v>0</v>
      </c>
      <c r="X252" s="43">
        <v>0</v>
      </c>
      <c r="Y252" s="43">
        <v>0</v>
      </c>
      <c r="Z252" s="43">
        <v>0</v>
      </c>
      <c r="AA252" s="43">
        <v>0</v>
      </c>
      <c r="AB252" s="43">
        <v>0</v>
      </c>
      <c r="AC252" s="43">
        <v>0</v>
      </c>
      <c r="AD252" s="43">
        <v>0</v>
      </c>
      <c r="AE252" s="43">
        <v>0</v>
      </c>
      <c r="AF252" s="43">
        <v>0</v>
      </c>
      <c r="AG252" s="43"/>
      <c r="AH252" s="43">
        <f t="shared" ref="AH252" si="10">SUM(F252:AF252)</f>
        <v>1432832</v>
      </c>
      <c r="AI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s="4" customFormat="1" x14ac:dyDescent="0.2">
      <c r="A253" s="4">
        <v>118</v>
      </c>
      <c r="B253" s="4" t="s">
        <v>438</v>
      </c>
      <c r="D253" s="4" t="s">
        <v>168</v>
      </c>
      <c r="F253" s="43">
        <v>7636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3">
        <v>0</v>
      </c>
      <c r="Q253" s="43">
        <v>0</v>
      </c>
      <c r="R253" s="43">
        <v>0</v>
      </c>
      <c r="S253" s="43">
        <v>0</v>
      </c>
      <c r="T253" s="43">
        <v>103</v>
      </c>
      <c r="U253" s="43">
        <v>0</v>
      </c>
      <c r="V253" s="43">
        <v>0</v>
      </c>
      <c r="W253" s="43">
        <v>0</v>
      </c>
      <c r="X253" s="43">
        <v>0</v>
      </c>
      <c r="Y253" s="43">
        <v>0</v>
      </c>
      <c r="Z253" s="43">
        <v>0</v>
      </c>
      <c r="AA253" s="43">
        <v>0</v>
      </c>
      <c r="AB253" s="43">
        <v>0</v>
      </c>
      <c r="AC253" s="43">
        <v>0</v>
      </c>
      <c r="AD253" s="43">
        <v>0</v>
      </c>
      <c r="AE253" s="43">
        <v>0</v>
      </c>
      <c r="AF253" s="43">
        <v>0</v>
      </c>
      <c r="AG253" s="43"/>
      <c r="AH253" s="43">
        <f t="shared" si="9"/>
        <v>7739</v>
      </c>
      <c r="AI253" s="47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</row>
    <row r="254" spans="1:66" s="4" customFormat="1" x14ac:dyDescent="0.2">
      <c r="A254" s="4">
        <v>79</v>
      </c>
      <c r="B254" s="3" t="s">
        <v>252</v>
      </c>
      <c r="C254" s="3"/>
      <c r="D254" s="3" t="s">
        <v>90</v>
      </c>
      <c r="E254" s="3"/>
      <c r="F254" s="43">
        <v>0</v>
      </c>
      <c r="G254" s="43">
        <v>0</v>
      </c>
      <c r="H254" s="43">
        <v>1810857</v>
      </c>
      <c r="I254" s="43">
        <v>0</v>
      </c>
      <c r="J254" s="43">
        <v>664333</v>
      </c>
      <c r="K254" s="43">
        <v>0</v>
      </c>
      <c r="L254" s="43">
        <v>214323</v>
      </c>
      <c r="M254" s="43">
        <v>0</v>
      </c>
      <c r="N254" s="43">
        <v>1011057</v>
      </c>
      <c r="O254" s="43">
        <v>0</v>
      </c>
      <c r="P254" s="43">
        <v>915926</v>
      </c>
      <c r="Q254" s="43">
        <v>0</v>
      </c>
      <c r="R254" s="43">
        <v>0</v>
      </c>
      <c r="S254" s="43">
        <v>0</v>
      </c>
      <c r="T254" s="43">
        <v>0</v>
      </c>
      <c r="U254" s="43">
        <v>0</v>
      </c>
      <c r="V254" s="43">
        <v>503222</v>
      </c>
      <c r="W254" s="43">
        <v>0</v>
      </c>
      <c r="X254" s="43">
        <v>0</v>
      </c>
      <c r="Y254" s="43">
        <v>0</v>
      </c>
      <c r="Z254" s="43">
        <v>0</v>
      </c>
      <c r="AA254" s="43">
        <v>0</v>
      </c>
      <c r="AB254" s="43">
        <v>500000</v>
      </c>
      <c r="AC254" s="43">
        <v>0</v>
      </c>
      <c r="AD254" s="43">
        <v>0</v>
      </c>
      <c r="AE254" s="43">
        <v>0</v>
      </c>
      <c r="AF254" s="43">
        <v>0</v>
      </c>
      <c r="AG254" s="43"/>
      <c r="AH254" s="43">
        <f t="shared" si="9"/>
        <v>5619718</v>
      </c>
      <c r="AI254" s="47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</row>
    <row r="255" spans="1:66" s="4" customFormat="1" hidden="1" x14ac:dyDescent="0.2">
      <c r="A255" s="4">
        <v>22</v>
      </c>
      <c r="B255" s="35" t="s">
        <v>314</v>
      </c>
      <c r="C255" s="35"/>
      <c r="D255" s="35" t="s">
        <v>465</v>
      </c>
      <c r="E255" s="35"/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v>0</v>
      </c>
      <c r="P255" s="43">
        <v>0</v>
      </c>
      <c r="Q255" s="43">
        <v>0</v>
      </c>
      <c r="R255" s="43">
        <v>0</v>
      </c>
      <c r="S255" s="43">
        <v>0</v>
      </c>
      <c r="T255" s="43">
        <v>0</v>
      </c>
      <c r="U255" s="43">
        <v>0</v>
      </c>
      <c r="V255" s="43">
        <v>0</v>
      </c>
      <c r="W255" s="43">
        <v>0</v>
      </c>
      <c r="X255" s="43">
        <v>0</v>
      </c>
      <c r="Y255" s="43">
        <v>0</v>
      </c>
      <c r="Z255" s="43">
        <v>0</v>
      </c>
      <c r="AA255" s="43">
        <v>0</v>
      </c>
      <c r="AB255" s="43">
        <v>0</v>
      </c>
      <c r="AC255" s="43">
        <v>0</v>
      </c>
      <c r="AD255" s="43">
        <v>0</v>
      </c>
      <c r="AE255" s="43">
        <v>0</v>
      </c>
      <c r="AF255" s="43">
        <v>0</v>
      </c>
      <c r="AG255" s="43"/>
      <c r="AH255" s="43">
        <f t="shared" si="9"/>
        <v>0</v>
      </c>
      <c r="AI255" s="47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</row>
    <row r="256" spans="1:66" s="4" customFormat="1" hidden="1" x14ac:dyDescent="0.2">
      <c r="A256" s="4">
        <v>18</v>
      </c>
      <c r="B256" s="35" t="s">
        <v>340</v>
      </c>
      <c r="C256" s="35"/>
      <c r="D256" s="35" t="s">
        <v>464</v>
      </c>
      <c r="E256" s="35"/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v>0</v>
      </c>
      <c r="O256" s="43">
        <v>0</v>
      </c>
      <c r="P256" s="43">
        <v>0</v>
      </c>
      <c r="Q256" s="43">
        <v>0</v>
      </c>
      <c r="R256" s="43">
        <v>0</v>
      </c>
      <c r="S256" s="43">
        <v>0</v>
      </c>
      <c r="T256" s="43">
        <v>0</v>
      </c>
      <c r="U256" s="43">
        <v>0</v>
      </c>
      <c r="V256" s="43">
        <v>0</v>
      </c>
      <c r="W256" s="43">
        <v>0</v>
      </c>
      <c r="X256" s="43">
        <v>0</v>
      </c>
      <c r="Y256" s="43">
        <v>0</v>
      </c>
      <c r="Z256" s="43">
        <v>0</v>
      </c>
      <c r="AA256" s="43">
        <v>0</v>
      </c>
      <c r="AB256" s="43">
        <v>0</v>
      </c>
      <c r="AC256" s="43">
        <v>0</v>
      </c>
      <c r="AD256" s="43">
        <v>0</v>
      </c>
      <c r="AE256" s="43">
        <v>0</v>
      </c>
      <c r="AF256" s="43">
        <v>0</v>
      </c>
      <c r="AG256" s="43"/>
      <c r="AH256" s="43">
        <f t="shared" si="9"/>
        <v>0</v>
      </c>
      <c r="AI256" s="47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</row>
    <row r="257" spans="1:66" s="4" customFormat="1" x14ac:dyDescent="0.2">
      <c r="A257" s="4">
        <v>215</v>
      </c>
      <c r="B257" s="3" t="s">
        <v>577</v>
      </c>
      <c r="C257" s="3"/>
      <c r="D257" s="3" t="s">
        <v>23</v>
      </c>
      <c r="E257" s="3"/>
      <c r="F257" s="43">
        <v>0</v>
      </c>
      <c r="G257" s="43">
        <v>0</v>
      </c>
      <c r="H257" s="43">
        <v>3539067</v>
      </c>
      <c r="I257" s="43">
        <v>0</v>
      </c>
      <c r="J257" s="43">
        <v>2149468</v>
      </c>
      <c r="K257" s="43">
        <v>0</v>
      </c>
      <c r="L257" s="43">
        <v>581751</v>
      </c>
      <c r="M257" s="43">
        <v>0</v>
      </c>
      <c r="N257" s="43">
        <v>1260214</v>
      </c>
      <c r="O257" s="43">
        <v>0</v>
      </c>
      <c r="P257" s="43">
        <v>1553085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43">
        <v>268345</v>
      </c>
      <c r="W257" s="43">
        <v>0</v>
      </c>
      <c r="X257" s="43">
        <v>0</v>
      </c>
      <c r="Y257" s="43">
        <v>0</v>
      </c>
      <c r="Z257" s="43">
        <v>0</v>
      </c>
      <c r="AA257" s="43">
        <v>0</v>
      </c>
      <c r="AB257" s="43">
        <v>0</v>
      </c>
      <c r="AC257" s="43">
        <v>0</v>
      </c>
      <c r="AD257" s="43">
        <v>0</v>
      </c>
      <c r="AE257" s="43">
        <v>0</v>
      </c>
      <c r="AF257" s="43">
        <v>0</v>
      </c>
      <c r="AG257" s="43"/>
      <c r="AH257" s="43">
        <f t="shared" si="9"/>
        <v>9351930</v>
      </c>
      <c r="AI257" s="47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</row>
    <row r="258" spans="1:66" s="4" customFormat="1" hidden="1" x14ac:dyDescent="0.2">
      <c r="A258" s="4">
        <v>120</v>
      </c>
      <c r="B258" s="3" t="s">
        <v>254</v>
      </c>
      <c r="C258" s="3"/>
      <c r="D258" s="3" t="s">
        <v>255</v>
      </c>
      <c r="E258" s="3"/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43">
        <v>0</v>
      </c>
      <c r="S258" s="43">
        <v>0</v>
      </c>
      <c r="T258" s="43">
        <v>0</v>
      </c>
      <c r="U258" s="43">
        <v>0</v>
      </c>
      <c r="V258" s="43">
        <v>0</v>
      </c>
      <c r="W258" s="43">
        <v>0</v>
      </c>
      <c r="X258" s="43">
        <v>0</v>
      </c>
      <c r="Y258" s="43">
        <v>0</v>
      </c>
      <c r="Z258" s="43">
        <v>0</v>
      </c>
      <c r="AA258" s="43">
        <v>0</v>
      </c>
      <c r="AB258" s="43">
        <v>0</v>
      </c>
      <c r="AC258" s="43">
        <v>0</v>
      </c>
      <c r="AD258" s="43">
        <v>0</v>
      </c>
      <c r="AE258" s="43">
        <v>0</v>
      </c>
      <c r="AF258" s="43">
        <v>0</v>
      </c>
      <c r="AG258" s="43"/>
      <c r="AH258" s="43">
        <f t="shared" si="9"/>
        <v>0</v>
      </c>
      <c r="AI258" s="47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</row>
    <row r="259" spans="1:66" s="4" customFormat="1" x14ac:dyDescent="0.2">
      <c r="A259" s="4">
        <v>220</v>
      </c>
      <c r="B259" s="3" t="s">
        <v>256</v>
      </c>
      <c r="C259" s="3"/>
      <c r="D259" s="3" t="s">
        <v>20</v>
      </c>
      <c r="E259" s="3"/>
      <c r="F259" s="43">
        <v>0</v>
      </c>
      <c r="G259" s="43">
        <v>0</v>
      </c>
      <c r="H259" s="43">
        <v>1083202</v>
      </c>
      <c r="I259" s="43">
        <v>0</v>
      </c>
      <c r="J259" s="43">
        <v>660788</v>
      </c>
      <c r="K259" s="43">
        <v>0</v>
      </c>
      <c r="L259" s="43">
        <v>0</v>
      </c>
      <c r="M259" s="43">
        <v>0</v>
      </c>
      <c r="N259" s="43">
        <v>500493</v>
      </c>
      <c r="O259" s="43">
        <v>0</v>
      </c>
      <c r="P259" s="43">
        <v>271969</v>
      </c>
      <c r="Q259" s="43">
        <v>0</v>
      </c>
      <c r="R259" s="43">
        <v>0</v>
      </c>
      <c r="S259" s="43">
        <v>0</v>
      </c>
      <c r="T259" s="43">
        <v>0</v>
      </c>
      <c r="U259" s="43">
        <v>0</v>
      </c>
      <c r="V259" s="43">
        <v>90801</v>
      </c>
      <c r="W259" s="43">
        <v>0</v>
      </c>
      <c r="X259" s="43">
        <v>0</v>
      </c>
      <c r="Y259" s="43">
        <v>0</v>
      </c>
      <c r="Z259" s="43">
        <v>0</v>
      </c>
      <c r="AA259" s="43">
        <v>0</v>
      </c>
      <c r="AB259" s="43">
        <v>0</v>
      </c>
      <c r="AC259" s="43">
        <v>0</v>
      </c>
      <c r="AD259" s="43">
        <v>0</v>
      </c>
      <c r="AE259" s="43">
        <v>0</v>
      </c>
      <c r="AF259" s="43">
        <v>0</v>
      </c>
      <c r="AG259" s="43"/>
      <c r="AH259" s="43">
        <f t="shared" si="9"/>
        <v>2607253</v>
      </c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s="4" customFormat="1" hidden="1" x14ac:dyDescent="0.2">
      <c r="A260" s="4">
        <v>86</v>
      </c>
      <c r="B260" s="3" t="s">
        <v>257</v>
      </c>
      <c r="C260" s="3"/>
      <c r="D260" s="3" t="s">
        <v>40</v>
      </c>
      <c r="E260" s="3"/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v>0</v>
      </c>
      <c r="O260" s="43">
        <v>0</v>
      </c>
      <c r="P260" s="43">
        <v>0</v>
      </c>
      <c r="Q260" s="43">
        <v>0</v>
      </c>
      <c r="R260" s="43">
        <v>0</v>
      </c>
      <c r="S260" s="43">
        <v>0</v>
      </c>
      <c r="T260" s="43">
        <v>0</v>
      </c>
      <c r="U260" s="43">
        <v>0</v>
      </c>
      <c r="V260" s="43">
        <v>0</v>
      </c>
      <c r="W260" s="43">
        <v>0</v>
      </c>
      <c r="X260" s="43">
        <v>0</v>
      </c>
      <c r="Y260" s="43">
        <v>0</v>
      </c>
      <c r="Z260" s="43">
        <v>0</v>
      </c>
      <c r="AA260" s="43">
        <v>0</v>
      </c>
      <c r="AB260" s="43">
        <v>0</v>
      </c>
      <c r="AC260" s="43">
        <v>0</v>
      </c>
      <c r="AD260" s="43">
        <v>0</v>
      </c>
      <c r="AE260" s="43">
        <v>0</v>
      </c>
      <c r="AF260" s="43">
        <v>0</v>
      </c>
      <c r="AG260" s="43"/>
      <c r="AH260" s="43">
        <f t="shared" si="9"/>
        <v>0</v>
      </c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s="4" customFormat="1" hidden="1" x14ac:dyDescent="0.2">
      <c r="A261" s="4">
        <v>119</v>
      </c>
      <c r="B261" s="35" t="s">
        <v>258</v>
      </c>
      <c r="C261" s="35"/>
      <c r="D261" s="35" t="s">
        <v>477</v>
      </c>
      <c r="E261" s="35"/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v>0</v>
      </c>
      <c r="O261" s="43">
        <v>0</v>
      </c>
      <c r="P261" s="43">
        <v>0</v>
      </c>
      <c r="Q261" s="43">
        <v>0</v>
      </c>
      <c r="R261" s="43">
        <v>0</v>
      </c>
      <c r="S261" s="43">
        <v>0</v>
      </c>
      <c r="T261" s="43">
        <v>0</v>
      </c>
      <c r="U261" s="43">
        <v>0</v>
      </c>
      <c r="V261" s="43">
        <v>0</v>
      </c>
      <c r="W261" s="43">
        <v>0</v>
      </c>
      <c r="X261" s="43">
        <v>0</v>
      </c>
      <c r="Y261" s="43">
        <v>0</v>
      </c>
      <c r="Z261" s="43">
        <v>0</v>
      </c>
      <c r="AA261" s="43">
        <v>0</v>
      </c>
      <c r="AB261" s="43">
        <v>0</v>
      </c>
      <c r="AC261" s="43">
        <v>0</v>
      </c>
      <c r="AD261" s="43">
        <v>0</v>
      </c>
      <c r="AE261" s="43">
        <v>0</v>
      </c>
      <c r="AF261" s="43">
        <v>0</v>
      </c>
      <c r="AG261" s="43"/>
      <c r="AH261" s="43">
        <f t="shared" si="9"/>
        <v>0</v>
      </c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s="4" customFormat="1" hidden="1" x14ac:dyDescent="0.2">
      <c r="A262" s="4">
        <v>221</v>
      </c>
      <c r="B262" s="3" t="s">
        <v>259</v>
      </c>
      <c r="C262" s="3"/>
      <c r="D262" s="3" t="s">
        <v>20</v>
      </c>
      <c r="E262" s="3"/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3">
        <v>0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3">
        <v>0</v>
      </c>
      <c r="X262" s="43">
        <v>0</v>
      </c>
      <c r="Y262" s="43">
        <v>0</v>
      </c>
      <c r="Z262" s="43">
        <v>0</v>
      </c>
      <c r="AA262" s="43">
        <v>0</v>
      </c>
      <c r="AB262" s="43">
        <v>0</v>
      </c>
      <c r="AC262" s="43">
        <v>0</v>
      </c>
      <c r="AD262" s="43">
        <v>0</v>
      </c>
      <c r="AE262" s="43">
        <v>0</v>
      </c>
      <c r="AF262" s="43">
        <v>0</v>
      </c>
      <c r="AG262" s="43"/>
      <c r="AH262" s="43">
        <f t="shared" si="9"/>
        <v>0</v>
      </c>
    </row>
    <row r="263" spans="1:66" s="7" customFormat="1" hidden="1" x14ac:dyDescent="0.2">
      <c r="A263" s="39">
        <v>92.1</v>
      </c>
      <c r="B263" s="4" t="s">
        <v>564</v>
      </c>
      <c r="C263" s="3"/>
      <c r="D263" s="3" t="s">
        <v>565</v>
      </c>
      <c r="E263" s="3"/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3">
        <v>0</v>
      </c>
      <c r="X263" s="43">
        <v>0</v>
      </c>
      <c r="Y263" s="43">
        <v>0</v>
      </c>
      <c r="Z263" s="43">
        <v>0</v>
      </c>
      <c r="AA263" s="43">
        <v>0</v>
      </c>
      <c r="AB263" s="43">
        <v>0</v>
      </c>
      <c r="AC263" s="43">
        <v>0</v>
      </c>
      <c r="AD263" s="43">
        <v>0</v>
      </c>
      <c r="AE263" s="43">
        <v>0</v>
      </c>
      <c r="AF263" s="43">
        <v>0</v>
      </c>
      <c r="AG263" s="43"/>
      <c r="AH263" s="43">
        <f t="shared" si="9"/>
        <v>0</v>
      </c>
      <c r="AI263" s="46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</row>
    <row r="264" spans="1:66" s="4" customFormat="1" hidden="1" x14ac:dyDescent="0.2">
      <c r="A264" s="4">
        <v>71</v>
      </c>
      <c r="B264" s="7" t="s">
        <v>561</v>
      </c>
      <c r="C264" s="7"/>
      <c r="D264" s="7" t="s">
        <v>65</v>
      </c>
      <c r="E264" s="7"/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v>0</v>
      </c>
      <c r="P264" s="43">
        <v>0</v>
      </c>
      <c r="Q264" s="43">
        <v>0</v>
      </c>
      <c r="R264" s="43">
        <v>0</v>
      </c>
      <c r="S264" s="43">
        <v>0</v>
      </c>
      <c r="T264" s="43">
        <v>0</v>
      </c>
      <c r="U264" s="43">
        <v>0</v>
      </c>
      <c r="V264" s="43">
        <v>0</v>
      </c>
      <c r="W264" s="43">
        <v>0</v>
      </c>
      <c r="X264" s="43">
        <v>0</v>
      </c>
      <c r="Y264" s="43">
        <v>0</v>
      </c>
      <c r="Z264" s="43">
        <v>0</v>
      </c>
      <c r="AA264" s="43">
        <v>0</v>
      </c>
      <c r="AB264" s="43">
        <v>0</v>
      </c>
      <c r="AC264" s="43">
        <v>0</v>
      </c>
      <c r="AD264" s="43">
        <v>0</v>
      </c>
      <c r="AE264" s="43">
        <v>0</v>
      </c>
      <c r="AF264" s="43">
        <v>0</v>
      </c>
      <c r="AG264" s="43"/>
      <c r="AH264" s="43">
        <f t="shared" si="9"/>
        <v>0</v>
      </c>
      <c r="AI264" s="47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</row>
    <row r="265" spans="1:66" s="4" customFormat="1" hidden="1" x14ac:dyDescent="0.2">
      <c r="A265" s="4">
        <v>207</v>
      </c>
      <c r="B265" s="3" t="s">
        <v>260</v>
      </c>
      <c r="C265" s="3"/>
      <c r="D265" s="3" t="s">
        <v>43</v>
      </c>
      <c r="E265" s="3"/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0</v>
      </c>
      <c r="T265" s="43">
        <v>0</v>
      </c>
      <c r="U265" s="43">
        <v>0</v>
      </c>
      <c r="V265" s="43">
        <v>0</v>
      </c>
      <c r="W265" s="43">
        <v>0</v>
      </c>
      <c r="X265" s="43">
        <v>0</v>
      </c>
      <c r="Y265" s="43">
        <v>0</v>
      </c>
      <c r="Z265" s="43">
        <v>0</v>
      </c>
      <c r="AA265" s="43">
        <v>0</v>
      </c>
      <c r="AB265" s="43">
        <v>0</v>
      </c>
      <c r="AC265" s="43">
        <v>0</v>
      </c>
      <c r="AD265" s="43">
        <v>0</v>
      </c>
      <c r="AE265" s="43">
        <v>0</v>
      </c>
      <c r="AF265" s="43">
        <v>0</v>
      </c>
      <c r="AG265" s="43"/>
      <c r="AH265" s="43">
        <f t="shared" si="9"/>
        <v>0</v>
      </c>
      <c r="AI265" s="47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</row>
    <row r="266" spans="1:66" s="4" customFormat="1" x14ac:dyDescent="0.2">
      <c r="A266" s="4">
        <v>166</v>
      </c>
      <c r="B266" s="3" t="s">
        <v>439</v>
      </c>
      <c r="C266" s="3"/>
      <c r="D266" s="3" t="s">
        <v>51</v>
      </c>
      <c r="E266" s="3"/>
      <c r="F266" s="43">
        <v>0</v>
      </c>
      <c r="G266" s="43">
        <v>0</v>
      </c>
      <c r="H266" s="43">
        <v>476671</v>
      </c>
      <c r="I266" s="43">
        <v>0</v>
      </c>
      <c r="J266" s="43">
        <v>63389</v>
      </c>
      <c r="K266" s="43">
        <v>0</v>
      </c>
      <c r="L266" s="43">
        <v>3122</v>
      </c>
      <c r="M266" s="43">
        <v>0</v>
      </c>
      <c r="N266" s="43">
        <v>44077</v>
      </c>
      <c r="O266" s="43">
        <v>0</v>
      </c>
      <c r="P266" s="43">
        <v>53250</v>
      </c>
      <c r="Q266" s="43">
        <v>0</v>
      </c>
      <c r="R266" s="43">
        <v>0</v>
      </c>
      <c r="S266" s="43">
        <v>0</v>
      </c>
      <c r="T266" s="43">
        <v>0</v>
      </c>
      <c r="U266" s="43">
        <v>0</v>
      </c>
      <c r="V266" s="43">
        <v>12026</v>
      </c>
      <c r="W266" s="43">
        <v>0</v>
      </c>
      <c r="X266" s="43">
        <v>0</v>
      </c>
      <c r="Y266" s="43">
        <v>0</v>
      </c>
      <c r="Z266" s="43">
        <v>0</v>
      </c>
      <c r="AA266" s="43">
        <v>0</v>
      </c>
      <c r="AB266" s="43">
        <v>40000</v>
      </c>
      <c r="AC266" s="43">
        <v>0</v>
      </c>
      <c r="AD266" s="43">
        <v>0</v>
      </c>
      <c r="AE266" s="43">
        <v>0</v>
      </c>
      <c r="AF266" s="43">
        <v>0</v>
      </c>
      <c r="AG266" s="43"/>
      <c r="AH266" s="43">
        <f t="shared" si="9"/>
        <v>692535</v>
      </c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s="4" customFormat="1" x14ac:dyDescent="0.2">
      <c r="A267" s="4">
        <v>147</v>
      </c>
      <c r="B267" s="3" t="s">
        <v>593</v>
      </c>
      <c r="C267" s="3"/>
      <c r="D267" s="3" t="s">
        <v>262</v>
      </c>
      <c r="E267" s="3"/>
      <c r="F267" s="43">
        <v>4962289</v>
      </c>
      <c r="G267" s="43">
        <v>0</v>
      </c>
      <c r="H267" s="43">
        <f>20888251+3800392</f>
        <v>24688643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43">
        <v>0</v>
      </c>
      <c r="S267" s="43">
        <v>0</v>
      </c>
      <c r="T267" s="43">
        <v>0</v>
      </c>
      <c r="U267" s="43">
        <v>0</v>
      </c>
      <c r="V267" s="43">
        <v>1251401</v>
      </c>
      <c r="W267" s="43">
        <v>0</v>
      </c>
      <c r="X267" s="43">
        <v>11991</v>
      </c>
      <c r="Y267" s="43">
        <v>0</v>
      </c>
      <c r="Z267" s="43">
        <v>2985</v>
      </c>
      <c r="AA267" s="43">
        <v>0</v>
      </c>
      <c r="AB267" s="43">
        <v>2000000</v>
      </c>
      <c r="AC267" s="43">
        <v>0</v>
      </c>
      <c r="AD267" s="43">
        <v>0</v>
      </c>
      <c r="AE267" s="43">
        <v>0</v>
      </c>
      <c r="AF267" s="43">
        <v>0</v>
      </c>
      <c r="AG267" s="43"/>
      <c r="AH267" s="43">
        <f t="shared" si="9"/>
        <v>32917309</v>
      </c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s="4" customFormat="1" x14ac:dyDescent="0.2">
      <c r="A268" s="4">
        <v>167</v>
      </c>
      <c r="B268" s="3" t="s">
        <v>594</v>
      </c>
      <c r="C268" s="3"/>
      <c r="D268" s="3" t="s">
        <v>51</v>
      </c>
      <c r="E268" s="3"/>
      <c r="F268" s="43">
        <v>0</v>
      </c>
      <c r="G268" s="43">
        <v>0</v>
      </c>
      <c r="H268" s="43">
        <v>547891</v>
      </c>
      <c r="I268" s="43">
        <v>0</v>
      </c>
      <c r="J268" s="43">
        <v>313511</v>
      </c>
      <c r="K268" s="43">
        <v>0</v>
      </c>
      <c r="L268" s="43">
        <v>79669</v>
      </c>
      <c r="M268" s="43">
        <v>0</v>
      </c>
      <c r="N268" s="43">
        <v>151752</v>
      </c>
      <c r="O268" s="43">
        <v>0</v>
      </c>
      <c r="P268" s="43">
        <v>579660</v>
      </c>
      <c r="Q268" s="43">
        <v>0</v>
      </c>
      <c r="R268" s="43">
        <v>0</v>
      </c>
      <c r="S268" s="43">
        <v>0</v>
      </c>
      <c r="T268" s="43">
        <v>0</v>
      </c>
      <c r="U268" s="43">
        <v>0</v>
      </c>
      <c r="V268" s="43">
        <v>225368</v>
      </c>
      <c r="W268" s="43">
        <v>0</v>
      </c>
      <c r="X268" s="43">
        <v>0</v>
      </c>
      <c r="Y268" s="43">
        <v>0</v>
      </c>
      <c r="Z268" s="43">
        <v>0</v>
      </c>
      <c r="AA268" s="43">
        <v>0</v>
      </c>
      <c r="AB268" s="43">
        <v>110000</v>
      </c>
      <c r="AC268" s="43">
        <v>0</v>
      </c>
      <c r="AD268" s="43">
        <v>0</v>
      </c>
      <c r="AE268" s="43">
        <v>0</v>
      </c>
      <c r="AF268" s="43">
        <v>0</v>
      </c>
      <c r="AG268" s="43"/>
      <c r="AH268" s="43">
        <f t="shared" si="9"/>
        <v>2007851</v>
      </c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s="4" customFormat="1" x14ac:dyDescent="0.2">
      <c r="A269" s="4">
        <v>236</v>
      </c>
      <c r="B269" s="3" t="s">
        <v>595</v>
      </c>
      <c r="C269" s="3"/>
      <c r="D269" s="3" t="s">
        <v>24</v>
      </c>
      <c r="E269" s="3"/>
      <c r="F269" s="43">
        <v>0</v>
      </c>
      <c r="G269" s="43">
        <v>0</v>
      </c>
      <c r="H269" s="43">
        <v>1059157</v>
      </c>
      <c r="I269" s="43">
        <v>0</v>
      </c>
      <c r="J269" s="43">
        <v>250223</v>
      </c>
      <c r="K269" s="43">
        <v>0</v>
      </c>
      <c r="L269" s="43">
        <v>11000</v>
      </c>
      <c r="M269" s="43">
        <v>0</v>
      </c>
      <c r="N269" s="43">
        <v>85736</v>
      </c>
      <c r="O269" s="43">
        <v>0</v>
      </c>
      <c r="P269" s="43">
        <v>398751</v>
      </c>
      <c r="Q269" s="43">
        <v>0</v>
      </c>
      <c r="R269" s="43">
        <v>0</v>
      </c>
      <c r="S269" s="43">
        <v>0</v>
      </c>
      <c r="T269" s="43">
        <v>0</v>
      </c>
      <c r="U269" s="43">
        <v>0</v>
      </c>
      <c r="V269" s="43">
        <v>31446</v>
      </c>
      <c r="W269" s="43">
        <v>0</v>
      </c>
      <c r="X269" s="43">
        <v>0</v>
      </c>
      <c r="Y269" s="43">
        <v>0</v>
      </c>
      <c r="Z269" s="43">
        <v>0</v>
      </c>
      <c r="AA269" s="43">
        <v>0</v>
      </c>
      <c r="AB269" s="43">
        <v>41155</v>
      </c>
      <c r="AC269" s="43">
        <v>0</v>
      </c>
      <c r="AD269" s="43">
        <v>5000</v>
      </c>
      <c r="AE269" s="43">
        <v>0</v>
      </c>
      <c r="AF269" s="43">
        <v>0</v>
      </c>
      <c r="AG269" s="43"/>
      <c r="AH269" s="43">
        <f t="shared" si="9"/>
        <v>1882468</v>
      </c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s="4" customFormat="1" ht="13.9" customHeight="1" x14ac:dyDescent="0.2">
      <c r="A270" s="4">
        <v>222</v>
      </c>
      <c r="B270" s="3" t="s">
        <v>317</v>
      </c>
      <c r="C270" s="3"/>
      <c r="D270" s="3" t="s">
        <v>20</v>
      </c>
      <c r="E270" s="3"/>
      <c r="F270" s="43">
        <v>0</v>
      </c>
      <c r="G270" s="43">
        <v>0</v>
      </c>
      <c r="H270" s="43">
        <v>1184507</v>
      </c>
      <c r="I270" s="43">
        <v>0</v>
      </c>
      <c r="J270" s="43">
        <v>602947</v>
      </c>
      <c r="K270" s="43">
        <v>0</v>
      </c>
      <c r="L270" s="43">
        <v>0</v>
      </c>
      <c r="M270" s="43">
        <v>0</v>
      </c>
      <c r="N270" s="43">
        <v>233275</v>
      </c>
      <c r="O270" s="43">
        <v>0</v>
      </c>
      <c r="P270" s="43">
        <v>393494</v>
      </c>
      <c r="Q270" s="43">
        <v>0</v>
      </c>
      <c r="R270" s="43">
        <v>0</v>
      </c>
      <c r="S270" s="43">
        <v>0</v>
      </c>
      <c r="T270" s="43">
        <v>0</v>
      </c>
      <c r="U270" s="43">
        <v>0</v>
      </c>
      <c r="V270" s="43">
        <v>79686</v>
      </c>
      <c r="W270" s="43">
        <v>0</v>
      </c>
      <c r="X270" s="43">
        <v>0</v>
      </c>
      <c r="Y270" s="43">
        <v>0</v>
      </c>
      <c r="Z270" s="43">
        <v>0</v>
      </c>
      <c r="AA270" s="43">
        <v>0</v>
      </c>
      <c r="AB270" s="43">
        <v>0</v>
      </c>
      <c r="AC270" s="43">
        <v>0</v>
      </c>
      <c r="AD270" s="43">
        <v>0</v>
      </c>
      <c r="AE270" s="43">
        <v>0</v>
      </c>
      <c r="AF270" s="43">
        <v>0</v>
      </c>
      <c r="AG270" s="43"/>
      <c r="AH270" s="43">
        <f t="shared" si="9"/>
        <v>2493909</v>
      </c>
      <c r="AI270" s="47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</row>
    <row r="271" spans="1:66" x14ac:dyDescent="0.2">
      <c r="A271" s="4">
        <v>24</v>
      </c>
      <c r="B271" s="3" t="s">
        <v>264</v>
      </c>
      <c r="D271" s="3" t="s">
        <v>45</v>
      </c>
      <c r="F271" s="43">
        <v>0</v>
      </c>
      <c r="G271" s="43">
        <v>0</v>
      </c>
      <c r="H271" s="43">
        <v>279044</v>
      </c>
      <c r="I271" s="43">
        <v>0</v>
      </c>
      <c r="J271" s="43">
        <v>96492</v>
      </c>
      <c r="K271" s="43">
        <v>0</v>
      </c>
      <c r="L271" s="43">
        <v>13300</v>
      </c>
      <c r="M271" s="43">
        <v>0</v>
      </c>
      <c r="N271" s="43">
        <v>87657</v>
      </c>
      <c r="O271" s="43">
        <v>0</v>
      </c>
      <c r="P271" s="43">
        <v>44206</v>
      </c>
      <c r="Q271" s="43">
        <v>0</v>
      </c>
      <c r="R271" s="43">
        <v>0</v>
      </c>
      <c r="S271" s="43">
        <v>0</v>
      </c>
      <c r="T271" s="43">
        <v>0</v>
      </c>
      <c r="U271" s="43">
        <v>0</v>
      </c>
      <c r="V271" s="43">
        <v>93910</v>
      </c>
      <c r="W271" s="43">
        <v>0</v>
      </c>
      <c r="X271" s="43">
        <v>0</v>
      </c>
      <c r="Y271" s="43">
        <v>0</v>
      </c>
      <c r="Z271" s="43">
        <v>0</v>
      </c>
      <c r="AA271" s="43">
        <v>0</v>
      </c>
      <c r="AB271" s="43">
        <v>0</v>
      </c>
      <c r="AC271" s="43">
        <v>0</v>
      </c>
      <c r="AD271" s="43">
        <v>0</v>
      </c>
      <c r="AE271" s="43">
        <v>0</v>
      </c>
      <c r="AF271" s="43">
        <v>0</v>
      </c>
      <c r="AG271" s="43"/>
      <c r="AH271" s="43">
        <f t="shared" si="9"/>
        <v>614609</v>
      </c>
    </row>
    <row r="272" spans="1:66" x14ac:dyDescent="0.2">
      <c r="A272" s="4"/>
      <c r="B272" s="4" t="s">
        <v>265</v>
      </c>
      <c r="C272" s="4"/>
      <c r="D272" s="4" t="s">
        <v>90</v>
      </c>
      <c r="F272" s="43">
        <v>2394397</v>
      </c>
      <c r="G272" s="43">
        <v>0</v>
      </c>
      <c r="H272" s="43">
        <v>0</v>
      </c>
      <c r="I272" s="43">
        <v>0</v>
      </c>
      <c r="J272" s="43">
        <v>991025</v>
      </c>
      <c r="K272" s="43">
        <v>0</v>
      </c>
      <c r="L272" s="43">
        <v>277467</v>
      </c>
      <c r="M272" s="43">
        <v>0</v>
      </c>
      <c r="N272" s="43">
        <v>657847</v>
      </c>
      <c r="O272" s="43">
        <v>0</v>
      </c>
      <c r="P272" s="43">
        <v>815684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83595</v>
      </c>
      <c r="W272" s="43">
        <v>0</v>
      </c>
      <c r="X272" s="43">
        <v>0</v>
      </c>
      <c r="Y272" s="43">
        <v>0</v>
      </c>
      <c r="Z272" s="43">
        <v>0</v>
      </c>
      <c r="AA272" s="43">
        <v>0</v>
      </c>
      <c r="AB272" s="43">
        <v>1300000</v>
      </c>
      <c r="AC272" s="43">
        <v>0</v>
      </c>
      <c r="AD272" s="43">
        <v>0</v>
      </c>
      <c r="AE272" s="43">
        <v>0</v>
      </c>
      <c r="AF272" s="43">
        <v>0</v>
      </c>
      <c r="AG272" s="43"/>
      <c r="AH272" s="43">
        <f t="shared" si="9"/>
        <v>6520015</v>
      </c>
    </row>
    <row r="273" spans="1:66" s="4" customFormat="1" hidden="1" x14ac:dyDescent="0.2">
      <c r="A273" s="4">
        <v>260</v>
      </c>
      <c r="B273" s="3" t="s">
        <v>266</v>
      </c>
      <c r="C273" s="3"/>
      <c r="D273" s="3" t="s">
        <v>61</v>
      </c>
      <c r="E273" s="3"/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3">
        <v>0</v>
      </c>
      <c r="X273" s="43">
        <v>0</v>
      </c>
      <c r="Y273" s="43">
        <v>0</v>
      </c>
      <c r="Z273" s="43">
        <v>0</v>
      </c>
      <c r="AA273" s="43">
        <v>0</v>
      </c>
      <c r="AB273" s="43">
        <v>0</v>
      </c>
      <c r="AC273" s="43">
        <v>0</v>
      </c>
      <c r="AD273" s="43">
        <v>0</v>
      </c>
      <c r="AE273" s="43">
        <v>0</v>
      </c>
      <c r="AF273" s="43">
        <v>0</v>
      </c>
      <c r="AG273" s="43"/>
      <c r="AH273" s="43">
        <f t="shared" si="9"/>
        <v>0</v>
      </c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s="4" customFormat="1" x14ac:dyDescent="0.2">
      <c r="B274" s="4" t="s">
        <v>606</v>
      </c>
      <c r="D274" s="4" t="s">
        <v>65</v>
      </c>
      <c r="E274" s="3"/>
      <c r="F274" s="43">
        <v>0</v>
      </c>
      <c r="G274" s="43">
        <v>0</v>
      </c>
      <c r="H274" s="43">
        <v>111090</v>
      </c>
      <c r="I274" s="43">
        <v>0</v>
      </c>
      <c r="J274" s="43">
        <v>83866</v>
      </c>
      <c r="K274" s="43">
        <v>0</v>
      </c>
      <c r="L274" s="43">
        <v>4857</v>
      </c>
      <c r="M274" s="43">
        <v>0</v>
      </c>
      <c r="N274" s="43">
        <v>63416</v>
      </c>
      <c r="O274" s="43">
        <v>0</v>
      </c>
      <c r="P274" s="43">
        <v>43319</v>
      </c>
      <c r="Q274" s="43">
        <v>0</v>
      </c>
      <c r="R274" s="43">
        <v>0</v>
      </c>
      <c r="S274" s="43">
        <v>0</v>
      </c>
      <c r="T274" s="43">
        <v>0</v>
      </c>
      <c r="U274" s="43">
        <v>0</v>
      </c>
      <c r="V274" s="43">
        <v>0</v>
      </c>
      <c r="W274" s="43">
        <v>0</v>
      </c>
      <c r="X274" s="43">
        <v>0</v>
      </c>
      <c r="Y274" s="43">
        <v>0</v>
      </c>
      <c r="Z274" s="43">
        <v>0</v>
      </c>
      <c r="AA274" s="43">
        <v>0</v>
      </c>
      <c r="AB274" s="43">
        <v>0</v>
      </c>
      <c r="AC274" s="43">
        <v>0</v>
      </c>
      <c r="AD274" s="43">
        <v>1040</v>
      </c>
      <c r="AE274" s="43">
        <v>0</v>
      </c>
      <c r="AF274" s="43">
        <v>0</v>
      </c>
      <c r="AG274" s="43"/>
      <c r="AH274" s="43">
        <f t="shared" ref="AH274:AH294" si="11">SUM(F274:AF274)</f>
        <v>307588</v>
      </c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s="4" customFormat="1" x14ac:dyDescent="0.2">
      <c r="A275" s="4">
        <v>230</v>
      </c>
      <c r="B275" s="3" t="s">
        <v>596</v>
      </c>
      <c r="C275" s="3"/>
      <c r="D275" s="3" t="s">
        <v>54</v>
      </c>
      <c r="E275" s="3"/>
      <c r="F275" s="43">
        <v>0</v>
      </c>
      <c r="G275" s="43">
        <v>0</v>
      </c>
      <c r="H275" s="43">
        <v>4311303</v>
      </c>
      <c r="I275" s="43">
        <v>0</v>
      </c>
      <c r="J275" s="43">
        <v>739498</v>
      </c>
      <c r="K275" s="43">
        <v>0</v>
      </c>
      <c r="L275" s="43">
        <v>0</v>
      </c>
      <c r="M275" s="43">
        <v>0</v>
      </c>
      <c r="N275" s="43">
        <v>342373</v>
      </c>
      <c r="O275" s="43">
        <v>0</v>
      </c>
      <c r="P275" s="43">
        <v>84711</v>
      </c>
      <c r="Q275" s="43">
        <v>0</v>
      </c>
      <c r="R275" s="43">
        <v>0</v>
      </c>
      <c r="S275" s="43">
        <v>0</v>
      </c>
      <c r="T275" s="43">
        <v>0</v>
      </c>
      <c r="U275" s="43">
        <v>0</v>
      </c>
      <c r="V275" s="43">
        <v>144847</v>
      </c>
      <c r="W275" s="43">
        <v>0</v>
      </c>
      <c r="X275" s="43">
        <v>0</v>
      </c>
      <c r="Y275" s="43">
        <v>0</v>
      </c>
      <c r="Z275" s="43">
        <v>0</v>
      </c>
      <c r="AA275" s="43">
        <v>0</v>
      </c>
      <c r="AB275" s="43">
        <v>0</v>
      </c>
      <c r="AC275" s="43">
        <v>0</v>
      </c>
      <c r="AD275" s="43">
        <v>0</v>
      </c>
      <c r="AE275" s="43">
        <v>0</v>
      </c>
      <c r="AF275" s="43">
        <v>0</v>
      </c>
      <c r="AG275" s="43"/>
      <c r="AH275" s="43">
        <f t="shared" si="11"/>
        <v>5622732</v>
      </c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s="4" customFormat="1" x14ac:dyDescent="0.2">
      <c r="A276" s="4">
        <v>245</v>
      </c>
      <c r="B276" s="3" t="s">
        <v>597</v>
      </c>
      <c r="C276" s="3"/>
      <c r="D276" s="3" t="s">
        <v>25</v>
      </c>
      <c r="E276" s="3"/>
      <c r="F276" s="43">
        <v>0</v>
      </c>
      <c r="G276" s="43">
        <v>0</v>
      </c>
      <c r="H276" s="43">
        <v>933992</v>
      </c>
      <c r="I276" s="43">
        <v>0</v>
      </c>
      <c r="J276" s="43">
        <v>348590</v>
      </c>
      <c r="K276" s="43">
        <v>0</v>
      </c>
      <c r="L276" s="43">
        <v>83171</v>
      </c>
      <c r="M276" s="43">
        <v>0</v>
      </c>
      <c r="N276" s="43">
        <v>254196</v>
      </c>
      <c r="O276" s="43">
        <v>0</v>
      </c>
      <c r="P276" s="43">
        <v>267641</v>
      </c>
      <c r="Q276" s="43">
        <v>0</v>
      </c>
      <c r="R276" s="43">
        <v>0</v>
      </c>
      <c r="S276" s="43">
        <v>0</v>
      </c>
      <c r="T276" s="43">
        <v>0</v>
      </c>
      <c r="U276" s="43">
        <v>0</v>
      </c>
      <c r="V276" s="43">
        <v>67398</v>
      </c>
      <c r="W276" s="43">
        <v>0</v>
      </c>
      <c r="X276" s="43">
        <v>0</v>
      </c>
      <c r="Y276" s="43">
        <v>0</v>
      </c>
      <c r="Z276" s="43">
        <v>0</v>
      </c>
      <c r="AA276" s="43">
        <v>0</v>
      </c>
      <c r="AB276" s="43">
        <v>500000</v>
      </c>
      <c r="AC276" s="43">
        <v>0</v>
      </c>
      <c r="AD276" s="43">
        <v>0</v>
      </c>
      <c r="AE276" s="43">
        <v>0</v>
      </c>
      <c r="AF276" s="43">
        <v>0</v>
      </c>
      <c r="AG276" s="43"/>
      <c r="AH276" s="43">
        <f t="shared" si="11"/>
        <v>2454988</v>
      </c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s="4" customFormat="1" x14ac:dyDescent="0.2">
      <c r="A277" s="4">
        <v>171</v>
      </c>
      <c r="B277" s="3" t="s">
        <v>267</v>
      </c>
      <c r="C277" s="3"/>
      <c r="D277" s="3" t="s">
        <v>53</v>
      </c>
      <c r="E277" s="3"/>
      <c r="F277" s="43">
        <v>0</v>
      </c>
      <c r="G277" s="43">
        <v>0</v>
      </c>
      <c r="H277" s="43">
        <v>1515290</v>
      </c>
      <c r="I277" s="43">
        <v>0</v>
      </c>
      <c r="J277" s="43">
        <v>1656799</v>
      </c>
      <c r="K277" s="43">
        <v>0</v>
      </c>
      <c r="L277" s="43">
        <v>1325587</v>
      </c>
      <c r="M277" s="43">
        <v>0</v>
      </c>
      <c r="N277" s="43">
        <v>601791</v>
      </c>
      <c r="O277" s="43">
        <v>0</v>
      </c>
      <c r="P277" s="43">
        <v>1289726</v>
      </c>
      <c r="Q277" s="43">
        <v>0</v>
      </c>
      <c r="R277" s="43">
        <v>0</v>
      </c>
      <c r="S277" s="43">
        <v>0</v>
      </c>
      <c r="T277" s="43">
        <v>0</v>
      </c>
      <c r="U277" s="43">
        <v>0</v>
      </c>
      <c r="V277" s="43">
        <v>153080</v>
      </c>
      <c r="W277" s="43">
        <v>0</v>
      </c>
      <c r="X277" s="43">
        <v>0</v>
      </c>
      <c r="Y277" s="43">
        <v>0</v>
      </c>
      <c r="Z277" s="43">
        <v>0</v>
      </c>
      <c r="AA277" s="43">
        <v>0</v>
      </c>
      <c r="AB277" s="43">
        <v>0</v>
      </c>
      <c r="AC277" s="43">
        <v>0</v>
      </c>
      <c r="AD277" s="43">
        <v>0</v>
      </c>
      <c r="AE277" s="43">
        <v>0</v>
      </c>
      <c r="AF277" s="43">
        <v>0</v>
      </c>
      <c r="AG277" s="43"/>
      <c r="AH277" s="43">
        <f t="shared" si="11"/>
        <v>6542273</v>
      </c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s="4" customFormat="1" hidden="1" x14ac:dyDescent="0.2">
      <c r="A278" s="4">
        <v>87</v>
      </c>
      <c r="B278" s="3" t="s">
        <v>36</v>
      </c>
      <c r="C278" s="3"/>
      <c r="D278" s="3" t="s">
        <v>40</v>
      </c>
      <c r="E278" s="3"/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3">
        <v>0</v>
      </c>
      <c r="Q278" s="43">
        <v>0</v>
      </c>
      <c r="R278" s="43">
        <v>0</v>
      </c>
      <c r="S278" s="43">
        <v>0</v>
      </c>
      <c r="T278" s="43">
        <v>0</v>
      </c>
      <c r="U278" s="43">
        <v>0</v>
      </c>
      <c r="V278" s="43">
        <v>0</v>
      </c>
      <c r="W278" s="43">
        <v>0</v>
      </c>
      <c r="X278" s="43">
        <v>0</v>
      </c>
      <c r="Y278" s="43">
        <v>0</v>
      </c>
      <c r="Z278" s="43">
        <v>0</v>
      </c>
      <c r="AA278" s="43">
        <v>0</v>
      </c>
      <c r="AB278" s="43">
        <v>0</v>
      </c>
      <c r="AC278" s="43">
        <v>0</v>
      </c>
      <c r="AD278" s="43">
        <v>0</v>
      </c>
      <c r="AE278" s="43">
        <v>0</v>
      </c>
      <c r="AF278" s="43">
        <v>0</v>
      </c>
      <c r="AG278" s="43"/>
      <c r="AH278" s="43">
        <f t="shared" si="11"/>
        <v>0</v>
      </c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s="4" customFormat="1" x14ac:dyDescent="0.2">
      <c r="A279" s="4">
        <v>247</v>
      </c>
      <c r="B279" s="4" t="s">
        <v>598</v>
      </c>
      <c r="D279" s="4" t="s">
        <v>223</v>
      </c>
      <c r="F279" s="43">
        <v>0</v>
      </c>
      <c r="G279" s="43">
        <v>0</v>
      </c>
      <c r="H279" s="43">
        <v>2101911</v>
      </c>
      <c r="I279" s="43">
        <v>0</v>
      </c>
      <c r="J279" s="43">
        <v>988793</v>
      </c>
      <c r="K279" s="43">
        <v>0</v>
      </c>
      <c r="L279" s="43">
        <v>341002</v>
      </c>
      <c r="M279" s="43">
        <v>0</v>
      </c>
      <c r="N279" s="43">
        <v>648638</v>
      </c>
      <c r="O279" s="43">
        <v>0</v>
      </c>
      <c r="P279" s="43">
        <v>528436</v>
      </c>
      <c r="Q279" s="43">
        <v>0</v>
      </c>
      <c r="R279" s="43">
        <v>0</v>
      </c>
      <c r="S279" s="43">
        <v>0</v>
      </c>
      <c r="T279" s="43">
        <v>0</v>
      </c>
      <c r="U279" s="43">
        <v>0</v>
      </c>
      <c r="V279" s="43">
        <v>9176</v>
      </c>
      <c r="W279" s="43">
        <v>0</v>
      </c>
      <c r="X279" s="43">
        <v>0</v>
      </c>
      <c r="Y279" s="43">
        <v>0</v>
      </c>
      <c r="Z279" s="43">
        <v>0</v>
      </c>
      <c r="AA279" s="43">
        <v>0</v>
      </c>
      <c r="AB279" s="43">
        <v>450000</v>
      </c>
      <c r="AC279" s="43">
        <v>0</v>
      </c>
      <c r="AD279" s="43">
        <v>0</v>
      </c>
      <c r="AE279" s="43">
        <v>0</v>
      </c>
      <c r="AF279" s="43">
        <v>0</v>
      </c>
      <c r="AG279" s="43"/>
      <c r="AH279" s="43">
        <f t="shared" si="11"/>
        <v>5067956</v>
      </c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s="4" customFormat="1" x14ac:dyDescent="0.2">
      <c r="A280" s="4">
        <v>254</v>
      </c>
      <c r="B280" s="3" t="s">
        <v>269</v>
      </c>
      <c r="C280" s="3"/>
      <c r="D280" s="3" t="s">
        <v>63</v>
      </c>
      <c r="E280" s="3"/>
      <c r="F280" s="43">
        <v>34084.33</v>
      </c>
      <c r="G280" s="43">
        <v>0</v>
      </c>
      <c r="H280" s="43">
        <f>15751.08+25895.42</f>
        <v>41646.5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6659.41</v>
      </c>
      <c r="S280" s="43">
        <v>0</v>
      </c>
      <c r="T280" s="43">
        <v>3125.46</v>
      </c>
      <c r="U280" s="43">
        <v>0</v>
      </c>
      <c r="V280" s="43">
        <v>1825.35</v>
      </c>
      <c r="W280" s="43">
        <v>0</v>
      </c>
      <c r="X280" s="43">
        <v>0</v>
      </c>
      <c r="Y280" s="43">
        <v>0</v>
      </c>
      <c r="Z280" s="43">
        <v>0</v>
      </c>
      <c r="AA280" s="43">
        <v>0</v>
      </c>
      <c r="AB280" s="43">
        <v>0</v>
      </c>
      <c r="AC280" s="43">
        <v>0</v>
      </c>
      <c r="AD280" s="43">
        <v>0</v>
      </c>
      <c r="AE280" s="43">
        <v>0</v>
      </c>
      <c r="AF280" s="43">
        <v>0</v>
      </c>
      <c r="AG280" s="43"/>
      <c r="AH280" s="43">
        <f t="shared" si="11"/>
        <v>87341.050000000017</v>
      </c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idden="1" x14ac:dyDescent="0.2">
      <c r="A281" s="4">
        <v>255</v>
      </c>
      <c r="B281" s="3" t="s">
        <v>270</v>
      </c>
      <c r="D281" s="3" t="s">
        <v>63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0</v>
      </c>
      <c r="S281" s="43">
        <v>0</v>
      </c>
      <c r="T281" s="43">
        <v>0</v>
      </c>
      <c r="U281" s="43">
        <v>0</v>
      </c>
      <c r="V281" s="43">
        <v>0</v>
      </c>
      <c r="W281" s="43">
        <v>0</v>
      </c>
      <c r="X281" s="43">
        <v>0</v>
      </c>
      <c r="Y281" s="43">
        <v>0</v>
      </c>
      <c r="Z281" s="43">
        <v>0</v>
      </c>
      <c r="AA281" s="43">
        <v>0</v>
      </c>
      <c r="AB281" s="43">
        <v>0</v>
      </c>
      <c r="AC281" s="43">
        <v>0</v>
      </c>
      <c r="AD281" s="43">
        <v>0</v>
      </c>
      <c r="AE281" s="43">
        <v>0</v>
      </c>
      <c r="AF281" s="43">
        <v>0</v>
      </c>
      <c r="AG281" s="43"/>
      <c r="AH281" s="43">
        <f t="shared" si="11"/>
        <v>0</v>
      </c>
      <c r="AI281" s="47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4"/>
    </row>
    <row r="282" spans="1:66" s="4" customFormat="1" hidden="1" x14ac:dyDescent="0.2">
      <c r="A282" s="4">
        <v>44</v>
      </c>
      <c r="B282" s="35" t="s">
        <v>271</v>
      </c>
      <c r="C282" s="35"/>
      <c r="D282" s="35" t="s">
        <v>472</v>
      </c>
      <c r="E282" s="35"/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3">
        <v>0</v>
      </c>
      <c r="Q282" s="43">
        <v>0</v>
      </c>
      <c r="R282" s="43">
        <v>0</v>
      </c>
      <c r="S282" s="43">
        <v>0</v>
      </c>
      <c r="T282" s="43">
        <v>0</v>
      </c>
      <c r="U282" s="43">
        <v>0</v>
      </c>
      <c r="V282" s="43">
        <v>0</v>
      </c>
      <c r="W282" s="43">
        <v>0</v>
      </c>
      <c r="X282" s="43">
        <v>0</v>
      </c>
      <c r="Y282" s="43">
        <v>0</v>
      </c>
      <c r="Z282" s="43">
        <v>0</v>
      </c>
      <c r="AA282" s="43">
        <v>0</v>
      </c>
      <c r="AB282" s="43">
        <v>0</v>
      </c>
      <c r="AC282" s="43">
        <v>0</v>
      </c>
      <c r="AD282" s="43">
        <v>0</v>
      </c>
      <c r="AE282" s="43">
        <v>0</v>
      </c>
      <c r="AF282" s="43">
        <v>0</v>
      </c>
      <c r="AG282" s="43"/>
      <c r="AH282" s="43">
        <f t="shared" si="11"/>
        <v>0</v>
      </c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idden="1" x14ac:dyDescent="0.2">
      <c r="A283" s="4">
        <v>78</v>
      </c>
      <c r="B283" s="3" t="s">
        <v>560</v>
      </c>
      <c r="D283" s="3" t="s">
        <v>90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43">
        <v>0</v>
      </c>
      <c r="X283" s="43">
        <v>0</v>
      </c>
      <c r="Y283" s="43">
        <v>0</v>
      </c>
      <c r="Z283" s="43">
        <v>0</v>
      </c>
      <c r="AA283" s="43">
        <v>0</v>
      </c>
      <c r="AB283" s="43">
        <v>0</v>
      </c>
      <c r="AC283" s="43">
        <v>0</v>
      </c>
      <c r="AD283" s="43">
        <v>0</v>
      </c>
      <c r="AE283" s="43">
        <v>0</v>
      </c>
      <c r="AF283" s="43">
        <v>0</v>
      </c>
      <c r="AG283" s="43"/>
      <c r="AH283" s="43">
        <f t="shared" si="11"/>
        <v>0</v>
      </c>
      <c r="AJ283" s="48"/>
      <c r="AK283" s="48"/>
      <c r="AL283" s="48"/>
      <c r="AM283" s="48"/>
    </row>
    <row r="284" spans="1:66" s="4" customFormat="1" ht="12" hidden="1" customHeight="1" x14ac:dyDescent="0.2">
      <c r="A284" s="4">
        <v>256</v>
      </c>
      <c r="B284" s="3" t="s">
        <v>272</v>
      </c>
      <c r="C284" s="3"/>
      <c r="D284" s="3" t="s">
        <v>63</v>
      </c>
      <c r="E284" s="3"/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3">
        <v>0</v>
      </c>
      <c r="X284" s="43">
        <v>0</v>
      </c>
      <c r="Y284" s="43">
        <v>0</v>
      </c>
      <c r="Z284" s="43">
        <v>0</v>
      </c>
      <c r="AA284" s="43">
        <v>0</v>
      </c>
      <c r="AB284" s="43">
        <v>0</v>
      </c>
      <c r="AC284" s="43">
        <v>0</v>
      </c>
      <c r="AD284" s="43">
        <v>0</v>
      </c>
      <c r="AE284" s="43">
        <v>0</v>
      </c>
      <c r="AF284" s="43">
        <v>0</v>
      </c>
      <c r="AG284" s="43"/>
      <c r="AH284" s="43">
        <f t="shared" si="11"/>
        <v>0</v>
      </c>
      <c r="AI284" s="47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</row>
    <row r="285" spans="1:66" s="4" customFormat="1" hidden="1" x14ac:dyDescent="0.2">
      <c r="A285" s="4">
        <v>129</v>
      </c>
      <c r="B285" s="3" t="s">
        <v>460</v>
      </c>
      <c r="C285" s="3"/>
      <c r="D285" s="3" t="s">
        <v>478</v>
      </c>
      <c r="E285" s="3"/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43">
        <v>0</v>
      </c>
      <c r="X285" s="43">
        <v>0</v>
      </c>
      <c r="Y285" s="43">
        <v>0</v>
      </c>
      <c r="Z285" s="43">
        <v>0</v>
      </c>
      <c r="AA285" s="43">
        <v>0</v>
      </c>
      <c r="AB285" s="43">
        <v>0</v>
      </c>
      <c r="AC285" s="43">
        <v>0</v>
      </c>
      <c r="AD285" s="43">
        <v>0</v>
      </c>
      <c r="AE285" s="43">
        <v>0</v>
      </c>
      <c r="AF285" s="43">
        <v>0</v>
      </c>
      <c r="AG285" s="43"/>
      <c r="AH285" s="43">
        <f t="shared" si="11"/>
        <v>0</v>
      </c>
      <c r="AI285" s="47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</row>
    <row r="286" spans="1:66" s="4" customFormat="1" hidden="1" x14ac:dyDescent="0.2">
      <c r="A286" s="4">
        <v>114</v>
      </c>
      <c r="B286" s="3" t="s">
        <v>273</v>
      </c>
      <c r="C286" s="3"/>
      <c r="D286" s="3" t="s">
        <v>87</v>
      </c>
      <c r="E286" s="3"/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0</v>
      </c>
      <c r="R286" s="43">
        <v>0</v>
      </c>
      <c r="S286" s="43">
        <v>0</v>
      </c>
      <c r="T286" s="43">
        <v>0</v>
      </c>
      <c r="U286" s="43">
        <v>0</v>
      </c>
      <c r="V286" s="43">
        <v>0</v>
      </c>
      <c r="W286" s="43">
        <v>0</v>
      </c>
      <c r="X286" s="43">
        <v>0</v>
      </c>
      <c r="Y286" s="43">
        <v>0</v>
      </c>
      <c r="Z286" s="43">
        <v>0</v>
      </c>
      <c r="AA286" s="43">
        <v>0</v>
      </c>
      <c r="AB286" s="43">
        <v>0</v>
      </c>
      <c r="AC286" s="43">
        <v>0</v>
      </c>
      <c r="AD286" s="43">
        <v>0</v>
      </c>
      <c r="AE286" s="43">
        <v>0</v>
      </c>
      <c r="AF286" s="43">
        <v>0</v>
      </c>
      <c r="AG286" s="43"/>
      <c r="AH286" s="43">
        <f t="shared" si="11"/>
        <v>0</v>
      </c>
      <c r="AI286" s="47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</row>
    <row r="287" spans="1:66" s="4" customFormat="1" hidden="1" x14ac:dyDescent="0.2">
      <c r="A287" s="4">
        <v>249</v>
      </c>
      <c r="B287" s="3" t="s">
        <v>599</v>
      </c>
      <c r="C287" s="3"/>
      <c r="D287" s="3" t="s">
        <v>202</v>
      </c>
      <c r="E287" s="3"/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3">
        <v>0</v>
      </c>
      <c r="R287" s="43">
        <v>0</v>
      </c>
      <c r="S287" s="43">
        <v>0</v>
      </c>
      <c r="T287" s="43">
        <v>0</v>
      </c>
      <c r="U287" s="43">
        <v>0</v>
      </c>
      <c r="V287" s="43">
        <v>0</v>
      </c>
      <c r="W287" s="43">
        <v>0</v>
      </c>
      <c r="X287" s="43">
        <v>0</v>
      </c>
      <c r="Y287" s="43">
        <v>0</v>
      </c>
      <c r="Z287" s="43">
        <v>0</v>
      </c>
      <c r="AA287" s="43">
        <v>0</v>
      </c>
      <c r="AB287" s="43">
        <v>0</v>
      </c>
      <c r="AC287" s="43">
        <v>0</v>
      </c>
      <c r="AD287" s="43">
        <v>0</v>
      </c>
      <c r="AE287" s="43">
        <v>0</v>
      </c>
      <c r="AF287" s="43">
        <v>0</v>
      </c>
      <c r="AG287" s="43"/>
      <c r="AH287" s="43">
        <f t="shared" si="11"/>
        <v>0</v>
      </c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s="4" customFormat="1" x14ac:dyDescent="0.2">
      <c r="A288" s="39">
        <v>130</v>
      </c>
      <c r="B288" s="3" t="s">
        <v>274</v>
      </c>
      <c r="C288" s="3"/>
      <c r="D288" s="3" t="s">
        <v>13</v>
      </c>
      <c r="E288" s="3"/>
      <c r="F288" s="43">
        <v>0</v>
      </c>
      <c r="G288" s="43">
        <v>0</v>
      </c>
      <c r="H288" s="43">
        <v>1659515</v>
      </c>
      <c r="I288" s="43">
        <v>0</v>
      </c>
      <c r="J288" s="43">
        <v>1198203</v>
      </c>
      <c r="K288" s="43">
        <v>0</v>
      </c>
      <c r="L288" s="43">
        <v>73996</v>
      </c>
      <c r="M288" s="43">
        <v>0</v>
      </c>
      <c r="N288" s="43">
        <v>427837</v>
      </c>
      <c r="O288" s="43">
        <v>0</v>
      </c>
      <c r="P288" s="43">
        <v>1164749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43">
        <v>84878</v>
      </c>
      <c r="W288" s="43">
        <v>0</v>
      </c>
      <c r="X288" s="43">
        <v>0</v>
      </c>
      <c r="Y288" s="43">
        <v>0</v>
      </c>
      <c r="Z288" s="43">
        <v>0</v>
      </c>
      <c r="AA288" s="43">
        <v>0</v>
      </c>
      <c r="AB288" s="43">
        <v>101862</v>
      </c>
      <c r="AC288" s="43">
        <v>0</v>
      </c>
      <c r="AD288" s="43">
        <v>0</v>
      </c>
      <c r="AE288" s="43">
        <v>0</v>
      </c>
      <c r="AF288" s="43">
        <v>0</v>
      </c>
      <c r="AG288" s="43"/>
      <c r="AH288" s="43">
        <f t="shared" si="11"/>
        <v>4711040</v>
      </c>
      <c r="AI288" s="47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</row>
    <row r="289" spans="1:66" s="4" customFormat="1" hidden="1" x14ac:dyDescent="0.2">
      <c r="A289" s="4">
        <v>37</v>
      </c>
      <c r="B289" s="3" t="s">
        <v>275</v>
      </c>
      <c r="C289" s="3"/>
      <c r="D289" s="3" t="s">
        <v>67</v>
      </c>
      <c r="E289" s="3"/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3">
        <v>0</v>
      </c>
      <c r="Q289" s="43">
        <v>0</v>
      </c>
      <c r="R289" s="43">
        <v>0</v>
      </c>
      <c r="S289" s="43">
        <v>0</v>
      </c>
      <c r="T289" s="43">
        <v>0</v>
      </c>
      <c r="U289" s="43">
        <v>0</v>
      </c>
      <c r="V289" s="43">
        <v>0</v>
      </c>
      <c r="W289" s="43">
        <v>0</v>
      </c>
      <c r="X289" s="43">
        <v>0</v>
      </c>
      <c r="Y289" s="43">
        <v>0</v>
      </c>
      <c r="Z289" s="43">
        <v>0</v>
      </c>
      <c r="AA289" s="43">
        <v>0</v>
      </c>
      <c r="AB289" s="43">
        <v>0</v>
      </c>
      <c r="AC289" s="43">
        <v>0</v>
      </c>
      <c r="AD289" s="43">
        <v>0</v>
      </c>
      <c r="AE289" s="43">
        <v>0</v>
      </c>
      <c r="AF289" s="43">
        <v>0</v>
      </c>
      <c r="AG289" s="43"/>
      <c r="AH289" s="43">
        <f t="shared" si="11"/>
        <v>0</v>
      </c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x14ac:dyDescent="0.2">
      <c r="A290" s="4">
        <v>257</v>
      </c>
      <c r="B290" s="3" t="s">
        <v>600</v>
      </c>
      <c r="D290" s="3" t="s">
        <v>63</v>
      </c>
      <c r="F290" s="43">
        <v>0</v>
      </c>
      <c r="G290" s="43">
        <v>0</v>
      </c>
      <c r="H290" s="43">
        <v>1631784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3">
        <v>0</v>
      </c>
      <c r="T290" s="43">
        <v>0</v>
      </c>
      <c r="U290" s="43">
        <v>0</v>
      </c>
      <c r="V290" s="43">
        <v>60741</v>
      </c>
      <c r="W290" s="43">
        <v>0</v>
      </c>
      <c r="X290" s="43">
        <v>349168</v>
      </c>
      <c r="Y290" s="43">
        <v>0</v>
      </c>
      <c r="Z290" s="43">
        <v>14916</v>
      </c>
      <c r="AA290" s="43">
        <v>0</v>
      </c>
      <c r="AB290" s="43">
        <v>0</v>
      </c>
      <c r="AC290" s="43">
        <v>0</v>
      </c>
      <c r="AD290" s="43">
        <v>0</v>
      </c>
      <c r="AE290" s="43">
        <v>0</v>
      </c>
      <c r="AF290" s="43">
        <v>0</v>
      </c>
      <c r="AG290" s="43"/>
      <c r="AH290" s="43">
        <f t="shared" si="11"/>
        <v>2056609</v>
      </c>
    </row>
    <row r="291" spans="1:66" hidden="1" x14ac:dyDescent="0.2">
      <c r="A291" s="4">
        <v>61</v>
      </c>
      <c r="B291" s="3" t="s">
        <v>276</v>
      </c>
      <c r="D291" s="3" t="s">
        <v>79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43">
        <v>0</v>
      </c>
      <c r="X291" s="43">
        <v>0</v>
      </c>
      <c r="Y291" s="43">
        <v>0</v>
      </c>
      <c r="Z291" s="43">
        <v>0</v>
      </c>
      <c r="AA291" s="43">
        <v>0</v>
      </c>
      <c r="AB291" s="43">
        <v>0</v>
      </c>
      <c r="AC291" s="43">
        <v>0</v>
      </c>
      <c r="AD291" s="43">
        <v>0</v>
      </c>
      <c r="AE291" s="43">
        <v>0</v>
      </c>
      <c r="AF291" s="43">
        <v>0</v>
      </c>
      <c r="AG291" s="43"/>
      <c r="AH291" s="43">
        <f t="shared" si="11"/>
        <v>0</v>
      </c>
      <c r="AI291" s="47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4"/>
    </row>
    <row r="292" spans="1:66" s="4" customFormat="1" hidden="1" x14ac:dyDescent="0.2">
      <c r="A292" s="4">
        <v>65</v>
      </c>
      <c r="B292" s="3" t="s">
        <v>318</v>
      </c>
      <c r="C292" s="3"/>
      <c r="D292" s="3" t="s">
        <v>68</v>
      </c>
      <c r="E292" s="3"/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3">
        <v>0</v>
      </c>
      <c r="X292" s="43">
        <v>0</v>
      </c>
      <c r="Y292" s="43">
        <v>0</v>
      </c>
      <c r="Z292" s="43">
        <v>0</v>
      </c>
      <c r="AA292" s="43">
        <v>0</v>
      </c>
      <c r="AB292" s="43">
        <v>0</v>
      </c>
      <c r="AC292" s="43">
        <v>0</v>
      </c>
      <c r="AD292" s="43">
        <v>0</v>
      </c>
      <c r="AE292" s="43">
        <v>0</v>
      </c>
      <c r="AF292" s="43">
        <v>0</v>
      </c>
      <c r="AG292" s="43"/>
      <c r="AH292" s="43">
        <f t="shared" si="11"/>
        <v>0</v>
      </c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s="4" customFormat="1" x14ac:dyDescent="0.2">
      <c r="A293" s="4">
        <v>81</v>
      </c>
      <c r="B293" s="3" t="s">
        <v>277</v>
      </c>
      <c r="C293" s="3"/>
      <c r="D293" s="3" t="s">
        <v>90</v>
      </c>
      <c r="E293" s="3"/>
      <c r="F293" s="43">
        <v>0</v>
      </c>
      <c r="G293" s="43">
        <v>0</v>
      </c>
      <c r="H293" s="43">
        <v>3575257</v>
      </c>
      <c r="I293" s="43">
        <v>0</v>
      </c>
      <c r="J293" s="43">
        <v>1941337</v>
      </c>
      <c r="K293" s="43">
        <v>0</v>
      </c>
      <c r="L293" s="43">
        <v>825839</v>
      </c>
      <c r="M293" s="43">
        <v>0</v>
      </c>
      <c r="N293" s="43">
        <v>722816</v>
      </c>
      <c r="O293" s="43">
        <v>0</v>
      </c>
      <c r="P293" s="43">
        <v>1348101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47101</v>
      </c>
      <c r="W293" s="43">
        <v>0</v>
      </c>
      <c r="X293" s="43">
        <v>0</v>
      </c>
      <c r="Y293" s="43">
        <v>0</v>
      </c>
      <c r="Z293" s="43">
        <v>0</v>
      </c>
      <c r="AA293" s="43">
        <v>0</v>
      </c>
      <c r="AB293" s="43">
        <v>237915</v>
      </c>
      <c r="AC293" s="43">
        <v>0</v>
      </c>
      <c r="AD293" s="43">
        <v>0</v>
      </c>
      <c r="AE293" s="43">
        <v>0</v>
      </c>
      <c r="AF293" s="43">
        <v>0</v>
      </c>
      <c r="AG293" s="43"/>
      <c r="AH293" s="43">
        <f t="shared" si="11"/>
        <v>8698366</v>
      </c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s="4" customFormat="1" hidden="1" x14ac:dyDescent="0.2">
      <c r="A294" s="4">
        <v>172</v>
      </c>
      <c r="B294" s="35" t="s">
        <v>461</v>
      </c>
      <c r="C294" s="35"/>
      <c r="D294" s="35" t="s">
        <v>488</v>
      </c>
      <c r="E294" s="35"/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69"/>
      <c r="AH294" s="66">
        <f t="shared" si="11"/>
        <v>0</v>
      </c>
      <c r="AI294" s="47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</row>
    <row r="295" spans="1:66" s="4" customFormat="1" x14ac:dyDescent="0.2">
      <c r="B295" s="3"/>
      <c r="C295" s="3"/>
      <c r="D295" s="3"/>
      <c r="E295" s="3"/>
      <c r="G295" s="3"/>
      <c r="K295" s="3"/>
      <c r="M295" s="3"/>
      <c r="Q295" s="3"/>
      <c r="S295" s="3"/>
      <c r="U295" s="3"/>
      <c r="W295" s="3"/>
      <c r="Y295" s="3"/>
      <c r="AA295" s="3"/>
      <c r="AC295" s="3"/>
      <c r="AE295" s="3"/>
      <c r="AG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s="4" customFormat="1" x14ac:dyDescent="0.2">
      <c r="B296" s="3"/>
      <c r="C296" s="3"/>
      <c r="D296" s="3"/>
      <c r="E296" s="3"/>
      <c r="G296" s="3"/>
      <c r="K296" s="3"/>
      <c r="M296" s="3"/>
      <c r="Q296" s="3"/>
      <c r="S296" s="3"/>
      <c r="U296" s="3"/>
      <c r="W296" s="3"/>
      <c r="Y296" s="3"/>
      <c r="AA296" s="3"/>
      <c r="AC296" s="3"/>
      <c r="AE296" s="3"/>
      <c r="AG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s="4" customFormat="1" x14ac:dyDescent="0.2"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8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s="4" customFormat="1" x14ac:dyDescent="0.2">
      <c r="B298" s="3"/>
      <c r="C298" s="3"/>
      <c r="D298" s="3"/>
      <c r="E298" s="3"/>
      <c r="G298" s="3"/>
      <c r="K298" s="3"/>
      <c r="M298" s="3"/>
      <c r="Q298" s="3"/>
      <c r="S298" s="3"/>
      <c r="U298" s="3"/>
      <c r="W298" s="3"/>
      <c r="Y298" s="3"/>
      <c r="AA298" s="3"/>
      <c r="AC298" s="3"/>
      <c r="AE298" s="3"/>
      <c r="AG298" s="3"/>
      <c r="AH298" s="8"/>
      <c r="AI298" s="47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</row>
    <row r="299" spans="1:66" s="4" customFormat="1" x14ac:dyDescent="0.2">
      <c r="B299" s="3"/>
      <c r="C299" s="3"/>
      <c r="D299" s="3"/>
      <c r="E299" s="3"/>
      <c r="G299" s="3"/>
      <c r="K299" s="3"/>
      <c r="M299" s="3"/>
      <c r="Q299" s="3"/>
      <c r="S299" s="3"/>
      <c r="U299" s="3"/>
      <c r="W299" s="3"/>
      <c r="Y299" s="3"/>
      <c r="AA299" s="3"/>
      <c r="AC299" s="3"/>
      <c r="AE299" s="3"/>
      <c r="AG299" s="3"/>
      <c r="AH299" s="8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s="4" customFormat="1" x14ac:dyDescent="0.2">
      <c r="B300" s="3"/>
      <c r="C300" s="3"/>
      <c r="D300" s="3"/>
      <c r="E300" s="3"/>
      <c r="G300" s="3"/>
      <c r="K300" s="3"/>
      <c r="M300" s="3"/>
      <c r="Q300" s="3"/>
      <c r="S300" s="3"/>
      <c r="U300" s="3"/>
      <c r="W300" s="3"/>
      <c r="Y300" s="3"/>
      <c r="AA300" s="3"/>
      <c r="AC300" s="3"/>
      <c r="AE300" s="3"/>
      <c r="AG300" s="3"/>
      <c r="AH300" s="8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x14ac:dyDescent="0.2">
      <c r="B301" s="50"/>
      <c r="C301" s="50"/>
      <c r="D301" s="50" t="s">
        <v>496</v>
      </c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1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</row>
  </sheetData>
  <sortState ref="A19:AF270">
    <sortCondition ref="B19:B270"/>
  </sortState>
  <phoneticPr fontId="1" type="noConversion"/>
  <printOptions horizontalCentered="1"/>
  <pageMargins left="0.75" right="0.75" top="0.5" bottom="0.5" header="0" footer="0.3"/>
  <pageSetup scale="74" firstPageNumber="12" fitToWidth="2" fitToHeight="0" pageOrder="overThenDown" orientation="portrait" useFirstPageNumber="1" horizontalDpi="300" verticalDpi="300" r:id="rId1"/>
  <headerFooter scaleWithDoc="0" alignWithMargins="0">
    <oddFooter>&amp;C&amp;"Times New Roman,Regular"&amp;11&amp;P</oddFooter>
  </headerFooter>
  <rowBreaks count="1" manualBreakCount="1">
    <brk id="183" min="1" max="33" man="1"/>
  </rowBreaks>
  <colBreaks count="1" manualBreakCount="1">
    <brk id="16" max="29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N380"/>
  <sheetViews>
    <sheetView view="pageBreakPreview" topLeftCell="B127" zoomScale="90" zoomScaleNormal="100" zoomScaleSheetLayoutView="90" workbookViewId="0">
      <selection activeCell="F201" sqref="F201:AH201"/>
    </sheetView>
  </sheetViews>
  <sheetFormatPr defaultColWidth="9.140625" defaultRowHeight="12" x14ac:dyDescent="0.2"/>
  <cols>
    <col min="1" max="1" width="0" style="3" hidden="1" customWidth="1"/>
    <col min="2" max="2" width="38" style="3" customWidth="1"/>
    <col min="3" max="3" width="1.28515625" style="3" customWidth="1"/>
    <col min="4" max="4" width="10.42578125" style="3" customWidth="1"/>
    <col min="5" max="5" width="1.28515625" style="3" customWidth="1"/>
    <col min="6" max="6" width="11.140625" style="3" customWidth="1"/>
    <col min="7" max="7" width="1.28515625" style="3" customWidth="1"/>
    <col min="8" max="8" width="11.28515625" style="3" bestFit="1" customWidth="1"/>
    <col min="9" max="9" width="1.28515625" style="3" customWidth="1"/>
    <col min="10" max="10" width="11.28515625" style="3" bestFit="1" customWidth="1"/>
    <col min="11" max="11" width="1.28515625" style="3" customWidth="1"/>
    <col min="12" max="12" width="10.140625" style="3" customWidth="1"/>
    <col min="13" max="13" width="1.28515625" style="3" customWidth="1"/>
    <col min="14" max="14" width="10.140625" style="3" customWidth="1"/>
    <col min="15" max="15" width="1.28515625" style="3" customWidth="1"/>
    <col min="16" max="16" width="10.28515625" style="3" bestFit="1" customWidth="1"/>
    <col min="17" max="17" width="1.28515625" style="3" customWidth="1"/>
    <col min="18" max="18" width="10.7109375" style="3" customWidth="1"/>
    <col min="19" max="19" width="1.28515625" style="3" customWidth="1"/>
    <col min="20" max="20" width="10.5703125" style="3" customWidth="1"/>
    <col min="21" max="21" width="1.28515625" style="3" customWidth="1"/>
    <col min="22" max="22" width="11" style="3" customWidth="1"/>
    <col min="23" max="23" width="1.28515625" style="3" customWidth="1"/>
    <col min="24" max="24" width="9.7109375" style="3" customWidth="1"/>
    <col min="25" max="25" width="1.28515625" style="3" customWidth="1"/>
    <col min="26" max="26" width="12.140625" style="3" bestFit="1" customWidth="1"/>
    <col min="27" max="27" width="1.28515625" style="3" customWidth="1"/>
    <col min="28" max="28" width="9.5703125" style="3" customWidth="1"/>
    <col min="29" max="29" width="1.28515625" style="3" customWidth="1"/>
    <col min="30" max="30" width="11.28515625" style="3" bestFit="1" customWidth="1"/>
    <col min="31" max="31" width="1.28515625" style="3" customWidth="1"/>
    <col min="32" max="32" width="9.85546875" style="3" hidden="1" customWidth="1"/>
    <col min="33" max="33" width="1.28515625" style="3" hidden="1" customWidth="1"/>
    <col min="34" max="34" width="12.140625" style="3" bestFit="1" customWidth="1"/>
    <col min="35" max="16384" width="9.140625" style="3"/>
  </cols>
  <sheetData>
    <row r="1" spans="1:66" x14ac:dyDescent="0.2">
      <c r="B1" s="3" t="s">
        <v>515</v>
      </c>
    </row>
    <row r="2" spans="1:66" x14ac:dyDescent="0.2">
      <c r="B2" s="3" t="s">
        <v>632</v>
      </c>
    </row>
    <row r="3" spans="1:66" hidden="1" x14ac:dyDescent="0.2">
      <c r="B3" s="41" t="s">
        <v>5</v>
      </c>
    </row>
    <row r="5" spans="1:66" s="36" customFormat="1" x14ac:dyDescent="0.2">
      <c r="H5" s="36" t="s">
        <v>280</v>
      </c>
    </row>
    <row r="6" spans="1:66" s="36" customFormat="1" x14ac:dyDescent="0.2">
      <c r="F6" s="36" t="s">
        <v>29</v>
      </c>
      <c r="H6" s="36" t="s">
        <v>281</v>
      </c>
      <c r="P6" s="36" t="s">
        <v>27</v>
      </c>
      <c r="R6" s="36" t="s">
        <v>287</v>
      </c>
      <c r="X6" s="36" t="s">
        <v>292</v>
      </c>
      <c r="AD6" s="36" t="s">
        <v>0</v>
      </c>
    </row>
    <row r="7" spans="1:66" s="36" customFormat="1" ht="12" customHeight="1" x14ac:dyDescent="0.2">
      <c r="F7" s="36" t="s">
        <v>0</v>
      </c>
      <c r="H7" s="36" t="s">
        <v>282</v>
      </c>
      <c r="J7" s="36" t="s">
        <v>344</v>
      </c>
      <c r="L7" s="36" t="s">
        <v>284</v>
      </c>
      <c r="P7" s="36" t="s">
        <v>286</v>
      </c>
      <c r="R7" s="36" t="s">
        <v>288</v>
      </c>
      <c r="T7" s="36" t="s">
        <v>290</v>
      </c>
      <c r="X7" s="36" t="s">
        <v>293</v>
      </c>
      <c r="AD7" s="36" t="s">
        <v>294</v>
      </c>
      <c r="AF7" s="36" t="s">
        <v>630</v>
      </c>
    </row>
    <row r="8" spans="1:66" s="36" customFormat="1" ht="12" customHeight="1" x14ac:dyDescent="0.2">
      <c r="A8" s="36" t="s">
        <v>563</v>
      </c>
      <c r="B8" s="37"/>
      <c r="C8" s="44"/>
      <c r="D8" s="37" t="s">
        <v>4</v>
      </c>
      <c r="E8" s="44"/>
      <c r="F8" s="37" t="s">
        <v>279</v>
      </c>
      <c r="G8" s="44"/>
      <c r="H8" s="37" t="s">
        <v>283</v>
      </c>
      <c r="I8" s="44"/>
      <c r="J8" s="37" t="s">
        <v>345</v>
      </c>
      <c r="K8" s="44"/>
      <c r="L8" s="37" t="s">
        <v>285</v>
      </c>
      <c r="M8" s="44"/>
      <c r="N8" s="37" t="s">
        <v>546</v>
      </c>
      <c r="O8" s="44"/>
      <c r="P8" s="37" t="s">
        <v>548</v>
      </c>
      <c r="Q8" s="44"/>
      <c r="R8" s="37" t="s">
        <v>289</v>
      </c>
      <c r="S8" s="44"/>
      <c r="T8" s="37" t="s">
        <v>291</v>
      </c>
      <c r="U8" s="44"/>
      <c r="V8" s="37" t="s">
        <v>1</v>
      </c>
      <c r="W8" s="44"/>
      <c r="X8" s="37" t="s">
        <v>30</v>
      </c>
      <c r="Y8" s="44"/>
      <c r="Z8" s="37" t="s">
        <v>500</v>
      </c>
      <c r="AA8" s="44"/>
      <c r="AB8" s="37" t="s">
        <v>501</v>
      </c>
      <c r="AC8" s="44"/>
      <c r="AD8" s="37" t="s">
        <v>295</v>
      </c>
      <c r="AE8" s="44"/>
      <c r="AF8" s="37" t="s">
        <v>416</v>
      </c>
      <c r="AG8" s="44"/>
      <c r="AH8" s="45" t="s">
        <v>26</v>
      </c>
    </row>
    <row r="9" spans="1:66" s="28" customFormat="1" hidden="1" x14ac:dyDescent="0.2">
      <c r="A9" s="4">
        <v>2</v>
      </c>
      <c r="B9" s="4" t="s">
        <v>426</v>
      </c>
      <c r="C9" s="4"/>
      <c r="D9" s="4" t="s">
        <v>95</v>
      </c>
      <c r="E9" s="4"/>
      <c r="F9" s="4">
        <v>0</v>
      </c>
      <c r="G9" s="4"/>
      <c r="H9" s="4">
        <v>0</v>
      </c>
      <c r="I9" s="4"/>
      <c r="J9" s="4">
        <v>0</v>
      </c>
      <c r="K9" s="4"/>
      <c r="L9" s="4">
        <v>0</v>
      </c>
      <c r="M9" s="4"/>
      <c r="N9" s="4">
        <v>0</v>
      </c>
      <c r="O9" s="4"/>
      <c r="P9" s="4">
        <v>0</v>
      </c>
      <c r="Q9" s="4"/>
      <c r="R9" s="4">
        <v>0</v>
      </c>
      <c r="S9" s="4"/>
      <c r="T9" s="4">
        <v>0</v>
      </c>
      <c r="U9" s="4"/>
      <c r="V9" s="4">
        <v>0</v>
      </c>
      <c r="W9" s="4"/>
      <c r="X9" s="4">
        <v>0</v>
      </c>
      <c r="Y9" s="4"/>
      <c r="Z9" s="4">
        <v>0</v>
      </c>
      <c r="AA9" s="4"/>
      <c r="AB9" s="4">
        <v>0</v>
      </c>
      <c r="AC9" s="4"/>
      <c r="AD9" s="4">
        <v>0</v>
      </c>
      <c r="AE9" s="4"/>
      <c r="AF9" s="4">
        <v>0</v>
      </c>
      <c r="AG9" s="4"/>
      <c r="AH9" s="4">
        <f t="shared" ref="AH9:AH19" si="0">SUM(F9:AD9)</f>
        <v>0</v>
      </c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s="7" customFormat="1" hidden="1" x14ac:dyDescent="0.2">
      <c r="A10" s="4">
        <v>75</v>
      </c>
      <c r="B10" s="4" t="s">
        <v>427</v>
      </c>
      <c r="C10" s="4"/>
      <c r="D10" s="4" t="s">
        <v>90</v>
      </c>
      <c r="E10" s="4"/>
      <c r="F10" s="4">
        <v>0</v>
      </c>
      <c r="G10" s="4"/>
      <c r="H10" s="4">
        <v>0</v>
      </c>
      <c r="I10" s="4"/>
      <c r="J10" s="4">
        <v>0</v>
      </c>
      <c r="K10" s="4"/>
      <c r="L10" s="4">
        <v>0</v>
      </c>
      <c r="M10" s="4"/>
      <c r="N10" s="4">
        <v>0</v>
      </c>
      <c r="O10" s="4"/>
      <c r="P10" s="4">
        <v>0</v>
      </c>
      <c r="Q10" s="4"/>
      <c r="R10" s="4">
        <v>0</v>
      </c>
      <c r="S10" s="4"/>
      <c r="T10" s="4">
        <v>0</v>
      </c>
      <c r="U10" s="4"/>
      <c r="V10" s="4">
        <v>0</v>
      </c>
      <c r="W10" s="4"/>
      <c r="X10" s="4">
        <v>0</v>
      </c>
      <c r="Y10" s="4"/>
      <c r="Z10" s="4">
        <v>0</v>
      </c>
      <c r="AA10" s="4"/>
      <c r="AB10" s="4">
        <v>0</v>
      </c>
      <c r="AC10" s="4"/>
      <c r="AD10" s="4">
        <v>0</v>
      </c>
      <c r="AE10" s="4"/>
      <c r="AF10" s="4">
        <v>0</v>
      </c>
      <c r="AG10" s="4"/>
      <c r="AH10" s="4">
        <f t="shared" si="0"/>
        <v>0</v>
      </c>
    </row>
    <row r="11" spans="1:66" s="4" customFormat="1" hidden="1" x14ac:dyDescent="0.2">
      <c r="A11" s="4">
        <v>80</v>
      </c>
      <c r="B11" s="4" t="s">
        <v>265</v>
      </c>
      <c r="D11" s="4" t="s">
        <v>90</v>
      </c>
      <c r="F11" s="4">
        <v>0</v>
      </c>
      <c r="H11" s="4">
        <v>0</v>
      </c>
      <c r="J11" s="4">
        <v>0</v>
      </c>
      <c r="L11" s="4">
        <v>0</v>
      </c>
      <c r="N11" s="4">
        <v>0</v>
      </c>
      <c r="P11" s="4">
        <v>0</v>
      </c>
      <c r="R11" s="4">
        <v>0</v>
      </c>
      <c r="T11" s="4">
        <v>0</v>
      </c>
      <c r="V11" s="4">
        <v>0</v>
      </c>
      <c r="X11" s="4">
        <v>0</v>
      </c>
      <c r="Z11" s="4">
        <v>0</v>
      </c>
      <c r="AB11" s="4">
        <v>0</v>
      </c>
      <c r="AD11" s="4">
        <v>0</v>
      </c>
      <c r="AF11" s="4">
        <v>0</v>
      </c>
      <c r="AH11" s="4">
        <f t="shared" si="0"/>
        <v>0</v>
      </c>
    </row>
    <row r="12" spans="1:66" s="4" customFormat="1" hidden="1" x14ac:dyDescent="0.2">
      <c r="A12" s="4">
        <v>117</v>
      </c>
      <c r="B12" s="4" t="s">
        <v>221</v>
      </c>
      <c r="D12" s="4" t="s">
        <v>168</v>
      </c>
      <c r="F12" s="4">
        <v>0</v>
      </c>
      <c r="H12" s="4">
        <v>0</v>
      </c>
      <c r="J12" s="4">
        <v>0</v>
      </c>
      <c r="L12" s="4">
        <v>0</v>
      </c>
      <c r="N12" s="4">
        <v>0</v>
      </c>
      <c r="P12" s="4">
        <v>0</v>
      </c>
      <c r="R12" s="4">
        <v>0</v>
      </c>
      <c r="T12" s="4">
        <v>0</v>
      </c>
      <c r="V12" s="4">
        <v>0</v>
      </c>
      <c r="X12" s="4">
        <v>0</v>
      </c>
      <c r="Z12" s="4">
        <v>0</v>
      </c>
      <c r="AB12" s="4">
        <v>0</v>
      </c>
      <c r="AD12" s="4">
        <v>0</v>
      </c>
      <c r="AF12" s="4">
        <v>0</v>
      </c>
      <c r="AH12" s="4">
        <f t="shared" si="0"/>
        <v>0</v>
      </c>
    </row>
    <row r="13" spans="1:66" s="4" customFormat="1" hidden="1" x14ac:dyDescent="0.2">
      <c r="A13" s="4">
        <v>135</v>
      </c>
      <c r="B13" s="4" t="s">
        <v>433</v>
      </c>
      <c r="D13" s="4" t="s">
        <v>39</v>
      </c>
      <c r="F13" s="4">
        <v>0</v>
      </c>
      <c r="H13" s="4">
        <v>0</v>
      </c>
      <c r="J13" s="4">
        <v>0</v>
      </c>
      <c r="L13" s="4">
        <v>0</v>
      </c>
      <c r="N13" s="4">
        <v>0</v>
      </c>
      <c r="P13" s="4">
        <v>0</v>
      </c>
      <c r="R13" s="4">
        <v>0</v>
      </c>
      <c r="T13" s="4">
        <v>0</v>
      </c>
      <c r="V13" s="4">
        <v>0</v>
      </c>
      <c r="X13" s="4">
        <v>0</v>
      </c>
      <c r="Z13" s="4">
        <v>0</v>
      </c>
      <c r="AB13" s="4">
        <v>0</v>
      </c>
      <c r="AD13" s="4">
        <v>0</v>
      </c>
      <c r="AF13" s="4">
        <v>0</v>
      </c>
      <c r="AH13" s="4">
        <f t="shared" si="0"/>
        <v>0</v>
      </c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  <row r="14" spans="1:66" s="7" customFormat="1" hidden="1" x14ac:dyDescent="0.2">
      <c r="A14" s="4">
        <v>152</v>
      </c>
      <c r="B14" s="4" t="s">
        <v>212</v>
      </c>
      <c r="C14" s="4"/>
      <c r="D14" s="4" t="s">
        <v>213</v>
      </c>
      <c r="E14" s="4"/>
      <c r="F14" s="4">
        <v>0</v>
      </c>
      <c r="G14" s="4"/>
      <c r="H14" s="4">
        <v>0</v>
      </c>
      <c r="I14" s="4"/>
      <c r="J14" s="4">
        <v>0</v>
      </c>
      <c r="K14" s="4"/>
      <c r="L14" s="4">
        <v>0</v>
      </c>
      <c r="M14" s="4"/>
      <c r="N14" s="4">
        <v>0</v>
      </c>
      <c r="O14" s="4"/>
      <c r="P14" s="4">
        <v>0</v>
      </c>
      <c r="Q14" s="4"/>
      <c r="R14" s="4">
        <v>0</v>
      </c>
      <c r="S14" s="4"/>
      <c r="T14" s="4">
        <v>0</v>
      </c>
      <c r="U14" s="4"/>
      <c r="V14" s="4">
        <v>0</v>
      </c>
      <c r="W14" s="4"/>
      <c r="X14" s="4">
        <v>0</v>
      </c>
      <c r="Y14" s="4"/>
      <c r="Z14" s="4">
        <v>0</v>
      </c>
      <c r="AA14" s="4"/>
      <c r="AB14" s="4">
        <v>0</v>
      </c>
      <c r="AC14" s="4"/>
      <c r="AD14" s="4">
        <v>0</v>
      </c>
      <c r="AE14" s="4"/>
      <c r="AF14" s="4">
        <v>0</v>
      </c>
      <c r="AG14" s="4"/>
      <c r="AH14" s="4">
        <f t="shared" si="0"/>
        <v>0</v>
      </c>
    </row>
    <row r="15" spans="1:66" s="4" customFormat="1" hidden="1" x14ac:dyDescent="0.2">
      <c r="A15" s="4">
        <v>180</v>
      </c>
      <c r="B15" s="4" t="s">
        <v>251</v>
      </c>
      <c r="D15" s="4" t="s">
        <v>104</v>
      </c>
      <c r="F15" s="4">
        <v>0</v>
      </c>
      <c r="H15" s="4">
        <v>0</v>
      </c>
      <c r="J15" s="4">
        <v>0</v>
      </c>
      <c r="L15" s="4">
        <v>0</v>
      </c>
      <c r="N15" s="4">
        <v>0</v>
      </c>
      <c r="P15" s="4">
        <v>0</v>
      </c>
      <c r="R15" s="4">
        <v>0</v>
      </c>
      <c r="T15" s="4">
        <v>0</v>
      </c>
      <c r="V15" s="4">
        <v>0</v>
      </c>
      <c r="X15" s="4">
        <v>0</v>
      </c>
      <c r="Z15" s="4">
        <v>0</v>
      </c>
      <c r="AB15" s="4">
        <v>0</v>
      </c>
      <c r="AD15" s="4">
        <v>0</v>
      </c>
      <c r="AF15" s="4">
        <v>0</v>
      </c>
      <c r="AH15" s="4">
        <f t="shared" si="0"/>
        <v>0</v>
      </c>
    </row>
    <row r="16" spans="1:66" s="4" customFormat="1" hidden="1" x14ac:dyDescent="0.2">
      <c r="A16" s="4">
        <v>185</v>
      </c>
      <c r="B16" s="4" t="s">
        <v>228</v>
      </c>
      <c r="D16" s="4" t="s">
        <v>227</v>
      </c>
      <c r="F16" s="4">
        <v>0</v>
      </c>
      <c r="H16" s="4">
        <v>0</v>
      </c>
      <c r="J16" s="4">
        <v>0</v>
      </c>
      <c r="L16" s="4">
        <v>0</v>
      </c>
      <c r="N16" s="4">
        <v>0</v>
      </c>
      <c r="P16" s="4">
        <v>0</v>
      </c>
      <c r="R16" s="4">
        <v>0</v>
      </c>
      <c r="T16" s="4">
        <v>0</v>
      </c>
      <c r="V16" s="4">
        <v>0</v>
      </c>
      <c r="X16" s="4">
        <v>0</v>
      </c>
      <c r="Z16" s="4">
        <v>0</v>
      </c>
      <c r="AB16" s="4">
        <v>0</v>
      </c>
      <c r="AD16" s="4">
        <v>0</v>
      </c>
      <c r="AF16" s="4">
        <v>0</v>
      </c>
      <c r="AH16" s="4">
        <f t="shared" si="0"/>
        <v>0</v>
      </c>
    </row>
    <row r="17" spans="1:66" s="4" customFormat="1" hidden="1" x14ac:dyDescent="0.2">
      <c r="A17" s="4">
        <v>189</v>
      </c>
      <c r="B17" s="4" t="s">
        <v>441</v>
      </c>
      <c r="D17" s="4" t="s">
        <v>234</v>
      </c>
      <c r="F17" s="4">
        <v>0</v>
      </c>
      <c r="H17" s="4">
        <v>0</v>
      </c>
      <c r="J17" s="4">
        <v>0</v>
      </c>
      <c r="L17" s="4">
        <v>0</v>
      </c>
      <c r="N17" s="4">
        <v>0</v>
      </c>
      <c r="P17" s="4">
        <v>0</v>
      </c>
      <c r="R17" s="4">
        <v>0</v>
      </c>
      <c r="T17" s="4">
        <v>0</v>
      </c>
      <c r="V17" s="4">
        <v>0</v>
      </c>
      <c r="X17" s="4">
        <v>0</v>
      </c>
      <c r="Z17" s="4">
        <v>0</v>
      </c>
      <c r="AB17" s="4">
        <v>0</v>
      </c>
      <c r="AD17" s="4">
        <v>0</v>
      </c>
      <c r="AF17" s="4">
        <v>0</v>
      </c>
      <c r="AH17" s="4">
        <f t="shared" si="0"/>
        <v>0</v>
      </c>
    </row>
    <row r="18" spans="1:66" s="4" customFormat="1" hidden="1" x14ac:dyDescent="0.2">
      <c r="A18" s="4">
        <v>233</v>
      </c>
      <c r="B18" s="4" t="s">
        <v>33</v>
      </c>
      <c r="D18" s="4" t="s">
        <v>24</v>
      </c>
      <c r="F18" s="4">
        <v>0</v>
      </c>
      <c r="H18" s="4">
        <v>0</v>
      </c>
      <c r="J18" s="4">
        <v>0</v>
      </c>
      <c r="L18" s="4">
        <v>0</v>
      </c>
      <c r="N18" s="4">
        <v>0</v>
      </c>
      <c r="P18" s="4">
        <v>0</v>
      </c>
      <c r="R18" s="4">
        <v>0</v>
      </c>
      <c r="T18" s="4">
        <v>0</v>
      </c>
      <c r="V18" s="4">
        <v>0</v>
      </c>
      <c r="X18" s="4">
        <v>0</v>
      </c>
      <c r="Z18" s="4">
        <v>0</v>
      </c>
      <c r="AB18" s="4">
        <v>0</v>
      </c>
      <c r="AD18" s="4">
        <v>0</v>
      </c>
      <c r="AF18" s="4">
        <v>0</v>
      </c>
      <c r="AH18" s="4">
        <f t="shared" si="0"/>
        <v>0</v>
      </c>
    </row>
    <row r="19" spans="1:66" s="14" customFormat="1" hidden="1" x14ac:dyDescent="0.2">
      <c r="A19" s="4">
        <v>234</v>
      </c>
      <c r="B19" s="4" t="s">
        <v>199</v>
      </c>
      <c r="C19" s="4"/>
      <c r="D19" s="4" t="s">
        <v>24</v>
      </c>
      <c r="E19" s="4"/>
      <c r="F19" s="4">
        <v>0</v>
      </c>
      <c r="G19" s="4"/>
      <c r="H19" s="4">
        <v>0</v>
      </c>
      <c r="I19" s="4"/>
      <c r="J19" s="4">
        <v>0</v>
      </c>
      <c r="K19" s="4"/>
      <c r="L19" s="4">
        <v>0</v>
      </c>
      <c r="M19" s="4"/>
      <c r="N19" s="4">
        <v>0</v>
      </c>
      <c r="O19" s="4"/>
      <c r="P19" s="4">
        <v>0</v>
      </c>
      <c r="Q19" s="4"/>
      <c r="R19" s="4">
        <v>0</v>
      </c>
      <c r="S19" s="4"/>
      <c r="T19" s="4">
        <v>0</v>
      </c>
      <c r="U19" s="4"/>
      <c r="V19" s="4">
        <v>0</v>
      </c>
      <c r="W19" s="4"/>
      <c r="X19" s="4">
        <v>0</v>
      </c>
      <c r="Y19" s="4"/>
      <c r="Z19" s="4">
        <v>0</v>
      </c>
      <c r="AA19" s="4"/>
      <c r="AB19" s="4">
        <v>0</v>
      </c>
      <c r="AC19" s="4"/>
      <c r="AD19" s="4">
        <v>0</v>
      </c>
      <c r="AE19" s="4"/>
      <c r="AF19" s="4">
        <v>0</v>
      </c>
      <c r="AG19" s="4"/>
      <c r="AH19" s="4">
        <f t="shared" si="0"/>
        <v>0</v>
      </c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</row>
    <row r="20" spans="1:66" s="7" customFormat="1" ht="11.25" hidden="1" customHeight="1" x14ac:dyDescent="0.2">
      <c r="A20" s="7">
        <v>95</v>
      </c>
      <c r="B20" s="7" t="s">
        <v>71</v>
      </c>
      <c r="D20" s="7" t="s">
        <v>59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/>
      <c r="AH20" s="68">
        <f>SUM(F20:AF20)</f>
        <v>0</v>
      </c>
    </row>
    <row r="21" spans="1:66" s="4" customFormat="1" ht="6" hidden="1" customHeight="1" x14ac:dyDescent="0.2">
      <c r="A21" s="4">
        <v>1</v>
      </c>
      <c r="B21" s="4" t="s">
        <v>72</v>
      </c>
      <c r="D21" s="4" t="s">
        <v>38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"/>
      <c r="AH21" s="68">
        <f t="shared" ref="AH21:AH85" si="1">SUM(F21:AF21)</f>
        <v>0</v>
      </c>
    </row>
    <row r="22" spans="1:66" s="4" customFormat="1" ht="6" customHeight="1" x14ac:dyDescent="0.2"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"/>
      <c r="AH22" s="68"/>
    </row>
    <row r="23" spans="1:66" s="4" customFormat="1" x14ac:dyDescent="0.2">
      <c r="A23" s="4">
        <v>216</v>
      </c>
      <c r="B23" s="42" t="s">
        <v>425</v>
      </c>
      <c r="C23" s="42"/>
      <c r="D23" s="42" t="s">
        <v>20</v>
      </c>
      <c r="E23" s="42"/>
      <c r="F23" s="90">
        <v>13848561</v>
      </c>
      <c r="G23" s="90">
        <v>0</v>
      </c>
      <c r="H23" s="90">
        <v>10861536</v>
      </c>
      <c r="I23" s="90">
        <v>0</v>
      </c>
      <c r="J23" s="90">
        <v>2411335</v>
      </c>
      <c r="K23" s="90">
        <v>0</v>
      </c>
      <c r="L23" s="90">
        <v>562114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79866</v>
      </c>
      <c r="S23" s="90">
        <v>0</v>
      </c>
      <c r="T23" s="90">
        <v>17352</v>
      </c>
      <c r="U23" s="90">
        <v>0</v>
      </c>
      <c r="V23" s="90">
        <v>295690</v>
      </c>
      <c r="W23" s="90">
        <v>0</v>
      </c>
      <c r="X23" s="90">
        <v>0</v>
      </c>
      <c r="Y23" s="90">
        <v>0</v>
      </c>
      <c r="Z23" s="90">
        <v>732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0</v>
      </c>
      <c r="AG23" s="90"/>
      <c r="AH23" s="90">
        <f t="shared" si="1"/>
        <v>28077186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</row>
    <row r="24" spans="1:66" s="4" customFormat="1" hidden="1" x14ac:dyDescent="0.2">
      <c r="A24" s="4">
        <v>131</v>
      </c>
      <c r="B24" s="4" t="s">
        <v>502</v>
      </c>
      <c r="D24" s="4" t="s">
        <v>39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15"/>
      <c r="AH24" s="91">
        <f t="shared" si="1"/>
        <v>0</v>
      </c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</row>
    <row r="25" spans="1:66" s="4" customFormat="1" hidden="1" x14ac:dyDescent="0.2">
      <c r="A25" s="4">
        <v>96</v>
      </c>
      <c r="B25" s="4" t="s">
        <v>73</v>
      </c>
      <c r="D25" s="4" t="s">
        <v>59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15"/>
      <c r="AH25" s="91">
        <f t="shared" si="1"/>
        <v>0</v>
      </c>
    </row>
    <row r="26" spans="1:66" s="4" customFormat="1" hidden="1" x14ac:dyDescent="0.2">
      <c r="A26" s="4">
        <v>140</v>
      </c>
      <c r="B26" s="4" t="s">
        <v>442</v>
      </c>
      <c r="D26" s="4" t="s">
        <v>55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2"/>
      <c r="AH26" s="91">
        <f t="shared" si="1"/>
        <v>0</v>
      </c>
    </row>
    <row r="27" spans="1:66" s="4" customFormat="1" hidden="1" x14ac:dyDescent="0.2">
      <c r="A27" s="4">
        <v>208</v>
      </c>
      <c r="B27" s="4" t="s">
        <v>75</v>
      </c>
      <c r="D27" s="4" t="s">
        <v>76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1">
        <v>0</v>
      </c>
      <c r="Y27" s="91">
        <v>0</v>
      </c>
      <c r="Z27" s="91">
        <v>0</v>
      </c>
      <c r="AA27" s="91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92"/>
      <c r="AH27" s="91">
        <f t="shared" si="1"/>
        <v>0</v>
      </c>
    </row>
    <row r="28" spans="1:66" s="4" customFormat="1" hidden="1" x14ac:dyDescent="0.2">
      <c r="A28" s="4">
        <v>8</v>
      </c>
      <c r="B28" s="4" t="s">
        <v>77</v>
      </c>
      <c r="D28" s="4" t="s">
        <v>41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92"/>
      <c r="AH28" s="91">
        <f t="shared" si="1"/>
        <v>0</v>
      </c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</row>
    <row r="29" spans="1:66" s="4" customFormat="1" hidden="1" x14ac:dyDescent="0.2">
      <c r="A29" s="4">
        <v>58</v>
      </c>
      <c r="B29" s="4" t="s">
        <v>78</v>
      </c>
      <c r="D29" s="4" t="s">
        <v>79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91">
        <v>0</v>
      </c>
      <c r="AG29" s="15"/>
      <c r="AH29" s="91">
        <f t="shared" si="1"/>
        <v>0</v>
      </c>
    </row>
    <row r="30" spans="1:66" s="4" customFormat="1" hidden="1" x14ac:dyDescent="0.2">
      <c r="A30" s="4">
        <v>82</v>
      </c>
      <c r="B30" s="4" t="s">
        <v>296</v>
      </c>
      <c r="D30" s="4" t="s">
        <v>40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0</v>
      </c>
      <c r="AE30" s="91">
        <v>0</v>
      </c>
      <c r="AF30" s="91">
        <v>0</v>
      </c>
      <c r="AG30" s="15"/>
      <c r="AH30" s="91">
        <f t="shared" si="1"/>
        <v>0</v>
      </c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</row>
    <row r="31" spans="1:66" s="4" customFormat="1" x14ac:dyDescent="0.2">
      <c r="A31" s="4">
        <v>6</v>
      </c>
      <c r="B31" s="4" t="s">
        <v>80</v>
      </c>
      <c r="D31" s="4" t="s">
        <v>81</v>
      </c>
      <c r="F31" s="43">
        <v>951608</v>
      </c>
      <c r="G31" s="43">
        <v>0</v>
      </c>
      <c r="H31" s="43">
        <v>436254</v>
      </c>
      <c r="I31" s="43">
        <v>0</v>
      </c>
      <c r="J31" s="43">
        <v>0</v>
      </c>
      <c r="K31" s="43">
        <v>0</v>
      </c>
      <c r="L31" s="43">
        <v>46878</v>
      </c>
      <c r="M31" s="43">
        <v>0</v>
      </c>
      <c r="N31" s="43">
        <v>0</v>
      </c>
      <c r="O31" s="43">
        <v>0</v>
      </c>
      <c r="P31" s="43">
        <v>1407</v>
      </c>
      <c r="Q31" s="43">
        <v>0</v>
      </c>
      <c r="R31" s="43">
        <v>14212</v>
      </c>
      <c r="S31" s="43">
        <v>0</v>
      </c>
      <c r="T31" s="43">
        <v>25094</v>
      </c>
      <c r="U31" s="43">
        <v>0</v>
      </c>
      <c r="V31" s="43">
        <v>8890</v>
      </c>
      <c r="W31" s="43">
        <v>0</v>
      </c>
      <c r="X31" s="43">
        <v>0</v>
      </c>
      <c r="Y31" s="43">
        <v>0</v>
      </c>
      <c r="Z31" s="43">
        <v>150000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/>
      <c r="AH31" s="43">
        <f t="shared" si="1"/>
        <v>1634343</v>
      </c>
    </row>
    <row r="32" spans="1:66" s="4" customFormat="1" hidden="1" x14ac:dyDescent="0.2">
      <c r="A32" s="4">
        <v>9</v>
      </c>
      <c r="B32" s="4" t="s">
        <v>331</v>
      </c>
      <c r="D32" s="4" t="s">
        <v>41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/>
      <c r="AH32" s="43">
        <f t="shared" si="1"/>
        <v>0</v>
      </c>
    </row>
    <row r="33" spans="1:66" s="4" customFormat="1" hidden="1" x14ac:dyDescent="0.2">
      <c r="B33" s="4" t="s">
        <v>628</v>
      </c>
      <c r="D33" s="4" t="s">
        <v>208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/>
      <c r="AH33" s="43">
        <f t="shared" si="1"/>
        <v>0</v>
      </c>
    </row>
    <row r="34" spans="1:66" s="4" customFormat="1" hidden="1" x14ac:dyDescent="0.2">
      <c r="A34" s="4">
        <v>17</v>
      </c>
      <c r="B34" s="4" t="s">
        <v>578</v>
      </c>
      <c r="D34" s="4" t="s">
        <v>42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/>
      <c r="AH34" s="43">
        <f t="shared" si="1"/>
        <v>0</v>
      </c>
    </row>
    <row r="35" spans="1:66" s="4" customFormat="1" x14ac:dyDescent="0.2">
      <c r="A35" s="4">
        <v>141</v>
      </c>
      <c r="B35" s="4" t="s">
        <v>82</v>
      </c>
      <c r="D35" s="4" t="s">
        <v>55</v>
      </c>
      <c r="F35" s="43">
        <v>2026806</v>
      </c>
      <c r="G35" s="43">
        <v>0</v>
      </c>
      <c r="H35" s="43">
        <v>597258</v>
      </c>
      <c r="I35" s="43">
        <v>0</v>
      </c>
      <c r="J35" s="43">
        <v>332222</v>
      </c>
      <c r="K35" s="43">
        <v>0</v>
      </c>
      <c r="L35" s="43">
        <v>49514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685</v>
      </c>
      <c r="S35" s="43">
        <v>0</v>
      </c>
      <c r="T35" s="43">
        <v>613</v>
      </c>
      <c r="U35" s="43">
        <v>0</v>
      </c>
      <c r="V35" s="43">
        <v>35597</v>
      </c>
      <c r="W35" s="43">
        <v>0</v>
      </c>
      <c r="X35" s="43">
        <v>0</v>
      </c>
      <c r="Y35" s="43">
        <v>0</v>
      </c>
      <c r="Z35" s="43">
        <v>408556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/>
      <c r="AH35" s="43">
        <f t="shared" si="1"/>
        <v>3451251</v>
      </c>
    </row>
    <row r="36" spans="1:66" s="4" customFormat="1" hidden="1" x14ac:dyDescent="0.2">
      <c r="A36" s="4">
        <v>217</v>
      </c>
      <c r="B36" s="4" t="s">
        <v>443</v>
      </c>
      <c r="D36" s="4" t="s">
        <v>20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/>
      <c r="AH36" s="43">
        <f t="shared" si="1"/>
        <v>0</v>
      </c>
    </row>
    <row r="37" spans="1:66" s="4" customFormat="1" ht="12.75" customHeight="1" x14ac:dyDescent="0.2">
      <c r="A37" s="4">
        <v>19</v>
      </c>
      <c r="B37" s="4" t="s">
        <v>19</v>
      </c>
      <c r="D37" s="4" t="s">
        <v>11</v>
      </c>
      <c r="F37" s="43">
        <v>385159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19864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16330</v>
      </c>
      <c r="S37" s="43">
        <v>0</v>
      </c>
      <c r="T37" s="43">
        <v>17523</v>
      </c>
      <c r="U37" s="43">
        <v>0</v>
      </c>
      <c r="V37" s="43">
        <v>5507</v>
      </c>
      <c r="W37" s="43">
        <v>0</v>
      </c>
      <c r="X37" s="43">
        <v>0</v>
      </c>
      <c r="Y37" s="43">
        <v>0</v>
      </c>
      <c r="Z37" s="43">
        <v>30000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/>
      <c r="AH37" s="43">
        <f t="shared" si="1"/>
        <v>474383</v>
      </c>
    </row>
    <row r="38" spans="1:66" s="4" customFormat="1" hidden="1" x14ac:dyDescent="0.2">
      <c r="A38" s="4">
        <v>20</v>
      </c>
      <c r="B38" s="4" t="s">
        <v>83</v>
      </c>
      <c r="D38" s="4" t="s">
        <v>11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/>
      <c r="AH38" s="43">
        <f t="shared" si="1"/>
        <v>0</v>
      </c>
    </row>
    <row r="39" spans="1:66" s="4" customFormat="1" x14ac:dyDescent="0.2">
      <c r="A39" s="4">
        <v>137</v>
      </c>
      <c r="B39" s="4" t="s">
        <v>84</v>
      </c>
      <c r="D39" s="4" t="s">
        <v>85</v>
      </c>
      <c r="F39" s="43">
        <v>0</v>
      </c>
      <c r="G39" s="43">
        <v>0</v>
      </c>
      <c r="H39" s="43">
        <v>63546</v>
      </c>
      <c r="I39" s="43">
        <v>0</v>
      </c>
      <c r="J39" s="43">
        <v>0</v>
      </c>
      <c r="K39" s="43">
        <v>0</v>
      </c>
      <c r="L39" s="43">
        <v>3374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3186</v>
      </c>
      <c r="S39" s="43">
        <v>0</v>
      </c>
      <c r="T39" s="43">
        <v>2588</v>
      </c>
      <c r="U39" s="43">
        <v>0</v>
      </c>
      <c r="V39" s="43">
        <f>8736+2200</f>
        <v>10936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/>
      <c r="AH39" s="43">
        <f t="shared" si="1"/>
        <v>83630</v>
      </c>
    </row>
    <row r="40" spans="1:66" s="4" customFormat="1" x14ac:dyDescent="0.2">
      <c r="A40" s="4">
        <v>110</v>
      </c>
      <c r="B40" s="4" t="s">
        <v>86</v>
      </c>
      <c r="D40" s="4" t="s">
        <v>87</v>
      </c>
      <c r="F40" s="43">
        <v>248902</v>
      </c>
      <c r="G40" s="43">
        <v>0</v>
      </c>
      <c r="H40" s="43">
        <v>523397</v>
      </c>
      <c r="I40" s="43">
        <v>0</v>
      </c>
      <c r="J40" s="43">
        <v>29043</v>
      </c>
      <c r="K40" s="43">
        <v>0</v>
      </c>
      <c r="L40" s="43">
        <v>21554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11675</v>
      </c>
      <c r="S40" s="43">
        <v>0</v>
      </c>
      <c r="T40" s="43">
        <v>1648</v>
      </c>
      <c r="U40" s="43">
        <v>0</v>
      </c>
      <c r="V40" s="43">
        <v>7218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  <c r="AE40" s="43">
        <v>0</v>
      </c>
      <c r="AF40" s="43">
        <v>0</v>
      </c>
      <c r="AG40" s="43"/>
      <c r="AH40" s="43">
        <f t="shared" si="1"/>
        <v>843437</v>
      </c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</row>
    <row r="41" spans="1:66" s="4" customFormat="1" x14ac:dyDescent="0.2">
      <c r="A41" s="4">
        <v>203</v>
      </c>
      <c r="B41" s="4" t="s">
        <v>88</v>
      </c>
      <c r="D41" s="4" t="s">
        <v>43</v>
      </c>
      <c r="F41" s="43">
        <v>9093</v>
      </c>
      <c r="G41" s="43">
        <v>0</v>
      </c>
      <c r="H41" s="43">
        <v>109194</v>
      </c>
      <c r="I41" s="43">
        <v>0</v>
      </c>
      <c r="J41" s="43">
        <v>0</v>
      </c>
      <c r="K41" s="43">
        <v>0</v>
      </c>
      <c r="L41" s="43">
        <v>3192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536</v>
      </c>
      <c r="S41" s="43">
        <v>0</v>
      </c>
      <c r="T41" s="43">
        <v>2547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10505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/>
      <c r="AH41" s="43">
        <f t="shared" si="1"/>
        <v>135067</v>
      </c>
    </row>
    <row r="42" spans="1:66" s="4" customFormat="1" hidden="1" x14ac:dyDescent="0.2">
      <c r="A42" s="4">
        <v>74</v>
      </c>
      <c r="B42" s="4" t="s">
        <v>89</v>
      </c>
      <c r="D42" s="4" t="s">
        <v>90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/>
      <c r="AH42" s="43">
        <f t="shared" si="1"/>
        <v>0</v>
      </c>
    </row>
    <row r="43" spans="1:66" s="4" customFormat="1" x14ac:dyDescent="0.2">
      <c r="A43" s="4">
        <v>200</v>
      </c>
      <c r="B43" s="4" t="s">
        <v>91</v>
      </c>
      <c r="D43" s="4" t="s">
        <v>92</v>
      </c>
      <c r="F43" s="43">
        <v>904586</v>
      </c>
      <c r="G43" s="43">
        <v>0</v>
      </c>
      <c r="H43" s="43">
        <v>0</v>
      </c>
      <c r="I43" s="43">
        <v>0</v>
      </c>
      <c r="J43" s="43">
        <v>1314167</v>
      </c>
      <c r="K43" s="43">
        <v>0</v>
      </c>
      <c r="L43" s="43">
        <v>33690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15446</v>
      </c>
      <c r="S43" s="43">
        <v>0</v>
      </c>
      <c r="T43" s="43">
        <v>6629</v>
      </c>
      <c r="U43" s="43">
        <v>0</v>
      </c>
      <c r="V43" s="43">
        <v>13815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  <c r="AE43" s="43">
        <v>0</v>
      </c>
      <c r="AF43" s="43">
        <v>0</v>
      </c>
      <c r="AG43" s="43"/>
      <c r="AH43" s="43">
        <f t="shared" si="1"/>
        <v>2288333</v>
      </c>
    </row>
    <row r="44" spans="1:66" s="4" customFormat="1" x14ac:dyDescent="0.2">
      <c r="A44" s="4">
        <v>35</v>
      </c>
      <c r="B44" s="4" t="s">
        <v>93</v>
      </c>
      <c r="D44" s="4" t="s">
        <v>67</v>
      </c>
      <c r="F44" s="43">
        <v>230340</v>
      </c>
      <c r="G44" s="43">
        <v>0</v>
      </c>
      <c r="H44" s="43">
        <v>177945</v>
      </c>
      <c r="I44" s="43">
        <v>0</v>
      </c>
      <c r="J44" s="43">
        <v>379343.2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157</v>
      </c>
      <c r="U44" s="43">
        <v>0</v>
      </c>
      <c r="V44" s="43">
        <v>714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/>
      <c r="AH44" s="43">
        <f t="shared" si="1"/>
        <v>788499.2</v>
      </c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</row>
    <row r="45" spans="1:66" s="14" customFormat="1" hidden="1" x14ac:dyDescent="0.2">
      <c r="A45" s="4">
        <v>204</v>
      </c>
      <c r="B45" s="4" t="s">
        <v>94</v>
      </c>
      <c r="C45" s="4"/>
      <c r="D45" s="4" t="s">
        <v>43</v>
      </c>
      <c r="E45" s="4"/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/>
      <c r="AH45" s="43">
        <f t="shared" si="1"/>
        <v>0</v>
      </c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</row>
    <row r="46" spans="1:66" s="4" customFormat="1" hidden="1" x14ac:dyDescent="0.2">
      <c r="A46" s="4">
        <v>3</v>
      </c>
      <c r="B46" s="4" t="s">
        <v>298</v>
      </c>
      <c r="D46" s="4" t="s">
        <v>95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0</v>
      </c>
      <c r="AF46" s="43">
        <v>0</v>
      </c>
      <c r="AG46" s="43"/>
      <c r="AH46" s="43">
        <f t="shared" si="1"/>
        <v>0</v>
      </c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</row>
    <row r="47" spans="1:66" s="4" customFormat="1" hidden="1" x14ac:dyDescent="0.2">
      <c r="A47" s="4">
        <v>101</v>
      </c>
      <c r="B47" s="4" t="s">
        <v>96</v>
      </c>
      <c r="D47" s="4" t="s">
        <v>44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/>
      <c r="AH47" s="43">
        <f t="shared" si="1"/>
        <v>0</v>
      </c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</row>
    <row r="48" spans="1:66" s="4" customFormat="1" hidden="1" x14ac:dyDescent="0.2">
      <c r="A48" s="4">
        <v>162</v>
      </c>
      <c r="B48" s="4" t="s">
        <v>97</v>
      </c>
      <c r="D48" s="4" t="s">
        <v>51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/>
      <c r="AH48" s="43">
        <f t="shared" si="1"/>
        <v>0</v>
      </c>
    </row>
    <row r="49" spans="1:66" s="4" customFormat="1" x14ac:dyDescent="0.2">
      <c r="A49" s="39">
        <v>130.1</v>
      </c>
      <c r="B49" s="3" t="s">
        <v>566</v>
      </c>
      <c r="C49" s="3"/>
      <c r="D49" s="3" t="s">
        <v>567</v>
      </c>
      <c r="E49" s="3"/>
      <c r="F49" s="43">
        <v>0</v>
      </c>
      <c r="G49" s="43">
        <v>0</v>
      </c>
      <c r="H49" s="43">
        <v>1762209</v>
      </c>
      <c r="I49" s="43">
        <v>0</v>
      </c>
      <c r="J49" s="43">
        <v>0</v>
      </c>
      <c r="K49" s="43">
        <v>0</v>
      </c>
      <c r="L49" s="43">
        <v>44151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f>4782+125</f>
        <v>4907</v>
      </c>
      <c r="S49" s="43">
        <v>0</v>
      </c>
      <c r="T49" s="43">
        <f>500+181</f>
        <v>681</v>
      </c>
      <c r="U49" s="43">
        <v>0</v>
      </c>
      <c r="V49" s="43">
        <v>45309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/>
      <c r="AH49" s="43">
        <f t="shared" si="1"/>
        <v>1857257</v>
      </c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</row>
    <row r="50" spans="1:66" s="4" customFormat="1" x14ac:dyDescent="0.2">
      <c r="A50" s="4">
        <v>223</v>
      </c>
      <c r="B50" s="4" t="s">
        <v>98</v>
      </c>
      <c r="D50" s="4" t="s">
        <v>54</v>
      </c>
      <c r="F50" s="43">
        <v>48907</v>
      </c>
      <c r="G50" s="43">
        <v>0</v>
      </c>
      <c r="H50" s="43">
        <v>0</v>
      </c>
      <c r="I50" s="43">
        <v>0</v>
      </c>
      <c r="J50" s="43">
        <v>306839</v>
      </c>
      <c r="K50" s="43">
        <v>0</v>
      </c>
      <c r="L50" s="43">
        <v>6952</v>
      </c>
      <c r="M50" s="43">
        <v>0</v>
      </c>
      <c r="N50" s="43">
        <v>16000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12026</v>
      </c>
      <c r="U50" s="43">
        <v>0</v>
      </c>
      <c r="V50" s="43">
        <v>1922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/>
      <c r="AH50" s="43">
        <f t="shared" si="1"/>
        <v>392646</v>
      </c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</row>
    <row r="51" spans="1:66" s="4" customFormat="1" hidden="1" x14ac:dyDescent="0.2">
      <c r="A51" s="4">
        <v>23</v>
      </c>
      <c r="B51" s="4" t="s">
        <v>466</v>
      </c>
      <c r="D51" s="4" t="s">
        <v>45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0</v>
      </c>
      <c r="Z51" s="43">
        <v>0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/>
      <c r="AH51" s="43">
        <f t="shared" si="1"/>
        <v>0</v>
      </c>
    </row>
    <row r="52" spans="1:66" s="4" customFormat="1" x14ac:dyDescent="0.2">
      <c r="A52" s="4">
        <v>194</v>
      </c>
      <c r="B52" s="4" t="s">
        <v>99</v>
      </c>
      <c r="D52" s="4" t="s">
        <v>100</v>
      </c>
      <c r="F52" s="43">
        <v>92377</v>
      </c>
      <c r="G52" s="43">
        <v>0</v>
      </c>
      <c r="H52" s="43">
        <v>27813</v>
      </c>
      <c r="I52" s="43">
        <v>0</v>
      </c>
      <c r="J52" s="43">
        <v>0</v>
      </c>
      <c r="K52" s="43">
        <v>0</v>
      </c>
      <c r="L52" s="43">
        <v>5859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27729</v>
      </c>
      <c r="S52" s="43">
        <v>0</v>
      </c>
      <c r="T52" s="43">
        <v>383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43"/>
      <c r="AH52" s="43">
        <f t="shared" si="1"/>
        <v>154161</v>
      </c>
    </row>
    <row r="53" spans="1:66" s="4" customFormat="1" x14ac:dyDescent="0.2">
      <c r="A53" s="4">
        <v>46</v>
      </c>
      <c r="B53" s="4" t="s">
        <v>101</v>
      </c>
      <c r="D53" s="4" t="s">
        <v>50</v>
      </c>
      <c r="F53" s="43">
        <v>0</v>
      </c>
      <c r="G53" s="43">
        <v>0</v>
      </c>
      <c r="H53" s="43">
        <v>477702.91</v>
      </c>
      <c r="I53" s="43">
        <v>0</v>
      </c>
      <c r="J53" s="43">
        <v>0</v>
      </c>
      <c r="K53" s="43">
        <v>0</v>
      </c>
      <c r="L53" s="43">
        <v>11265.12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55320.4</v>
      </c>
      <c r="S53" s="43">
        <v>0</v>
      </c>
      <c r="T53" s="43">
        <v>2803.84</v>
      </c>
      <c r="U53" s="43">
        <v>0</v>
      </c>
      <c r="V53" s="43">
        <v>9003.14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3">
        <v>0</v>
      </c>
      <c r="AF53" s="43">
        <v>0</v>
      </c>
      <c r="AG53" s="43"/>
      <c r="AH53" s="43">
        <f t="shared" si="1"/>
        <v>556095.40999999992</v>
      </c>
    </row>
    <row r="54" spans="1:66" s="4" customFormat="1" hidden="1" x14ac:dyDescent="0.2">
      <c r="A54" s="4">
        <v>89</v>
      </c>
      <c r="B54" s="4" t="s">
        <v>102</v>
      </c>
      <c r="D54" s="4" t="s">
        <v>15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3">
        <v>0</v>
      </c>
      <c r="AC54" s="43">
        <v>0</v>
      </c>
      <c r="AD54" s="43">
        <v>0</v>
      </c>
      <c r="AE54" s="43">
        <v>0</v>
      </c>
      <c r="AF54" s="43">
        <v>0</v>
      </c>
      <c r="AG54" s="43"/>
      <c r="AH54" s="43">
        <f t="shared" si="1"/>
        <v>0</v>
      </c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</row>
    <row r="55" spans="1:66" s="4" customFormat="1" hidden="1" x14ac:dyDescent="0.2">
      <c r="A55" s="4">
        <v>179</v>
      </c>
      <c r="B55" s="4" t="s">
        <v>103</v>
      </c>
      <c r="D55" s="4" t="s">
        <v>104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3">
        <v>0</v>
      </c>
      <c r="AD55" s="43">
        <v>0</v>
      </c>
      <c r="AE55" s="43">
        <v>0</v>
      </c>
      <c r="AF55" s="43">
        <v>0</v>
      </c>
      <c r="AG55" s="43"/>
      <c r="AH55" s="43">
        <f t="shared" si="1"/>
        <v>0</v>
      </c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</row>
    <row r="56" spans="1:66" s="4" customFormat="1" hidden="1" x14ac:dyDescent="0.2">
      <c r="A56" s="4">
        <v>209</v>
      </c>
      <c r="B56" s="4" t="s">
        <v>105</v>
      </c>
      <c r="D56" s="4" t="s">
        <v>23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  <c r="AB56" s="43">
        <v>0</v>
      </c>
      <c r="AC56" s="43">
        <v>0</v>
      </c>
      <c r="AD56" s="43">
        <v>0</v>
      </c>
      <c r="AE56" s="43">
        <v>0</v>
      </c>
      <c r="AF56" s="43">
        <v>0</v>
      </c>
      <c r="AG56" s="43"/>
      <c r="AH56" s="43">
        <f t="shared" si="1"/>
        <v>0</v>
      </c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</row>
    <row r="57" spans="1:66" s="4" customFormat="1" x14ac:dyDescent="0.2">
      <c r="A57" s="4">
        <v>174</v>
      </c>
      <c r="B57" s="4" t="s">
        <v>106</v>
      </c>
      <c r="D57" s="4" t="s">
        <v>66</v>
      </c>
      <c r="F57" s="43">
        <v>0</v>
      </c>
      <c r="G57" s="43">
        <v>0</v>
      </c>
      <c r="H57" s="43">
        <v>206482</v>
      </c>
      <c r="I57" s="43">
        <v>0</v>
      </c>
      <c r="J57" s="43">
        <v>1300</v>
      </c>
      <c r="K57" s="43">
        <v>0</v>
      </c>
      <c r="L57" s="43">
        <v>6213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1299</v>
      </c>
      <c r="S57" s="43">
        <v>0</v>
      </c>
      <c r="T57" s="43">
        <v>877</v>
      </c>
      <c r="U57" s="43">
        <v>0</v>
      </c>
      <c r="V57" s="43">
        <v>9283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3">
        <v>0</v>
      </c>
      <c r="AC57" s="43">
        <v>0</v>
      </c>
      <c r="AD57" s="43">
        <v>0</v>
      </c>
      <c r="AE57" s="43">
        <v>0</v>
      </c>
      <c r="AF57" s="43">
        <v>0</v>
      </c>
      <c r="AG57" s="43"/>
      <c r="AH57" s="43">
        <f t="shared" si="1"/>
        <v>225454</v>
      </c>
    </row>
    <row r="58" spans="1:66" s="4" customFormat="1" x14ac:dyDescent="0.2">
      <c r="A58" s="4">
        <v>73</v>
      </c>
      <c r="B58" s="4" t="s">
        <v>107</v>
      </c>
      <c r="D58" s="4" t="s">
        <v>108</v>
      </c>
      <c r="F58" s="43">
        <v>0</v>
      </c>
      <c r="G58" s="43">
        <v>0</v>
      </c>
      <c r="H58" s="43">
        <f>788284+3060</f>
        <v>791344</v>
      </c>
      <c r="I58" s="43">
        <v>0</v>
      </c>
      <c r="J58" s="43">
        <v>0</v>
      </c>
      <c r="K58" s="43">
        <v>0</v>
      </c>
      <c r="L58" s="43">
        <v>19740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7673</v>
      </c>
      <c r="S58" s="43">
        <v>0</v>
      </c>
      <c r="T58" s="43">
        <v>5784</v>
      </c>
      <c r="U58" s="43">
        <v>0</v>
      </c>
      <c r="V58" s="43">
        <v>2731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  <c r="AB58" s="43">
        <v>0</v>
      </c>
      <c r="AC58" s="43">
        <v>0</v>
      </c>
      <c r="AD58" s="43">
        <v>0</v>
      </c>
      <c r="AE58" s="43">
        <v>0</v>
      </c>
      <c r="AF58" s="43">
        <v>0</v>
      </c>
      <c r="AG58" s="43"/>
      <c r="AH58" s="43">
        <f t="shared" si="1"/>
        <v>827272</v>
      </c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</row>
    <row r="59" spans="1:66" s="4" customFormat="1" hidden="1" x14ac:dyDescent="0.2">
      <c r="A59" s="4">
        <v>27</v>
      </c>
      <c r="B59" s="4" t="s">
        <v>579</v>
      </c>
      <c r="D59" s="4" t="s">
        <v>46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/>
      <c r="AH59" s="43">
        <f t="shared" si="1"/>
        <v>0</v>
      </c>
    </row>
    <row r="60" spans="1:66" s="4" customFormat="1" x14ac:dyDescent="0.2">
      <c r="A60" s="4">
        <v>121</v>
      </c>
      <c r="B60" s="4" t="s">
        <v>109</v>
      </c>
      <c r="D60" s="4" t="s">
        <v>14</v>
      </c>
      <c r="F60" s="43">
        <v>0</v>
      </c>
      <c r="G60" s="43">
        <v>0</v>
      </c>
      <c r="H60" s="43">
        <v>217268</v>
      </c>
      <c r="I60" s="43">
        <v>0</v>
      </c>
      <c r="J60" s="43">
        <v>0</v>
      </c>
      <c r="K60" s="43">
        <v>0</v>
      </c>
      <c r="L60" s="43">
        <v>8210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505</v>
      </c>
      <c r="S60" s="43">
        <v>0</v>
      </c>
      <c r="T60" s="43">
        <v>898</v>
      </c>
      <c r="U60" s="43">
        <v>0</v>
      </c>
      <c r="V60" s="43">
        <v>59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3">
        <v>0</v>
      </c>
      <c r="AC60" s="43">
        <v>0</v>
      </c>
      <c r="AD60" s="43">
        <v>0</v>
      </c>
      <c r="AE60" s="43">
        <v>0</v>
      </c>
      <c r="AF60" s="43">
        <v>0</v>
      </c>
      <c r="AG60" s="43"/>
      <c r="AH60" s="43">
        <f t="shared" si="1"/>
        <v>226940</v>
      </c>
    </row>
    <row r="61" spans="1:66" s="4" customFormat="1" hidden="1" x14ac:dyDescent="0.2">
      <c r="A61" s="4">
        <v>28</v>
      </c>
      <c r="B61" s="4" t="s">
        <v>580</v>
      </c>
      <c r="D61" s="4" t="s">
        <v>60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0</v>
      </c>
      <c r="Z61" s="43">
        <v>0</v>
      </c>
      <c r="AA61" s="43">
        <v>0</v>
      </c>
      <c r="AB61" s="43">
        <v>0</v>
      </c>
      <c r="AC61" s="43">
        <v>0</v>
      </c>
      <c r="AD61" s="43">
        <v>0</v>
      </c>
      <c r="AE61" s="43">
        <v>0</v>
      </c>
      <c r="AF61" s="43">
        <v>0</v>
      </c>
      <c r="AG61" s="43"/>
      <c r="AH61" s="43">
        <f t="shared" si="1"/>
        <v>0</v>
      </c>
    </row>
    <row r="62" spans="1:66" s="4" customFormat="1" hidden="1" x14ac:dyDescent="0.2">
      <c r="A62" s="4">
        <v>199</v>
      </c>
      <c r="B62" s="4" t="s">
        <v>110</v>
      </c>
      <c r="D62" s="4" t="s">
        <v>47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  <c r="AB62" s="43">
        <v>0</v>
      </c>
      <c r="AC62" s="43">
        <v>0</v>
      </c>
      <c r="AD62" s="43">
        <v>0</v>
      </c>
      <c r="AE62" s="43">
        <v>0</v>
      </c>
      <c r="AF62" s="43">
        <v>0</v>
      </c>
      <c r="AG62" s="43"/>
      <c r="AH62" s="43">
        <f t="shared" si="1"/>
        <v>0</v>
      </c>
    </row>
    <row r="63" spans="1:66" s="4" customFormat="1" hidden="1" x14ac:dyDescent="0.2">
      <c r="A63" s="4">
        <v>199</v>
      </c>
      <c r="B63" s="4" t="s">
        <v>610</v>
      </c>
      <c r="D63" s="4" t="s">
        <v>565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0</v>
      </c>
      <c r="AB63" s="43">
        <v>0</v>
      </c>
      <c r="AC63" s="43">
        <v>0</v>
      </c>
      <c r="AD63" s="43">
        <v>0</v>
      </c>
      <c r="AE63" s="43">
        <v>0</v>
      </c>
      <c r="AF63" s="43">
        <v>0</v>
      </c>
      <c r="AG63" s="43"/>
      <c r="AH63" s="43">
        <f t="shared" si="1"/>
        <v>0</v>
      </c>
    </row>
    <row r="64" spans="1:66" s="4" customFormat="1" x14ac:dyDescent="0.2">
      <c r="A64" s="4">
        <v>32</v>
      </c>
      <c r="B64" s="4" t="s">
        <v>111</v>
      </c>
      <c r="D64" s="4" t="s">
        <v>112</v>
      </c>
      <c r="F64" s="43">
        <v>2439654</v>
      </c>
      <c r="G64" s="43">
        <v>0</v>
      </c>
      <c r="H64" s="43">
        <v>0</v>
      </c>
      <c r="I64" s="43">
        <v>0</v>
      </c>
      <c r="J64" s="43">
        <v>4061982</v>
      </c>
      <c r="K64" s="43">
        <v>0</v>
      </c>
      <c r="L64" s="43">
        <v>95571</v>
      </c>
      <c r="M64" s="43">
        <v>0</v>
      </c>
      <c r="N64" s="43">
        <v>0</v>
      </c>
      <c r="O64" s="43">
        <v>0</v>
      </c>
      <c r="P64" s="43">
        <v>30</v>
      </c>
      <c r="Q64" s="43">
        <v>0</v>
      </c>
      <c r="R64" s="43">
        <v>37125</v>
      </c>
      <c r="S64" s="43">
        <v>0</v>
      </c>
      <c r="T64" s="43">
        <v>7284</v>
      </c>
      <c r="U64" s="43">
        <v>0</v>
      </c>
      <c r="V64" s="43">
        <v>46899</v>
      </c>
      <c r="W64" s="43">
        <v>0</v>
      </c>
      <c r="X64" s="43">
        <v>0</v>
      </c>
      <c r="Y64" s="43">
        <v>0</v>
      </c>
      <c r="Z64" s="43">
        <v>0</v>
      </c>
      <c r="AA64" s="43">
        <v>0</v>
      </c>
      <c r="AB64" s="43">
        <v>0</v>
      </c>
      <c r="AC64" s="43">
        <v>0</v>
      </c>
      <c r="AD64" s="43">
        <v>21283</v>
      </c>
      <c r="AE64" s="43">
        <v>0</v>
      </c>
      <c r="AF64" s="43">
        <v>0</v>
      </c>
      <c r="AG64" s="43"/>
      <c r="AH64" s="43">
        <f t="shared" si="1"/>
        <v>6709828</v>
      </c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</row>
    <row r="65" spans="1:66" s="4" customFormat="1" hidden="1" x14ac:dyDescent="0.2">
      <c r="A65" s="4">
        <v>231</v>
      </c>
      <c r="B65" s="4" t="s">
        <v>299</v>
      </c>
      <c r="D65" s="4" t="s">
        <v>24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3">
        <v>0</v>
      </c>
      <c r="AC65" s="43">
        <v>0</v>
      </c>
      <c r="AD65" s="43">
        <v>0</v>
      </c>
      <c r="AE65" s="43">
        <v>0</v>
      </c>
      <c r="AF65" s="43">
        <v>0</v>
      </c>
      <c r="AG65" s="43"/>
      <c r="AH65" s="43">
        <f t="shared" si="1"/>
        <v>0</v>
      </c>
    </row>
    <row r="66" spans="1:66" s="4" customFormat="1" x14ac:dyDescent="0.2">
      <c r="A66" s="4">
        <v>34</v>
      </c>
      <c r="B66" s="4" t="s">
        <v>113</v>
      </c>
      <c r="D66" s="4" t="s">
        <v>114</v>
      </c>
      <c r="F66" s="43">
        <v>3279824</v>
      </c>
      <c r="G66" s="43">
        <v>0</v>
      </c>
      <c r="H66" s="43">
        <v>4612663</v>
      </c>
      <c r="I66" s="43">
        <v>0</v>
      </c>
      <c r="J66" s="43">
        <v>423967</v>
      </c>
      <c r="K66" s="43">
        <v>0</v>
      </c>
      <c r="L66" s="43">
        <v>233087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34398</v>
      </c>
      <c r="S66" s="43">
        <v>0</v>
      </c>
      <c r="T66" s="43">
        <v>12190</v>
      </c>
      <c r="U66" s="43">
        <v>0</v>
      </c>
      <c r="V66" s="43">
        <v>32616</v>
      </c>
      <c r="W66" s="43">
        <v>0</v>
      </c>
      <c r="X66" s="43">
        <v>0</v>
      </c>
      <c r="Y66" s="43">
        <v>0</v>
      </c>
      <c r="Z66" s="43">
        <v>1413000</v>
      </c>
      <c r="AA66" s="43">
        <v>0</v>
      </c>
      <c r="AB66" s="43">
        <v>0</v>
      </c>
      <c r="AC66" s="43">
        <v>0</v>
      </c>
      <c r="AD66" s="43">
        <v>0</v>
      </c>
      <c r="AE66" s="43">
        <v>0</v>
      </c>
      <c r="AF66" s="43">
        <v>0</v>
      </c>
      <c r="AG66" s="43"/>
      <c r="AH66" s="43">
        <f t="shared" si="1"/>
        <v>10041745</v>
      </c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</row>
    <row r="67" spans="1:66" s="4" customFormat="1" x14ac:dyDescent="0.2">
      <c r="A67" s="4">
        <v>49</v>
      </c>
      <c r="B67" s="4" t="s">
        <v>419</v>
      </c>
      <c r="D67" s="4" t="s">
        <v>17</v>
      </c>
      <c r="F67" s="43">
        <v>5550237</v>
      </c>
      <c r="G67" s="43">
        <v>0</v>
      </c>
      <c r="H67" s="43">
        <v>0</v>
      </c>
      <c r="I67" s="43">
        <v>0</v>
      </c>
      <c r="J67" s="43">
        <v>3125516</v>
      </c>
      <c r="K67" s="43">
        <v>0</v>
      </c>
      <c r="L67" s="43">
        <v>98859</v>
      </c>
      <c r="M67" s="43">
        <v>0</v>
      </c>
      <c r="N67" s="43">
        <v>37493</v>
      </c>
      <c r="O67" s="43">
        <v>0</v>
      </c>
      <c r="P67" s="43">
        <v>0</v>
      </c>
      <c r="Q67" s="43">
        <v>0</v>
      </c>
      <c r="R67" s="43">
        <v>20293</v>
      </c>
      <c r="S67" s="43">
        <v>0</v>
      </c>
      <c r="T67" s="43">
        <v>24330</v>
      </c>
      <c r="U67" s="43">
        <v>0</v>
      </c>
      <c r="V67" s="43">
        <v>47928</v>
      </c>
      <c r="W67" s="43">
        <v>0</v>
      </c>
      <c r="X67" s="43">
        <v>0</v>
      </c>
      <c r="Y67" s="43">
        <v>0</v>
      </c>
      <c r="Z67" s="43">
        <v>685500</v>
      </c>
      <c r="AA67" s="43">
        <v>0</v>
      </c>
      <c r="AB67" s="43">
        <v>0</v>
      </c>
      <c r="AC67" s="43">
        <v>0</v>
      </c>
      <c r="AD67" s="43">
        <v>0</v>
      </c>
      <c r="AE67" s="43">
        <v>0</v>
      </c>
      <c r="AF67" s="43">
        <v>0</v>
      </c>
      <c r="AG67" s="43"/>
      <c r="AH67" s="43">
        <f t="shared" si="1"/>
        <v>9590156</v>
      </c>
    </row>
    <row r="68" spans="1:66" s="4" customFormat="1" x14ac:dyDescent="0.2">
      <c r="A68" s="4">
        <v>50</v>
      </c>
      <c r="B68" s="4" t="s">
        <v>420</v>
      </c>
      <c r="D68" s="4" t="s">
        <v>17</v>
      </c>
      <c r="F68" s="43">
        <v>27604803</v>
      </c>
      <c r="G68" s="43">
        <v>0</v>
      </c>
      <c r="H68" s="43">
        <v>0</v>
      </c>
      <c r="I68" s="43">
        <v>0</v>
      </c>
      <c r="J68" s="43">
        <v>27876287</v>
      </c>
      <c r="K68" s="43">
        <v>0</v>
      </c>
      <c r="L68" s="43">
        <v>379732</v>
      </c>
      <c r="M68" s="43">
        <v>0</v>
      </c>
      <c r="N68" s="43">
        <v>0</v>
      </c>
      <c r="O68" s="43">
        <v>0</v>
      </c>
      <c r="P68" s="43">
        <v>3021846</v>
      </c>
      <c r="Q68" s="43">
        <v>0</v>
      </c>
      <c r="R68" s="43">
        <v>1354106</v>
      </c>
      <c r="S68" s="43">
        <v>0</v>
      </c>
      <c r="T68" s="43">
        <v>1940004</v>
      </c>
      <c r="U68" s="43">
        <v>0</v>
      </c>
      <c r="V68" s="43">
        <v>811191</v>
      </c>
      <c r="W68" s="43">
        <v>0</v>
      </c>
      <c r="X68" s="43">
        <v>6420</v>
      </c>
      <c r="Y68" s="43">
        <v>0</v>
      </c>
      <c r="Z68" s="43">
        <v>10000000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/>
      <c r="AH68" s="43">
        <f t="shared" si="1"/>
        <v>72994389</v>
      </c>
    </row>
    <row r="69" spans="1:66" s="4" customFormat="1" hidden="1" x14ac:dyDescent="0.2">
      <c r="A69" s="4">
        <v>201</v>
      </c>
      <c r="B69" s="4" t="s">
        <v>115</v>
      </c>
      <c r="D69" s="4" t="s">
        <v>92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3">
        <v>0</v>
      </c>
      <c r="AC69" s="43">
        <v>0</v>
      </c>
      <c r="AD69" s="43">
        <v>0</v>
      </c>
      <c r="AE69" s="43">
        <v>0</v>
      </c>
      <c r="AF69" s="43">
        <v>0</v>
      </c>
      <c r="AG69" s="43"/>
      <c r="AH69" s="43">
        <f t="shared" si="1"/>
        <v>0</v>
      </c>
    </row>
    <row r="70" spans="1:66" s="4" customFormat="1" hidden="1" x14ac:dyDescent="0.2">
      <c r="A70" s="4">
        <v>158</v>
      </c>
      <c r="B70" s="4" t="s">
        <v>483</v>
      </c>
      <c r="D70" s="4" t="s">
        <v>48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3">
        <v>0</v>
      </c>
      <c r="Z70" s="43">
        <v>0</v>
      </c>
      <c r="AA70" s="43">
        <v>0</v>
      </c>
      <c r="AB70" s="43">
        <v>0</v>
      </c>
      <c r="AC70" s="43">
        <v>0</v>
      </c>
      <c r="AD70" s="43">
        <v>0</v>
      </c>
      <c r="AE70" s="43">
        <v>0</v>
      </c>
      <c r="AF70" s="43">
        <v>0</v>
      </c>
      <c r="AG70" s="43"/>
      <c r="AH70" s="43">
        <f t="shared" si="1"/>
        <v>0</v>
      </c>
    </row>
    <row r="71" spans="1:66" s="4" customFormat="1" hidden="1" x14ac:dyDescent="0.2">
      <c r="A71" s="4">
        <v>38</v>
      </c>
      <c r="B71" s="4" t="s">
        <v>445</v>
      </c>
      <c r="D71" s="4" t="s">
        <v>49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0</v>
      </c>
      <c r="Y71" s="43">
        <v>0</v>
      </c>
      <c r="Z71" s="43">
        <v>0</v>
      </c>
      <c r="AA71" s="43">
        <v>0</v>
      </c>
      <c r="AB71" s="43">
        <v>0</v>
      </c>
      <c r="AC71" s="43">
        <v>0</v>
      </c>
      <c r="AD71" s="43">
        <v>0</v>
      </c>
      <c r="AE71" s="43">
        <v>0</v>
      </c>
      <c r="AF71" s="43">
        <v>0</v>
      </c>
      <c r="AG71" s="43"/>
      <c r="AH71" s="43">
        <f t="shared" si="1"/>
        <v>0</v>
      </c>
    </row>
    <row r="72" spans="1:66" s="4" customFormat="1" x14ac:dyDescent="0.2">
      <c r="A72" s="4">
        <v>76</v>
      </c>
      <c r="B72" s="4" t="s">
        <v>116</v>
      </c>
      <c r="D72" s="4" t="s">
        <v>90</v>
      </c>
      <c r="F72" s="43">
        <v>52129754</v>
      </c>
      <c r="G72" s="43">
        <v>0</v>
      </c>
      <c r="H72" s="43">
        <v>18823978</v>
      </c>
      <c r="I72" s="43">
        <v>0</v>
      </c>
      <c r="J72" s="43">
        <v>95828</v>
      </c>
      <c r="K72" s="43">
        <v>0</v>
      </c>
      <c r="L72" s="43">
        <v>1432550</v>
      </c>
      <c r="M72" s="43">
        <v>0</v>
      </c>
      <c r="N72" s="43">
        <v>0</v>
      </c>
      <c r="O72" s="43">
        <v>0</v>
      </c>
      <c r="P72" s="43">
        <v>729855</v>
      </c>
      <c r="Q72" s="43">
        <v>0</v>
      </c>
      <c r="R72" s="43">
        <v>315078</v>
      </c>
      <c r="S72" s="43">
        <v>0</v>
      </c>
      <c r="T72" s="43">
        <v>213963</v>
      </c>
      <c r="U72" s="43">
        <v>0</v>
      </c>
      <c r="V72" s="43">
        <v>1458851</v>
      </c>
      <c r="W72" s="43">
        <v>0</v>
      </c>
      <c r="X72" s="43">
        <v>0</v>
      </c>
      <c r="Y72" s="43">
        <v>0</v>
      </c>
      <c r="Z72" s="43">
        <v>101717628</v>
      </c>
      <c r="AA72" s="43">
        <v>0</v>
      </c>
      <c r="AB72" s="43">
        <v>0</v>
      </c>
      <c r="AC72" s="43">
        <v>0</v>
      </c>
      <c r="AD72" s="43">
        <v>99435518</v>
      </c>
      <c r="AE72" s="43">
        <v>0</v>
      </c>
      <c r="AF72" s="43">
        <v>0</v>
      </c>
      <c r="AG72" s="43"/>
      <c r="AH72" s="43">
        <f t="shared" si="1"/>
        <v>276353003</v>
      </c>
    </row>
    <row r="73" spans="1:66" s="4" customFormat="1" hidden="1" x14ac:dyDescent="0.2">
      <c r="A73" s="4">
        <v>63</v>
      </c>
      <c r="B73" s="4" t="s">
        <v>358</v>
      </c>
      <c r="D73" s="4" t="s">
        <v>68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0</v>
      </c>
      <c r="Y73" s="43">
        <v>0</v>
      </c>
      <c r="Z73" s="43">
        <v>0</v>
      </c>
      <c r="AA73" s="43">
        <v>0</v>
      </c>
      <c r="AB73" s="43">
        <v>0</v>
      </c>
      <c r="AC73" s="43">
        <v>0</v>
      </c>
      <c r="AD73" s="43">
        <v>0</v>
      </c>
      <c r="AE73" s="43">
        <v>0</v>
      </c>
      <c r="AF73" s="43">
        <v>0</v>
      </c>
      <c r="AG73" s="43"/>
      <c r="AH73" s="43">
        <f t="shared" si="1"/>
        <v>0</v>
      </c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</row>
    <row r="74" spans="1:66" s="4" customFormat="1" x14ac:dyDescent="0.2">
      <c r="A74" s="4">
        <v>10</v>
      </c>
      <c r="B74" s="4" t="s">
        <v>117</v>
      </c>
      <c r="D74" s="4" t="s">
        <v>41</v>
      </c>
      <c r="F74" s="43">
        <v>416275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4860</v>
      </c>
      <c r="M74" s="43">
        <v>0</v>
      </c>
      <c r="N74" s="43">
        <v>0</v>
      </c>
      <c r="O74" s="43">
        <v>0</v>
      </c>
      <c r="P74" s="43">
        <v>130</v>
      </c>
      <c r="Q74" s="43">
        <v>0</v>
      </c>
      <c r="R74" s="43">
        <v>2950</v>
      </c>
      <c r="S74" s="43">
        <v>0</v>
      </c>
      <c r="T74" s="43">
        <v>811</v>
      </c>
      <c r="U74" s="43">
        <v>0</v>
      </c>
      <c r="V74" s="43">
        <v>17761</v>
      </c>
      <c r="W74" s="43">
        <v>0</v>
      </c>
      <c r="X74" s="43">
        <v>0</v>
      </c>
      <c r="Y74" s="43">
        <v>0</v>
      </c>
      <c r="Z74" s="43">
        <v>0</v>
      </c>
      <c r="AA74" s="43">
        <v>0</v>
      </c>
      <c r="AB74" s="43">
        <v>0</v>
      </c>
      <c r="AC74" s="43">
        <v>0</v>
      </c>
      <c r="AD74" s="43">
        <v>0</v>
      </c>
      <c r="AE74" s="43">
        <v>0</v>
      </c>
      <c r="AF74" s="43">
        <v>0</v>
      </c>
      <c r="AG74" s="43"/>
      <c r="AH74" s="43">
        <f t="shared" si="1"/>
        <v>442787</v>
      </c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</row>
    <row r="75" spans="1:66" s="4" customFormat="1" x14ac:dyDescent="0.2">
      <c r="A75" s="4">
        <v>45</v>
      </c>
      <c r="B75" s="4" t="s">
        <v>118</v>
      </c>
      <c r="D75" s="4" t="s">
        <v>119</v>
      </c>
      <c r="F75" s="43">
        <v>0</v>
      </c>
      <c r="G75" s="43">
        <v>0</v>
      </c>
      <c r="H75" s="43">
        <v>1038942</v>
      </c>
      <c r="I75" s="43">
        <v>0</v>
      </c>
      <c r="J75" s="43">
        <v>5084</v>
      </c>
      <c r="K75" s="43">
        <v>0</v>
      </c>
      <c r="L75" s="43">
        <v>38042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130230</v>
      </c>
      <c r="S75" s="43">
        <v>0</v>
      </c>
      <c r="T75" s="43">
        <v>9468</v>
      </c>
      <c r="U75" s="43">
        <v>0</v>
      </c>
      <c r="V75" s="43">
        <v>6073</v>
      </c>
      <c r="W75" s="43">
        <v>0</v>
      </c>
      <c r="X75" s="43">
        <v>1481</v>
      </c>
      <c r="Y75" s="43">
        <v>0</v>
      </c>
      <c r="Z75" s="43">
        <v>49330</v>
      </c>
      <c r="AA75" s="43">
        <v>0</v>
      </c>
      <c r="AB75" s="43">
        <v>18006</v>
      </c>
      <c r="AC75" s="43">
        <v>0</v>
      </c>
      <c r="AD75" s="43">
        <v>0</v>
      </c>
      <c r="AE75" s="43">
        <v>0</v>
      </c>
      <c r="AF75" s="43">
        <v>0</v>
      </c>
      <c r="AG75" s="43"/>
      <c r="AH75" s="43">
        <f t="shared" si="1"/>
        <v>1296656</v>
      </c>
    </row>
    <row r="76" spans="1:66" s="4" customFormat="1" hidden="1" x14ac:dyDescent="0.2">
      <c r="A76" s="4">
        <v>47</v>
      </c>
      <c r="B76" s="4" t="s">
        <v>120</v>
      </c>
      <c r="D76" s="4" t="s">
        <v>50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0</v>
      </c>
      <c r="Y76" s="43">
        <v>0</v>
      </c>
      <c r="Z76" s="43">
        <v>0</v>
      </c>
      <c r="AA76" s="43">
        <v>0</v>
      </c>
      <c r="AB76" s="43">
        <v>0</v>
      </c>
      <c r="AC76" s="43">
        <v>0</v>
      </c>
      <c r="AD76" s="43">
        <v>0</v>
      </c>
      <c r="AE76" s="43">
        <v>0</v>
      </c>
      <c r="AF76" s="43">
        <v>0</v>
      </c>
      <c r="AG76" s="43"/>
      <c r="AH76" s="43">
        <f t="shared" si="1"/>
        <v>0</v>
      </c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</row>
    <row r="77" spans="1:66" s="4" customFormat="1" x14ac:dyDescent="0.2">
      <c r="A77" s="4">
        <v>51</v>
      </c>
      <c r="B77" s="4" t="s">
        <v>581</v>
      </c>
      <c r="D77" s="4" t="s">
        <v>17</v>
      </c>
      <c r="F77" s="43">
        <v>38862567</v>
      </c>
      <c r="G77" s="43">
        <v>0</v>
      </c>
      <c r="H77" s="43">
        <v>0</v>
      </c>
      <c r="I77" s="43">
        <v>0</v>
      </c>
      <c r="J77" s="43">
        <v>25661599</v>
      </c>
      <c r="K77" s="43">
        <v>0</v>
      </c>
      <c r="L77" s="43">
        <v>1302806</v>
      </c>
      <c r="M77" s="43">
        <v>0</v>
      </c>
      <c r="N77" s="43">
        <v>8503</v>
      </c>
      <c r="O77" s="43">
        <v>0</v>
      </c>
      <c r="P77" s="43">
        <v>0</v>
      </c>
      <c r="Q77" s="43">
        <v>0</v>
      </c>
      <c r="R77" s="43">
        <v>3509015</v>
      </c>
      <c r="S77" s="43">
        <v>0</v>
      </c>
      <c r="T77" s="43">
        <v>310765</v>
      </c>
      <c r="U77" s="43">
        <v>0</v>
      </c>
      <c r="V77" s="43">
        <f>48874+121448</f>
        <v>170322</v>
      </c>
      <c r="W77" s="43">
        <v>0</v>
      </c>
      <c r="X77" s="43">
        <v>2784</v>
      </c>
      <c r="Y77" s="43">
        <v>0</v>
      </c>
      <c r="Z77" s="43">
        <v>5841296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3">
        <v>0</v>
      </c>
      <c r="AG77" s="43"/>
      <c r="AH77" s="43">
        <f t="shared" si="1"/>
        <v>75669657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</row>
    <row r="78" spans="1:66" s="4" customFormat="1" x14ac:dyDescent="0.2">
      <c r="B78" s="4" t="s">
        <v>602</v>
      </c>
      <c r="D78" s="4" t="s">
        <v>20</v>
      </c>
      <c r="F78" s="43">
        <v>1383112</v>
      </c>
      <c r="G78" s="43">
        <v>0</v>
      </c>
      <c r="H78" s="43">
        <v>1260949</v>
      </c>
      <c r="I78" s="43">
        <v>0</v>
      </c>
      <c r="J78" s="43">
        <v>0</v>
      </c>
      <c r="K78" s="43">
        <v>0</v>
      </c>
      <c r="L78" s="43">
        <v>17719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4204</v>
      </c>
      <c r="S78" s="43">
        <v>0</v>
      </c>
      <c r="T78" s="43">
        <v>1282</v>
      </c>
      <c r="U78" s="43">
        <v>0</v>
      </c>
      <c r="V78" s="43">
        <v>6263</v>
      </c>
      <c r="W78" s="43">
        <v>0</v>
      </c>
      <c r="X78" s="43">
        <v>0</v>
      </c>
      <c r="Y78" s="43">
        <v>0</v>
      </c>
      <c r="Z78" s="43">
        <v>0</v>
      </c>
      <c r="AA78" s="43">
        <v>0</v>
      </c>
      <c r="AB78" s="43">
        <v>0</v>
      </c>
      <c r="AC78" s="43">
        <v>0</v>
      </c>
      <c r="AD78" s="43">
        <v>0</v>
      </c>
      <c r="AE78" s="43">
        <v>0</v>
      </c>
      <c r="AF78" s="43">
        <v>0</v>
      </c>
      <c r="AG78" s="43"/>
      <c r="AH78" s="43">
        <f t="shared" si="1"/>
        <v>2673529</v>
      </c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</row>
    <row r="79" spans="1:66" s="4" customFormat="1" x14ac:dyDescent="0.2">
      <c r="A79" s="4">
        <v>169</v>
      </c>
      <c r="B79" s="4" t="s">
        <v>122</v>
      </c>
      <c r="D79" s="4" t="s">
        <v>53</v>
      </c>
      <c r="F79" s="43">
        <v>10739697</v>
      </c>
      <c r="G79" s="43">
        <v>0</v>
      </c>
      <c r="H79" s="43">
        <v>0</v>
      </c>
      <c r="I79" s="43">
        <v>0</v>
      </c>
      <c r="J79" s="43">
        <v>16368092</v>
      </c>
      <c r="K79" s="43">
        <v>0</v>
      </c>
      <c r="L79" s="43">
        <v>588651</v>
      </c>
      <c r="M79" s="43">
        <v>0</v>
      </c>
      <c r="N79" s="43">
        <v>0</v>
      </c>
      <c r="O79" s="43">
        <v>0</v>
      </c>
      <c r="P79" s="43">
        <v>80350</v>
      </c>
      <c r="Q79" s="43">
        <v>0</v>
      </c>
      <c r="R79" s="43">
        <v>122000</v>
      </c>
      <c r="S79" s="43">
        <v>0</v>
      </c>
      <c r="T79" s="43">
        <v>207102</v>
      </c>
      <c r="U79" s="43">
        <v>0</v>
      </c>
      <c r="V79" s="43">
        <v>44044</v>
      </c>
      <c r="W79" s="43">
        <v>0</v>
      </c>
      <c r="X79" s="43">
        <v>27872</v>
      </c>
      <c r="Y79" s="43">
        <v>0</v>
      </c>
      <c r="Z79" s="43">
        <v>57366</v>
      </c>
      <c r="AA79" s="43">
        <v>0</v>
      </c>
      <c r="AB79" s="43">
        <v>0</v>
      </c>
      <c r="AC79" s="43">
        <v>0</v>
      </c>
      <c r="AD79" s="43">
        <v>0</v>
      </c>
      <c r="AE79" s="43">
        <v>0</v>
      </c>
      <c r="AF79" s="43">
        <v>0</v>
      </c>
      <c r="AG79" s="43"/>
      <c r="AH79" s="43">
        <f t="shared" si="1"/>
        <v>28235174</v>
      </c>
    </row>
    <row r="80" spans="1:66" s="4" customFormat="1" hidden="1" x14ac:dyDescent="0.2">
      <c r="A80" s="4">
        <v>62</v>
      </c>
      <c r="B80" s="4" t="s">
        <v>123</v>
      </c>
      <c r="D80" s="4" t="s">
        <v>124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0</v>
      </c>
      <c r="W80" s="43">
        <v>0</v>
      </c>
      <c r="X80" s="43">
        <v>0</v>
      </c>
      <c r="Y80" s="43">
        <v>0</v>
      </c>
      <c r="Z80" s="43">
        <v>0</v>
      </c>
      <c r="AA80" s="43">
        <v>0</v>
      </c>
      <c r="AB80" s="43">
        <v>0</v>
      </c>
      <c r="AC80" s="43">
        <v>0</v>
      </c>
      <c r="AD80" s="43">
        <v>0</v>
      </c>
      <c r="AE80" s="43">
        <v>0</v>
      </c>
      <c r="AF80" s="43">
        <v>0</v>
      </c>
      <c r="AG80" s="43"/>
      <c r="AH80" s="43">
        <f t="shared" si="1"/>
        <v>0</v>
      </c>
    </row>
    <row r="81" spans="1:66" s="4" customFormat="1" x14ac:dyDescent="0.2">
      <c r="A81" s="4">
        <v>64</v>
      </c>
      <c r="B81" s="4" t="s">
        <v>125</v>
      </c>
      <c r="D81" s="4" t="s">
        <v>68</v>
      </c>
      <c r="F81" s="43">
        <v>4057549</v>
      </c>
      <c r="G81" s="43">
        <v>0</v>
      </c>
      <c r="H81" s="43">
        <v>1801577</v>
      </c>
      <c r="I81" s="43">
        <v>0</v>
      </c>
      <c r="J81" s="43">
        <v>534684</v>
      </c>
      <c r="K81" s="43">
        <v>0</v>
      </c>
      <c r="L81" s="43">
        <v>79353</v>
      </c>
      <c r="M81" s="43">
        <v>0</v>
      </c>
      <c r="N81" s="43">
        <v>0</v>
      </c>
      <c r="O81" s="43">
        <v>0</v>
      </c>
      <c r="P81" s="43">
        <v>825</v>
      </c>
      <c r="Q81" s="43">
        <v>0</v>
      </c>
      <c r="R81" s="43">
        <v>30552</v>
      </c>
      <c r="S81" s="43">
        <v>0</v>
      </c>
      <c r="T81" s="43">
        <v>46118</v>
      </c>
      <c r="U81" s="43">
        <v>0</v>
      </c>
      <c r="V81" s="43">
        <v>50834</v>
      </c>
      <c r="W81" s="43">
        <v>0</v>
      </c>
      <c r="X81" s="43">
        <v>0</v>
      </c>
      <c r="Y81" s="43">
        <v>0</v>
      </c>
      <c r="Z81" s="43">
        <v>0</v>
      </c>
      <c r="AA81" s="43">
        <v>0</v>
      </c>
      <c r="AB81" s="43">
        <v>0</v>
      </c>
      <c r="AC81" s="43">
        <v>0</v>
      </c>
      <c r="AD81" s="43">
        <v>0</v>
      </c>
      <c r="AE81" s="43">
        <v>0</v>
      </c>
      <c r="AF81" s="43">
        <v>0</v>
      </c>
      <c r="AG81" s="43"/>
      <c r="AH81" s="43">
        <f t="shared" si="1"/>
        <v>6601492</v>
      </c>
    </row>
    <row r="82" spans="1:66" s="4" customFormat="1" hidden="1" x14ac:dyDescent="0.2">
      <c r="A82" s="4">
        <v>4</v>
      </c>
      <c r="B82" s="4" t="s">
        <v>126</v>
      </c>
      <c r="D82" s="4" t="s">
        <v>95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3">
        <v>0</v>
      </c>
      <c r="Z82" s="43">
        <v>0</v>
      </c>
      <c r="AA82" s="43">
        <v>0</v>
      </c>
      <c r="AB82" s="43">
        <v>0</v>
      </c>
      <c r="AC82" s="43">
        <v>0</v>
      </c>
      <c r="AD82" s="43">
        <v>0</v>
      </c>
      <c r="AE82" s="43">
        <v>0</v>
      </c>
      <c r="AF82" s="43">
        <v>0</v>
      </c>
      <c r="AG82" s="43"/>
      <c r="AH82" s="43">
        <f t="shared" si="1"/>
        <v>0</v>
      </c>
    </row>
    <row r="83" spans="1:66" s="4" customFormat="1" hidden="1" x14ac:dyDescent="0.2">
      <c r="A83" s="4">
        <v>83</v>
      </c>
      <c r="B83" s="4" t="s">
        <v>127</v>
      </c>
      <c r="D83" s="4" t="s">
        <v>40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0</v>
      </c>
      <c r="X83" s="43">
        <v>0</v>
      </c>
      <c r="Y83" s="43">
        <v>0</v>
      </c>
      <c r="Z83" s="43">
        <v>0</v>
      </c>
      <c r="AA83" s="43">
        <v>0</v>
      </c>
      <c r="AB83" s="43">
        <v>0</v>
      </c>
      <c r="AC83" s="43">
        <v>0</v>
      </c>
      <c r="AD83" s="43">
        <v>0</v>
      </c>
      <c r="AE83" s="43">
        <v>0</v>
      </c>
      <c r="AF83" s="43">
        <v>0</v>
      </c>
      <c r="AG83" s="43"/>
      <c r="AH83" s="43">
        <f t="shared" si="1"/>
        <v>0</v>
      </c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</row>
    <row r="84" spans="1:66" s="4" customFormat="1" x14ac:dyDescent="0.2">
      <c r="A84" s="4">
        <v>258</v>
      </c>
      <c r="B84" s="4" t="s">
        <v>128</v>
      </c>
      <c r="D84" s="4" t="s">
        <v>61</v>
      </c>
      <c r="F84" s="43">
        <v>146807</v>
      </c>
      <c r="G84" s="43">
        <v>0</v>
      </c>
      <c r="H84" s="43">
        <v>238029</v>
      </c>
      <c r="I84" s="43">
        <v>0</v>
      </c>
      <c r="J84" s="43">
        <v>0</v>
      </c>
      <c r="K84" s="43">
        <v>0</v>
      </c>
      <c r="L84" s="43">
        <v>7789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43">
        <v>20248</v>
      </c>
      <c r="S84" s="43">
        <v>0</v>
      </c>
      <c r="T84" s="43">
        <v>1726</v>
      </c>
      <c r="U84" s="43">
        <v>0</v>
      </c>
      <c r="V84" s="43">
        <v>0</v>
      </c>
      <c r="W84" s="43">
        <v>0</v>
      </c>
      <c r="X84" s="43">
        <v>0</v>
      </c>
      <c r="Y84" s="43">
        <v>0</v>
      </c>
      <c r="Z84" s="43">
        <v>50000</v>
      </c>
      <c r="AA84" s="43">
        <v>0</v>
      </c>
      <c r="AB84" s="43">
        <v>0</v>
      </c>
      <c r="AC84" s="43">
        <v>0</v>
      </c>
      <c r="AD84" s="43">
        <v>0</v>
      </c>
      <c r="AE84" s="43">
        <v>0</v>
      </c>
      <c r="AF84" s="43">
        <v>0</v>
      </c>
      <c r="AG84" s="43"/>
      <c r="AH84" s="43">
        <f t="shared" si="1"/>
        <v>464599</v>
      </c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</row>
    <row r="85" spans="1:66" s="4" customFormat="1" x14ac:dyDescent="0.2">
      <c r="A85" s="4">
        <v>232</v>
      </c>
      <c r="B85" s="4" t="s">
        <v>129</v>
      </c>
      <c r="D85" s="4" t="s">
        <v>24</v>
      </c>
      <c r="F85" s="43">
        <v>215653</v>
      </c>
      <c r="G85" s="43">
        <v>0</v>
      </c>
      <c r="H85" s="43">
        <v>566222</v>
      </c>
      <c r="I85" s="43">
        <v>0</v>
      </c>
      <c r="J85" s="43">
        <v>0</v>
      </c>
      <c r="K85" s="43">
        <v>0</v>
      </c>
      <c r="L85" s="43">
        <v>28704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6966</v>
      </c>
      <c r="S85" s="43">
        <v>0</v>
      </c>
      <c r="T85" s="43">
        <v>530</v>
      </c>
      <c r="U85" s="43">
        <v>0</v>
      </c>
      <c r="V85" s="43">
        <v>4581</v>
      </c>
      <c r="W85" s="43">
        <v>0</v>
      </c>
      <c r="X85" s="43">
        <v>0</v>
      </c>
      <c r="Y85" s="43">
        <v>0</v>
      </c>
      <c r="Z85" s="43">
        <v>0</v>
      </c>
      <c r="AA85" s="43">
        <v>0</v>
      </c>
      <c r="AB85" s="43">
        <v>0</v>
      </c>
      <c r="AC85" s="43">
        <v>0</v>
      </c>
      <c r="AD85" s="43">
        <v>0</v>
      </c>
      <c r="AE85" s="43">
        <v>0</v>
      </c>
      <c r="AF85" s="43">
        <v>0</v>
      </c>
      <c r="AG85" s="43"/>
      <c r="AH85" s="43">
        <f t="shared" si="1"/>
        <v>822656</v>
      </c>
    </row>
    <row r="86" spans="1:66" s="4" customFormat="1" hidden="1" x14ac:dyDescent="0.2">
      <c r="A86" s="4">
        <v>88</v>
      </c>
      <c r="B86" s="4" t="s">
        <v>332</v>
      </c>
      <c r="D86" s="4" t="s">
        <v>130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3">
        <v>0</v>
      </c>
      <c r="X86" s="43">
        <v>0</v>
      </c>
      <c r="Y86" s="43">
        <v>0</v>
      </c>
      <c r="Z86" s="43">
        <v>0</v>
      </c>
      <c r="AA86" s="43">
        <v>0</v>
      </c>
      <c r="AB86" s="43">
        <v>0</v>
      </c>
      <c r="AC86" s="43">
        <v>0</v>
      </c>
      <c r="AD86" s="43">
        <v>0</v>
      </c>
      <c r="AE86" s="43">
        <v>0</v>
      </c>
      <c r="AF86" s="43">
        <v>0</v>
      </c>
      <c r="AG86" s="43"/>
      <c r="AH86" s="43">
        <f t="shared" ref="AH86:AH139" si="2">SUM(F86:AF86)</f>
        <v>0</v>
      </c>
    </row>
    <row r="87" spans="1:66" s="4" customFormat="1" x14ac:dyDescent="0.2">
      <c r="A87" s="4">
        <v>138</v>
      </c>
      <c r="B87" s="4" t="s">
        <v>131</v>
      </c>
      <c r="D87" s="4" t="s">
        <v>85</v>
      </c>
      <c r="F87" s="43">
        <v>21839</v>
      </c>
      <c r="G87" s="43">
        <v>0</v>
      </c>
      <c r="H87" s="43">
        <v>48336</v>
      </c>
      <c r="I87" s="43">
        <v>0</v>
      </c>
      <c r="J87" s="43">
        <v>0</v>
      </c>
      <c r="K87" s="43">
        <v>0</v>
      </c>
      <c r="L87" s="43">
        <v>41</v>
      </c>
      <c r="M87" s="4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54</v>
      </c>
      <c r="S87" s="43">
        <v>0</v>
      </c>
      <c r="T87" s="43">
        <v>546</v>
      </c>
      <c r="U87" s="43">
        <v>0</v>
      </c>
      <c r="V87" s="43">
        <v>3448</v>
      </c>
      <c r="W87" s="43">
        <v>0</v>
      </c>
      <c r="X87" s="43">
        <v>0</v>
      </c>
      <c r="Y87" s="43">
        <v>0</v>
      </c>
      <c r="Z87" s="43">
        <v>0</v>
      </c>
      <c r="AA87" s="43">
        <v>0</v>
      </c>
      <c r="AB87" s="43">
        <v>0</v>
      </c>
      <c r="AC87" s="43">
        <v>0</v>
      </c>
      <c r="AD87" s="43">
        <v>0</v>
      </c>
      <c r="AE87" s="43">
        <v>0</v>
      </c>
      <c r="AF87" s="43">
        <v>0</v>
      </c>
      <c r="AG87" s="43"/>
      <c r="AH87" s="43">
        <f t="shared" si="2"/>
        <v>74264</v>
      </c>
    </row>
    <row r="88" spans="1:66" s="4" customFormat="1" hidden="1" x14ac:dyDescent="0.2">
      <c r="A88" s="4">
        <v>52</v>
      </c>
      <c r="B88" s="4" t="s">
        <v>447</v>
      </c>
      <c r="D88" s="4" t="s">
        <v>17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3">
        <v>0</v>
      </c>
      <c r="Z88" s="43">
        <v>0</v>
      </c>
      <c r="AA88" s="43">
        <v>0</v>
      </c>
      <c r="AB88" s="43">
        <v>0</v>
      </c>
      <c r="AC88" s="43">
        <v>0</v>
      </c>
      <c r="AD88" s="43">
        <v>0</v>
      </c>
      <c r="AE88" s="43">
        <v>0</v>
      </c>
      <c r="AF88" s="43">
        <v>0</v>
      </c>
      <c r="AG88" s="43"/>
      <c r="AH88" s="43">
        <f t="shared" si="2"/>
        <v>0</v>
      </c>
    </row>
    <row r="89" spans="1:66" s="7" customFormat="1" hidden="1" x14ac:dyDescent="0.2">
      <c r="A89" s="7">
        <v>39</v>
      </c>
      <c r="B89" s="7" t="s">
        <v>553</v>
      </c>
      <c r="D89" s="7" t="s">
        <v>49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43">
        <v>0</v>
      </c>
      <c r="Y89" s="43">
        <v>0</v>
      </c>
      <c r="Z89" s="43">
        <v>0</v>
      </c>
      <c r="AA89" s="43">
        <v>0</v>
      </c>
      <c r="AB89" s="43">
        <v>0</v>
      </c>
      <c r="AC89" s="43">
        <v>0</v>
      </c>
      <c r="AD89" s="43">
        <v>0</v>
      </c>
      <c r="AE89" s="43">
        <v>0</v>
      </c>
      <c r="AF89" s="43">
        <v>0</v>
      </c>
      <c r="AG89" s="43"/>
      <c r="AH89" s="43">
        <f t="shared" si="2"/>
        <v>0</v>
      </c>
    </row>
    <row r="90" spans="1:66" s="4" customFormat="1" hidden="1" x14ac:dyDescent="0.2">
      <c r="A90" s="4">
        <v>40</v>
      </c>
      <c r="B90" s="4" t="s">
        <v>132</v>
      </c>
      <c r="D90" s="4" t="s">
        <v>49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3">
        <v>0</v>
      </c>
      <c r="S90" s="43">
        <v>0</v>
      </c>
      <c r="T90" s="43">
        <v>0</v>
      </c>
      <c r="U90" s="43">
        <v>0</v>
      </c>
      <c r="V90" s="43">
        <v>0</v>
      </c>
      <c r="W90" s="43">
        <v>0</v>
      </c>
      <c r="X90" s="43">
        <v>0</v>
      </c>
      <c r="Y90" s="43">
        <v>0</v>
      </c>
      <c r="Z90" s="43">
        <v>0</v>
      </c>
      <c r="AA90" s="43">
        <v>0</v>
      </c>
      <c r="AB90" s="43">
        <v>0</v>
      </c>
      <c r="AC90" s="43">
        <v>0</v>
      </c>
      <c r="AD90" s="43">
        <v>0</v>
      </c>
      <c r="AE90" s="43">
        <v>0</v>
      </c>
      <c r="AF90" s="43">
        <v>0</v>
      </c>
      <c r="AG90" s="43"/>
      <c r="AH90" s="43">
        <f t="shared" si="2"/>
        <v>0</v>
      </c>
    </row>
    <row r="91" spans="1:66" s="4" customFormat="1" x14ac:dyDescent="0.2">
      <c r="A91" s="4">
        <v>155</v>
      </c>
      <c r="B91" s="4" t="s">
        <v>421</v>
      </c>
      <c r="D91" s="4" t="s">
        <v>18</v>
      </c>
      <c r="F91" s="43">
        <v>900795</v>
      </c>
      <c r="G91" s="43">
        <v>0</v>
      </c>
      <c r="H91" s="43">
        <v>824156</v>
      </c>
      <c r="I91" s="43">
        <v>0</v>
      </c>
      <c r="J91" s="43">
        <v>125841</v>
      </c>
      <c r="K91" s="43">
        <v>0</v>
      </c>
      <c r="L91" s="43">
        <v>56474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12501</v>
      </c>
      <c r="S91" s="43">
        <v>0</v>
      </c>
      <c r="T91" s="43">
        <v>4893</v>
      </c>
      <c r="U91" s="43">
        <v>0</v>
      </c>
      <c r="V91" s="43">
        <v>3737</v>
      </c>
      <c r="W91" s="43">
        <v>0</v>
      </c>
      <c r="X91" s="43">
        <v>15003</v>
      </c>
      <c r="Y91" s="43">
        <v>0</v>
      </c>
      <c r="Z91" s="43">
        <v>230</v>
      </c>
      <c r="AA91" s="43">
        <v>0</v>
      </c>
      <c r="AB91" s="43">
        <v>0</v>
      </c>
      <c r="AC91" s="43">
        <v>0</v>
      </c>
      <c r="AD91" s="43">
        <v>0</v>
      </c>
      <c r="AE91" s="43">
        <v>0</v>
      </c>
      <c r="AF91" s="43">
        <v>0</v>
      </c>
      <c r="AG91" s="43"/>
      <c r="AH91" s="43">
        <f t="shared" si="2"/>
        <v>1943630</v>
      </c>
    </row>
    <row r="92" spans="1:66" s="4" customFormat="1" hidden="1" x14ac:dyDescent="0.2">
      <c r="A92" s="4">
        <v>142</v>
      </c>
      <c r="B92" s="4" t="s">
        <v>133</v>
      </c>
      <c r="D92" s="4" t="s">
        <v>55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3">
        <v>0</v>
      </c>
      <c r="T92" s="43">
        <v>0</v>
      </c>
      <c r="U92" s="43">
        <v>0</v>
      </c>
      <c r="V92" s="43">
        <v>0</v>
      </c>
      <c r="W92" s="43">
        <v>0</v>
      </c>
      <c r="X92" s="43">
        <v>0</v>
      </c>
      <c r="Y92" s="43">
        <v>0</v>
      </c>
      <c r="Z92" s="43">
        <v>0</v>
      </c>
      <c r="AA92" s="43">
        <v>0</v>
      </c>
      <c r="AB92" s="43">
        <v>0</v>
      </c>
      <c r="AC92" s="43">
        <v>0</v>
      </c>
      <c r="AD92" s="43">
        <v>0</v>
      </c>
      <c r="AE92" s="43">
        <v>0</v>
      </c>
      <c r="AF92" s="43">
        <v>0</v>
      </c>
      <c r="AG92" s="43"/>
      <c r="AH92" s="43">
        <f t="shared" si="2"/>
        <v>0</v>
      </c>
    </row>
    <row r="93" spans="1:66" s="4" customFormat="1" x14ac:dyDescent="0.2">
      <c r="A93" s="4">
        <v>53</v>
      </c>
      <c r="B93" s="4" t="s">
        <v>16</v>
      </c>
      <c r="D93" s="4" t="s">
        <v>17</v>
      </c>
      <c r="F93" s="43">
        <v>2598921</v>
      </c>
      <c r="G93" s="43">
        <v>0</v>
      </c>
      <c r="H93" s="43">
        <v>0</v>
      </c>
      <c r="I93" s="43">
        <v>0</v>
      </c>
      <c r="J93" s="43">
        <v>1981049</v>
      </c>
      <c r="K93" s="43">
        <v>0</v>
      </c>
      <c r="L93" s="43">
        <v>118864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50507</v>
      </c>
      <c r="S93" s="43">
        <v>0</v>
      </c>
      <c r="T93" s="43">
        <v>12792</v>
      </c>
      <c r="U93" s="43">
        <v>0</v>
      </c>
      <c r="V93" s="43">
        <v>19055</v>
      </c>
      <c r="W93" s="43">
        <v>0</v>
      </c>
      <c r="X93" s="43">
        <v>0</v>
      </c>
      <c r="Y93" s="43">
        <v>0</v>
      </c>
      <c r="Z93" s="43">
        <v>0</v>
      </c>
      <c r="AA93" s="43">
        <v>0</v>
      </c>
      <c r="AB93" s="43">
        <v>0</v>
      </c>
      <c r="AC93" s="43">
        <v>0</v>
      </c>
      <c r="AD93" s="43">
        <v>0</v>
      </c>
      <c r="AE93" s="43">
        <v>0</v>
      </c>
      <c r="AF93" s="43">
        <v>0</v>
      </c>
      <c r="AG93" s="43"/>
      <c r="AH93" s="43">
        <f t="shared" si="2"/>
        <v>4781188</v>
      </c>
    </row>
    <row r="94" spans="1:66" s="4" customFormat="1" hidden="1" x14ac:dyDescent="0.2">
      <c r="A94" s="4">
        <v>84</v>
      </c>
      <c r="B94" s="4" t="s">
        <v>134</v>
      </c>
      <c r="D94" s="4" t="s">
        <v>40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43">
        <v>0</v>
      </c>
      <c r="S94" s="43">
        <v>0</v>
      </c>
      <c r="T94" s="43">
        <v>0</v>
      </c>
      <c r="U94" s="43">
        <v>0</v>
      </c>
      <c r="V94" s="43">
        <v>0</v>
      </c>
      <c r="W94" s="43">
        <v>0</v>
      </c>
      <c r="X94" s="43">
        <v>0</v>
      </c>
      <c r="Y94" s="43">
        <v>0</v>
      </c>
      <c r="Z94" s="43">
        <v>0</v>
      </c>
      <c r="AA94" s="43">
        <v>0</v>
      </c>
      <c r="AB94" s="43">
        <v>0</v>
      </c>
      <c r="AC94" s="43">
        <v>0</v>
      </c>
      <c r="AD94" s="43">
        <v>0</v>
      </c>
      <c r="AE94" s="43">
        <v>0</v>
      </c>
      <c r="AF94" s="43">
        <v>0</v>
      </c>
      <c r="AG94" s="43"/>
      <c r="AH94" s="43">
        <f t="shared" si="2"/>
        <v>0</v>
      </c>
    </row>
    <row r="95" spans="1:66" s="4" customFormat="1" x14ac:dyDescent="0.2">
      <c r="B95" s="4" t="s">
        <v>619</v>
      </c>
      <c r="D95" s="4" t="s">
        <v>87</v>
      </c>
      <c r="F95" s="43">
        <v>403006</v>
      </c>
      <c r="G95" s="43">
        <v>0</v>
      </c>
      <c r="H95" s="43">
        <v>595554</v>
      </c>
      <c r="I95" s="43">
        <v>0</v>
      </c>
      <c r="J95" s="43">
        <v>0</v>
      </c>
      <c r="K95" s="43">
        <v>0</v>
      </c>
      <c r="L95" s="43">
        <v>24229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6812</v>
      </c>
      <c r="S95" s="43">
        <v>0</v>
      </c>
      <c r="T95" s="43">
        <v>1463</v>
      </c>
      <c r="U95" s="43">
        <v>0</v>
      </c>
      <c r="V95" s="43">
        <v>11193</v>
      </c>
      <c r="W95" s="43">
        <v>0</v>
      </c>
      <c r="X95" s="43">
        <v>0</v>
      </c>
      <c r="Y95" s="43">
        <v>0</v>
      </c>
      <c r="Z95" s="43">
        <v>15787</v>
      </c>
      <c r="AA95" s="43">
        <v>0</v>
      </c>
      <c r="AB95" s="43">
        <v>0</v>
      </c>
      <c r="AC95" s="43">
        <v>0</v>
      </c>
      <c r="AD95" s="43">
        <v>0</v>
      </c>
      <c r="AE95" s="43">
        <v>0</v>
      </c>
      <c r="AF95" s="43">
        <v>0</v>
      </c>
      <c r="AG95" s="43"/>
      <c r="AH95" s="43">
        <f t="shared" si="2"/>
        <v>1058044</v>
      </c>
    </row>
    <row r="96" spans="1:66" s="4" customFormat="1" x14ac:dyDescent="0.2">
      <c r="A96" s="4">
        <v>70</v>
      </c>
      <c r="B96" s="4" t="s">
        <v>428</v>
      </c>
      <c r="D96" s="4" t="s">
        <v>65</v>
      </c>
      <c r="F96" s="43">
        <v>948922</v>
      </c>
      <c r="G96" s="43">
        <v>0</v>
      </c>
      <c r="H96" s="43">
        <v>2205780</v>
      </c>
      <c r="I96" s="43">
        <v>0</v>
      </c>
      <c r="J96" s="43">
        <v>10138</v>
      </c>
      <c r="K96" s="43">
        <v>0</v>
      </c>
      <c r="L96" s="43">
        <v>107789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13091</v>
      </c>
      <c r="S96" s="43">
        <v>0</v>
      </c>
      <c r="T96" s="43">
        <v>1732</v>
      </c>
      <c r="U96" s="43">
        <v>0</v>
      </c>
      <c r="V96" s="43">
        <v>19210</v>
      </c>
      <c r="W96" s="43">
        <v>0</v>
      </c>
      <c r="X96" s="43">
        <v>0</v>
      </c>
      <c r="Y96" s="43">
        <v>0</v>
      </c>
      <c r="Z96" s="43">
        <v>151212</v>
      </c>
      <c r="AA96" s="43">
        <v>0</v>
      </c>
      <c r="AB96" s="43">
        <v>0</v>
      </c>
      <c r="AC96" s="43">
        <v>0</v>
      </c>
      <c r="AD96" s="43">
        <v>0</v>
      </c>
      <c r="AE96" s="43">
        <v>0</v>
      </c>
      <c r="AF96" s="43">
        <v>0</v>
      </c>
      <c r="AG96" s="43"/>
      <c r="AH96" s="43">
        <f t="shared" si="2"/>
        <v>3457874</v>
      </c>
    </row>
    <row r="97" spans="1:66" s="4" customFormat="1" x14ac:dyDescent="0.2">
      <c r="A97" s="4">
        <v>123</v>
      </c>
      <c r="B97" s="4" t="s">
        <v>135</v>
      </c>
      <c r="D97" s="4" t="s">
        <v>13</v>
      </c>
      <c r="F97" s="43">
        <v>117853</v>
      </c>
      <c r="G97" s="43">
        <v>0</v>
      </c>
      <c r="H97" s="43">
        <v>206740</v>
      </c>
      <c r="I97" s="43">
        <v>0</v>
      </c>
      <c r="J97" s="43">
        <v>0</v>
      </c>
      <c r="K97" s="43">
        <v>0</v>
      </c>
      <c r="L97" s="43">
        <v>1018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10856</v>
      </c>
      <c r="S97" s="43">
        <v>0</v>
      </c>
      <c r="T97" s="43">
        <v>1129</v>
      </c>
      <c r="U97" s="43">
        <v>0</v>
      </c>
      <c r="V97" s="43">
        <v>3259</v>
      </c>
      <c r="W97" s="43">
        <v>0</v>
      </c>
      <c r="X97" s="43">
        <v>0</v>
      </c>
      <c r="Y97" s="43">
        <v>0</v>
      </c>
      <c r="Z97" s="43">
        <v>0</v>
      </c>
      <c r="AA97" s="43">
        <v>0</v>
      </c>
      <c r="AB97" s="43">
        <v>0</v>
      </c>
      <c r="AC97" s="43">
        <v>0</v>
      </c>
      <c r="AD97" s="43">
        <v>0</v>
      </c>
      <c r="AE97" s="43">
        <v>0</v>
      </c>
      <c r="AF97" s="43">
        <v>0</v>
      </c>
      <c r="AG97" s="43"/>
      <c r="AH97" s="43">
        <f t="shared" si="2"/>
        <v>340855</v>
      </c>
    </row>
    <row r="98" spans="1:66" s="4" customFormat="1" hidden="1" x14ac:dyDescent="0.2">
      <c r="A98" s="4">
        <v>93</v>
      </c>
      <c r="B98" s="4" t="s">
        <v>582</v>
      </c>
      <c r="D98" s="4" t="s">
        <v>137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43">
        <v>0</v>
      </c>
      <c r="AA98" s="43">
        <v>0</v>
      </c>
      <c r="AB98" s="43">
        <v>0</v>
      </c>
      <c r="AC98" s="43">
        <v>0</v>
      </c>
      <c r="AD98" s="43">
        <v>0</v>
      </c>
      <c r="AE98" s="43">
        <v>0</v>
      </c>
      <c r="AF98" s="43">
        <v>0</v>
      </c>
      <c r="AG98" s="43"/>
      <c r="AH98" s="43">
        <f t="shared" si="2"/>
        <v>0</v>
      </c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</row>
    <row r="99" spans="1:66" s="4" customFormat="1" hidden="1" x14ac:dyDescent="0.2">
      <c r="A99" s="4">
        <v>93</v>
      </c>
      <c r="B99" s="4" t="s">
        <v>360</v>
      </c>
      <c r="D99" s="4" t="s">
        <v>51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3">
        <v>0</v>
      </c>
      <c r="Z99" s="43">
        <v>0</v>
      </c>
      <c r="AA99" s="43">
        <v>0</v>
      </c>
      <c r="AB99" s="43">
        <v>0</v>
      </c>
      <c r="AC99" s="43">
        <v>0</v>
      </c>
      <c r="AD99" s="43">
        <v>0</v>
      </c>
      <c r="AE99" s="43">
        <v>0</v>
      </c>
      <c r="AF99" s="43">
        <v>0</v>
      </c>
      <c r="AG99" s="43"/>
      <c r="AH99" s="43">
        <f t="shared" si="2"/>
        <v>0</v>
      </c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</row>
    <row r="100" spans="1:66" s="4" customFormat="1" hidden="1" x14ac:dyDescent="0.2">
      <c r="A100" s="4">
        <v>97</v>
      </c>
      <c r="B100" s="4" t="s">
        <v>138</v>
      </c>
      <c r="D100" s="4" t="s">
        <v>59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3">
        <v>0</v>
      </c>
      <c r="X100" s="43">
        <v>0</v>
      </c>
      <c r="Y100" s="43">
        <v>0</v>
      </c>
      <c r="Z100" s="43">
        <v>0</v>
      </c>
      <c r="AA100" s="43">
        <v>0</v>
      </c>
      <c r="AB100" s="43">
        <v>0</v>
      </c>
      <c r="AC100" s="43">
        <v>0</v>
      </c>
      <c r="AD100" s="43">
        <v>0</v>
      </c>
      <c r="AE100" s="43">
        <v>0</v>
      </c>
      <c r="AF100" s="43">
        <v>0</v>
      </c>
      <c r="AG100" s="43"/>
      <c r="AH100" s="43">
        <f t="shared" si="2"/>
        <v>0</v>
      </c>
    </row>
    <row r="101" spans="1:66" s="4" customFormat="1" x14ac:dyDescent="0.2">
      <c r="A101" s="4">
        <v>159</v>
      </c>
      <c r="B101" s="4" t="s">
        <v>139</v>
      </c>
      <c r="D101" s="4" t="s">
        <v>48</v>
      </c>
      <c r="F101" s="43">
        <v>0</v>
      </c>
      <c r="G101" s="43">
        <v>0</v>
      </c>
      <c r="H101" s="43">
        <v>87979</v>
      </c>
      <c r="I101" s="43">
        <v>0</v>
      </c>
      <c r="J101" s="43">
        <v>0</v>
      </c>
      <c r="K101" s="43">
        <v>0</v>
      </c>
      <c r="L101" s="43">
        <v>3624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6519</v>
      </c>
      <c r="S101" s="43">
        <v>0</v>
      </c>
      <c r="T101" s="43">
        <v>69</v>
      </c>
      <c r="U101" s="43">
        <v>0</v>
      </c>
      <c r="V101" s="43">
        <v>1464</v>
      </c>
      <c r="W101" s="43">
        <v>0</v>
      </c>
      <c r="X101" s="43">
        <v>0</v>
      </c>
      <c r="Y101" s="43">
        <v>0</v>
      </c>
      <c r="Z101" s="43">
        <v>0</v>
      </c>
      <c r="AA101" s="43">
        <v>0</v>
      </c>
      <c r="AB101" s="43">
        <v>0</v>
      </c>
      <c r="AC101" s="43">
        <v>0</v>
      </c>
      <c r="AD101" s="43">
        <v>0</v>
      </c>
      <c r="AE101" s="43">
        <v>0</v>
      </c>
      <c r="AF101" s="43">
        <v>0</v>
      </c>
      <c r="AG101" s="43"/>
      <c r="AH101" s="43">
        <f t="shared" si="2"/>
        <v>99655</v>
      </c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</row>
    <row r="102" spans="1:66" s="4" customFormat="1" hidden="1" x14ac:dyDescent="0.2">
      <c r="A102" s="4">
        <v>240</v>
      </c>
      <c r="B102" s="4" t="s">
        <v>140</v>
      </c>
      <c r="D102" s="4" t="s">
        <v>52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43">
        <v>0</v>
      </c>
      <c r="Y102" s="43">
        <v>0</v>
      </c>
      <c r="Z102" s="43">
        <v>0</v>
      </c>
      <c r="AA102" s="43">
        <v>0</v>
      </c>
      <c r="AB102" s="43">
        <v>0</v>
      </c>
      <c r="AC102" s="43">
        <v>0</v>
      </c>
      <c r="AD102" s="43">
        <v>0</v>
      </c>
      <c r="AE102" s="43">
        <v>0</v>
      </c>
      <c r="AF102" s="43">
        <v>0</v>
      </c>
      <c r="AG102" s="43"/>
      <c r="AH102" s="43">
        <f t="shared" si="2"/>
        <v>0</v>
      </c>
    </row>
    <row r="103" spans="1:66" s="4" customFormat="1" hidden="1" x14ac:dyDescent="0.2">
      <c r="A103" s="4">
        <v>48</v>
      </c>
      <c r="B103" s="4" t="s">
        <v>141</v>
      </c>
      <c r="D103" s="4" t="s">
        <v>50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  <c r="X103" s="43">
        <v>0</v>
      </c>
      <c r="Y103" s="43">
        <v>0</v>
      </c>
      <c r="Z103" s="43">
        <v>0</v>
      </c>
      <c r="AA103" s="43">
        <v>0</v>
      </c>
      <c r="AB103" s="43">
        <v>0</v>
      </c>
      <c r="AC103" s="43">
        <v>0</v>
      </c>
      <c r="AD103" s="43">
        <v>0</v>
      </c>
      <c r="AE103" s="43">
        <v>0</v>
      </c>
      <c r="AF103" s="43">
        <v>0</v>
      </c>
      <c r="AG103" s="43"/>
      <c r="AH103" s="43">
        <f t="shared" si="2"/>
        <v>0</v>
      </c>
    </row>
    <row r="104" spans="1:66" s="4" customFormat="1" x14ac:dyDescent="0.2">
      <c r="A104" s="4">
        <v>190</v>
      </c>
      <c r="B104" s="4" t="s">
        <v>142</v>
      </c>
      <c r="D104" s="4" t="s">
        <v>143</v>
      </c>
      <c r="F104" s="43">
        <v>360540</v>
      </c>
      <c r="G104" s="43">
        <v>0</v>
      </c>
      <c r="H104" s="43">
        <v>734515</v>
      </c>
      <c r="I104" s="43">
        <v>0</v>
      </c>
      <c r="J104" s="43">
        <v>0</v>
      </c>
      <c r="K104" s="43">
        <v>0</v>
      </c>
      <c r="L104" s="43">
        <v>26189</v>
      </c>
      <c r="M104" s="43">
        <v>0</v>
      </c>
      <c r="N104" s="43">
        <v>0</v>
      </c>
      <c r="O104" s="43">
        <v>0</v>
      </c>
      <c r="P104" s="43">
        <v>10629</v>
      </c>
      <c r="Q104" s="43">
        <v>0</v>
      </c>
      <c r="R104" s="43">
        <v>1279</v>
      </c>
      <c r="S104" s="43">
        <v>0</v>
      </c>
      <c r="T104" s="43">
        <v>25395</v>
      </c>
      <c r="U104" s="43">
        <v>0</v>
      </c>
      <c r="V104" s="43">
        <v>0</v>
      </c>
      <c r="W104" s="43">
        <v>0</v>
      </c>
      <c r="X104" s="43">
        <v>0</v>
      </c>
      <c r="Y104" s="43">
        <v>0</v>
      </c>
      <c r="Z104" s="43">
        <v>113015</v>
      </c>
      <c r="AA104" s="43">
        <v>0</v>
      </c>
      <c r="AB104" s="43">
        <v>0</v>
      </c>
      <c r="AC104" s="43">
        <v>0</v>
      </c>
      <c r="AD104" s="43">
        <v>0</v>
      </c>
      <c r="AE104" s="43">
        <v>0</v>
      </c>
      <c r="AF104" s="43">
        <v>0</v>
      </c>
      <c r="AG104" s="43"/>
      <c r="AH104" s="43">
        <f t="shared" si="2"/>
        <v>1271562</v>
      </c>
    </row>
    <row r="105" spans="1:66" s="4" customFormat="1" x14ac:dyDescent="0.2">
      <c r="A105" s="4">
        <v>90</v>
      </c>
      <c r="B105" s="4" t="s">
        <v>144</v>
      </c>
      <c r="D105" s="4" t="s">
        <v>15</v>
      </c>
      <c r="F105" s="43">
        <v>4849994</v>
      </c>
      <c r="G105" s="43">
        <v>0</v>
      </c>
      <c r="H105" s="43">
        <v>2485890</v>
      </c>
      <c r="I105" s="43">
        <v>0</v>
      </c>
      <c r="J105" s="43">
        <v>702995</v>
      </c>
      <c r="K105" s="43">
        <v>0</v>
      </c>
      <c r="L105" s="43">
        <v>176744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8283</v>
      </c>
      <c r="S105" s="43">
        <v>0</v>
      </c>
      <c r="T105" s="43">
        <v>34998</v>
      </c>
      <c r="U105" s="43">
        <v>0</v>
      </c>
      <c r="V105" s="43">
        <v>16716</v>
      </c>
      <c r="W105" s="43">
        <v>0</v>
      </c>
      <c r="X105" s="43">
        <v>0</v>
      </c>
      <c r="Y105" s="43">
        <v>0</v>
      </c>
      <c r="Z105" s="43">
        <v>900000</v>
      </c>
      <c r="AA105" s="43">
        <v>0</v>
      </c>
      <c r="AB105" s="43">
        <v>7938</v>
      </c>
      <c r="AC105" s="43">
        <v>0</v>
      </c>
      <c r="AD105" s="43">
        <v>0</v>
      </c>
      <c r="AE105" s="43">
        <v>0</v>
      </c>
      <c r="AF105" s="43">
        <v>0</v>
      </c>
      <c r="AG105" s="43"/>
      <c r="AH105" s="43">
        <f t="shared" si="2"/>
        <v>9183558</v>
      </c>
    </row>
    <row r="106" spans="1:66" s="4" customFormat="1" hidden="1" x14ac:dyDescent="0.2">
      <c r="A106" s="4">
        <v>170</v>
      </c>
      <c r="B106" s="4" t="s">
        <v>145</v>
      </c>
      <c r="D106" s="4" t="s">
        <v>53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3">
        <v>0</v>
      </c>
      <c r="Z106" s="43">
        <v>0</v>
      </c>
      <c r="AA106" s="43">
        <v>0</v>
      </c>
      <c r="AB106" s="43">
        <v>0</v>
      </c>
      <c r="AC106" s="43">
        <v>0</v>
      </c>
      <c r="AD106" s="43">
        <v>0</v>
      </c>
      <c r="AE106" s="43">
        <v>0</v>
      </c>
      <c r="AF106" s="43">
        <v>0</v>
      </c>
      <c r="AG106" s="43"/>
      <c r="AH106" s="43">
        <f t="shared" si="2"/>
        <v>0</v>
      </c>
    </row>
    <row r="107" spans="1:66" s="4" customFormat="1" hidden="1" x14ac:dyDescent="0.2">
      <c r="A107" s="4">
        <v>170</v>
      </c>
      <c r="B107" s="4" t="s">
        <v>621</v>
      </c>
      <c r="D107" s="4" t="s">
        <v>54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/>
      <c r="AH107" s="43">
        <f t="shared" si="2"/>
        <v>0</v>
      </c>
    </row>
    <row r="108" spans="1:66" s="4" customFormat="1" hidden="1" x14ac:dyDescent="0.2">
      <c r="A108" s="4">
        <v>224</v>
      </c>
      <c r="B108" s="4" t="s">
        <v>607</v>
      </c>
      <c r="D108" s="4" t="s">
        <v>24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3">
        <v>0</v>
      </c>
      <c r="Z108" s="43">
        <v>0</v>
      </c>
      <c r="AA108" s="43">
        <v>0</v>
      </c>
      <c r="AB108" s="43">
        <v>0</v>
      </c>
      <c r="AC108" s="43">
        <v>0</v>
      </c>
      <c r="AD108" s="43">
        <v>0</v>
      </c>
      <c r="AE108" s="43">
        <v>0</v>
      </c>
      <c r="AF108" s="43">
        <v>0</v>
      </c>
      <c r="AG108" s="43"/>
      <c r="AH108" s="43">
        <f t="shared" si="2"/>
        <v>0</v>
      </c>
    </row>
    <row r="109" spans="1:66" s="4" customFormat="1" x14ac:dyDescent="0.2">
      <c r="A109" s="4">
        <v>143</v>
      </c>
      <c r="B109" s="4" t="s">
        <v>146</v>
      </c>
      <c r="D109" s="4" t="s">
        <v>55</v>
      </c>
      <c r="F109" s="43">
        <v>505680</v>
      </c>
      <c r="G109" s="43">
        <v>0</v>
      </c>
      <c r="H109" s="43">
        <v>546390</v>
      </c>
      <c r="I109" s="43">
        <v>0</v>
      </c>
      <c r="J109" s="43">
        <v>78111</v>
      </c>
      <c r="K109" s="43">
        <v>0</v>
      </c>
      <c r="L109" s="43">
        <v>17004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14975</v>
      </c>
      <c r="S109" s="43">
        <v>0</v>
      </c>
      <c r="T109" s="43">
        <v>3412</v>
      </c>
      <c r="U109" s="43">
        <v>0</v>
      </c>
      <c r="V109" s="43">
        <v>4055</v>
      </c>
      <c r="W109" s="43">
        <v>0</v>
      </c>
      <c r="X109" s="43">
        <v>0</v>
      </c>
      <c r="Y109" s="43">
        <v>0</v>
      </c>
      <c r="Z109" s="43">
        <v>150000</v>
      </c>
      <c r="AA109" s="43">
        <v>0</v>
      </c>
      <c r="AB109" s="43">
        <v>0</v>
      </c>
      <c r="AC109" s="43">
        <v>0</v>
      </c>
      <c r="AD109" s="43">
        <v>0</v>
      </c>
      <c r="AE109" s="43">
        <v>0</v>
      </c>
      <c r="AF109" s="43">
        <v>0</v>
      </c>
      <c r="AG109" s="43"/>
      <c r="AH109" s="43">
        <f t="shared" si="2"/>
        <v>1319627</v>
      </c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</row>
    <row r="110" spans="1:66" s="4" customFormat="1" hidden="1" x14ac:dyDescent="0.2">
      <c r="A110" s="4">
        <v>11</v>
      </c>
      <c r="B110" s="4" t="s">
        <v>302</v>
      </c>
      <c r="D110" s="4" t="s">
        <v>41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0</v>
      </c>
      <c r="X110" s="43">
        <v>0</v>
      </c>
      <c r="Y110" s="43">
        <v>0</v>
      </c>
      <c r="Z110" s="43">
        <v>0</v>
      </c>
      <c r="AA110" s="43">
        <v>0</v>
      </c>
      <c r="AB110" s="43">
        <v>0</v>
      </c>
      <c r="AC110" s="43">
        <v>0</v>
      </c>
      <c r="AD110" s="43">
        <v>0</v>
      </c>
      <c r="AE110" s="43">
        <v>0</v>
      </c>
      <c r="AF110" s="43">
        <v>0</v>
      </c>
      <c r="AG110" s="43"/>
      <c r="AH110" s="43">
        <f t="shared" si="2"/>
        <v>0</v>
      </c>
    </row>
    <row r="111" spans="1:66" s="4" customFormat="1" x14ac:dyDescent="0.2">
      <c r="A111" s="4">
        <v>77</v>
      </c>
      <c r="B111" s="4" t="s">
        <v>147</v>
      </c>
      <c r="D111" s="4" t="s">
        <v>90</v>
      </c>
      <c r="F111" s="43">
        <v>1129592</v>
      </c>
      <c r="G111" s="43">
        <v>0</v>
      </c>
      <c r="H111" s="43">
        <v>1287617</v>
      </c>
      <c r="I111" s="43">
        <v>0</v>
      </c>
      <c r="J111" s="43">
        <v>176162</v>
      </c>
      <c r="K111" s="43">
        <v>0</v>
      </c>
      <c r="L111" s="43">
        <v>88522</v>
      </c>
      <c r="M111" s="43">
        <v>0</v>
      </c>
      <c r="N111" s="43">
        <v>0</v>
      </c>
      <c r="O111" s="43">
        <v>0</v>
      </c>
      <c r="P111" s="43">
        <v>14941</v>
      </c>
      <c r="Q111" s="43">
        <v>0</v>
      </c>
      <c r="R111" s="43">
        <v>23784</v>
      </c>
      <c r="S111" s="43">
        <v>0</v>
      </c>
      <c r="T111" s="43">
        <v>2483</v>
      </c>
      <c r="U111" s="43">
        <v>0</v>
      </c>
      <c r="V111" s="43">
        <v>16125</v>
      </c>
      <c r="W111" s="43">
        <v>0</v>
      </c>
      <c r="X111" s="43">
        <v>0</v>
      </c>
      <c r="Y111" s="43">
        <v>0</v>
      </c>
      <c r="Z111" s="43">
        <v>99</v>
      </c>
      <c r="AA111" s="43">
        <v>0</v>
      </c>
      <c r="AB111" s="43">
        <v>0</v>
      </c>
      <c r="AC111" s="43">
        <v>0</v>
      </c>
      <c r="AD111" s="43">
        <v>0</v>
      </c>
      <c r="AE111" s="43">
        <v>0</v>
      </c>
      <c r="AF111" s="43">
        <v>0</v>
      </c>
      <c r="AG111" s="43"/>
      <c r="AH111" s="43">
        <f t="shared" si="2"/>
        <v>2739325</v>
      </c>
    </row>
    <row r="112" spans="1:66" s="4" customFormat="1" hidden="1" x14ac:dyDescent="0.2">
      <c r="A112" s="4">
        <v>132</v>
      </c>
      <c r="B112" s="4" t="s">
        <v>148</v>
      </c>
      <c r="D112" s="4" t="s">
        <v>39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43">
        <v>0</v>
      </c>
      <c r="X112" s="43">
        <v>0</v>
      </c>
      <c r="Y112" s="43">
        <v>0</v>
      </c>
      <c r="Z112" s="43">
        <v>0</v>
      </c>
      <c r="AA112" s="43">
        <v>0</v>
      </c>
      <c r="AB112" s="43">
        <v>0</v>
      </c>
      <c r="AC112" s="43">
        <v>0</v>
      </c>
      <c r="AD112" s="43">
        <v>0</v>
      </c>
      <c r="AE112" s="43">
        <v>0</v>
      </c>
      <c r="AF112" s="43">
        <v>0</v>
      </c>
      <c r="AG112" s="43"/>
      <c r="AH112" s="43">
        <f t="shared" si="2"/>
        <v>0</v>
      </c>
    </row>
    <row r="113" spans="1:66" s="4" customFormat="1" x14ac:dyDescent="0.2">
      <c r="A113" s="4">
        <v>91</v>
      </c>
      <c r="B113" s="4" t="s">
        <v>583</v>
      </c>
      <c r="D113" s="4" t="s">
        <v>150</v>
      </c>
      <c r="F113" s="43">
        <v>3007985</v>
      </c>
      <c r="G113" s="43">
        <v>0</v>
      </c>
      <c r="H113" s="43">
        <v>0</v>
      </c>
      <c r="I113" s="43">
        <v>0</v>
      </c>
      <c r="J113" s="43">
        <v>4535777</v>
      </c>
      <c r="K113" s="43">
        <v>0</v>
      </c>
      <c r="L113" s="43">
        <v>180658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42705</v>
      </c>
      <c r="S113" s="43">
        <v>0</v>
      </c>
      <c r="T113" s="43">
        <v>68832</v>
      </c>
      <c r="U113" s="43">
        <v>0</v>
      </c>
      <c r="V113" s="43">
        <f>66896+1050</f>
        <v>67946</v>
      </c>
      <c r="W113" s="43">
        <v>0</v>
      </c>
      <c r="X113" s="43">
        <v>0</v>
      </c>
      <c r="Y113" s="43">
        <v>0</v>
      </c>
      <c r="Z113" s="43">
        <v>108495</v>
      </c>
      <c r="AA113" s="43">
        <v>0</v>
      </c>
      <c r="AB113" s="43">
        <v>0</v>
      </c>
      <c r="AC113" s="43">
        <v>0</v>
      </c>
      <c r="AD113" s="43">
        <v>0</v>
      </c>
      <c r="AE113" s="43">
        <v>0</v>
      </c>
      <c r="AF113" s="43">
        <v>0</v>
      </c>
      <c r="AG113" s="43"/>
      <c r="AH113" s="43">
        <f t="shared" si="2"/>
        <v>8012398</v>
      </c>
    </row>
    <row r="114" spans="1:66" s="4" customFormat="1" hidden="1" x14ac:dyDescent="0.2">
      <c r="A114" s="4">
        <v>59</v>
      </c>
      <c r="B114" s="4" t="s">
        <v>151</v>
      </c>
      <c r="D114" s="4" t="s">
        <v>79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0</v>
      </c>
      <c r="S114" s="43">
        <v>0</v>
      </c>
      <c r="T114" s="43">
        <v>0</v>
      </c>
      <c r="U114" s="43">
        <v>0</v>
      </c>
      <c r="V114" s="43">
        <v>0</v>
      </c>
      <c r="W114" s="43">
        <v>0</v>
      </c>
      <c r="X114" s="43">
        <v>0</v>
      </c>
      <c r="Y114" s="43">
        <v>0</v>
      </c>
      <c r="Z114" s="43">
        <v>0</v>
      </c>
      <c r="AA114" s="43">
        <v>0</v>
      </c>
      <c r="AB114" s="43">
        <v>0</v>
      </c>
      <c r="AC114" s="43">
        <v>0</v>
      </c>
      <c r="AD114" s="43">
        <v>0</v>
      </c>
      <c r="AE114" s="43">
        <v>0</v>
      </c>
      <c r="AF114" s="43">
        <v>0</v>
      </c>
      <c r="AG114" s="43"/>
      <c r="AH114" s="43">
        <f t="shared" si="2"/>
        <v>0</v>
      </c>
    </row>
    <row r="115" spans="1:66" s="4" customFormat="1" x14ac:dyDescent="0.2">
      <c r="A115" s="4">
        <v>92</v>
      </c>
      <c r="B115" s="4" t="s">
        <v>584</v>
      </c>
      <c r="D115" s="4" t="s">
        <v>152</v>
      </c>
      <c r="F115" s="43">
        <v>0</v>
      </c>
      <c r="G115" s="43">
        <v>0</v>
      </c>
      <c r="H115" s="43">
        <v>1120307</v>
      </c>
      <c r="I115" s="43">
        <v>0</v>
      </c>
      <c r="J115" s="43">
        <v>0</v>
      </c>
      <c r="K115" s="43">
        <v>0</v>
      </c>
      <c r="L115" s="43">
        <v>35620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18292</v>
      </c>
      <c r="S115" s="43">
        <v>0</v>
      </c>
      <c r="T115" s="43">
        <v>1172</v>
      </c>
      <c r="U115" s="43">
        <v>0</v>
      </c>
      <c r="V115" s="43">
        <v>319998</v>
      </c>
      <c r="W115" s="43">
        <v>0</v>
      </c>
      <c r="X115" s="43">
        <v>0</v>
      </c>
      <c r="Y115" s="43">
        <v>0</v>
      </c>
      <c r="Z115" s="43">
        <v>315500</v>
      </c>
      <c r="AA115" s="43">
        <v>0</v>
      </c>
      <c r="AB115" s="43">
        <v>0</v>
      </c>
      <c r="AC115" s="43">
        <v>0</v>
      </c>
      <c r="AD115" s="43">
        <v>0</v>
      </c>
      <c r="AE115" s="43">
        <v>0</v>
      </c>
      <c r="AF115" s="43">
        <v>0</v>
      </c>
      <c r="AG115" s="43"/>
      <c r="AH115" s="43">
        <f t="shared" si="2"/>
        <v>1810889</v>
      </c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</row>
    <row r="116" spans="1:66" s="4" customFormat="1" hidden="1" x14ac:dyDescent="0.2">
      <c r="A116" s="4">
        <v>12</v>
      </c>
      <c r="B116" s="4" t="s">
        <v>153</v>
      </c>
      <c r="D116" s="4" t="s">
        <v>41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0</v>
      </c>
      <c r="Y116" s="43">
        <v>0</v>
      </c>
      <c r="Z116" s="43">
        <v>0</v>
      </c>
      <c r="AA116" s="43">
        <v>0</v>
      </c>
      <c r="AB116" s="43">
        <v>0</v>
      </c>
      <c r="AC116" s="43">
        <v>0</v>
      </c>
      <c r="AD116" s="43">
        <v>0</v>
      </c>
      <c r="AE116" s="43">
        <v>0</v>
      </c>
      <c r="AF116" s="43">
        <v>0</v>
      </c>
      <c r="AG116" s="43"/>
      <c r="AH116" s="43">
        <f t="shared" si="2"/>
        <v>0</v>
      </c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</row>
    <row r="117" spans="1:66" s="4" customFormat="1" x14ac:dyDescent="0.2">
      <c r="A117" s="4">
        <v>98</v>
      </c>
      <c r="B117" s="4" t="s">
        <v>154</v>
      </c>
      <c r="D117" s="4" t="s">
        <v>59</v>
      </c>
      <c r="F117" s="43">
        <v>0</v>
      </c>
      <c r="G117" s="43">
        <v>0</v>
      </c>
      <c r="H117" s="43">
        <v>60734</v>
      </c>
      <c r="I117" s="43">
        <v>0</v>
      </c>
      <c r="J117" s="43">
        <v>0</v>
      </c>
      <c r="K117" s="43">
        <v>0</v>
      </c>
      <c r="L117" s="43">
        <v>1544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1682</v>
      </c>
      <c r="S117" s="43">
        <v>0</v>
      </c>
      <c r="T117" s="43">
        <v>3</v>
      </c>
      <c r="U117" s="43">
        <v>0</v>
      </c>
      <c r="V117" s="43">
        <v>1249</v>
      </c>
      <c r="W117" s="43">
        <v>0</v>
      </c>
      <c r="X117" s="43">
        <v>0</v>
      </c>
      <c r="Y117" s="43">
        <v>0</v>
      </c>
      <c r="Z117" s="43">
        <v>0</v>
      </c>
      <c r="AA117" s="43">
        <v>0</v>
      </c>
      <c r="AB117" s="43">
        <v>0</v>
      </c>
      <c r="AC117" s="43">
        <v>0</v>
      </c>
      <c r="AD117" s="43">
        <v>0</v>
      </c>
      <c r="AE117" s="43">
        <v>0</v>
      </c>
      <c r="AF117" s="43">
        <v>0</v>
      </c>
      <c r="AG117" s="43"/>
      <c r="AH117" s="43">
        <f t="shared" si="2"/>
        <v>65212</v>
      </c>
    </row>
    <row r="118" spans="1:66" s="4" customFormat="1" x14ac:dyDescent="0.2">
      <c r="A118" s="4">
        <v>181</v>
      </c>
      <c r="B118" s="4" t="s">
        <v>155</v>
      </c>
      <c r="D118" s="4" t="s">
        <v>156</v>
      </c>
      <c r="F118" s="43">
        <v>271091</v>
      </c>
      <c r="G118" s="43">
        <v>0</v>
      </c>
      <c r="H118" s="43">
        <v>353543</v>
      </c>
      <c r="I118" s="43">
        <v>0</v>
      </c>
      <c r="J118" s="43">
        <v>0</v>
      </c>
      <c r="K118" s="43">
        <v>0</v>
      </c>
      <c r="L118" s="43">
        <v>13511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5077</v>
      </c>
      <c r="S118" s="43">
        <v>0</v>
      </c>
      <c r="T118" s="43">
        <v>432</v>
      </c>
      <c r="U118" s="43">
        <v>0</v>
      </c>
      <c r="V118" s="43">
        <v>0</v>
      </c>
      <c r="W118" s="43">
        <v>0</v>
      </c>
      <c r="X118" s="43">
        <v>0</v>
      </c>
      <c r="Y118" s="43">
        <v>0</v>
      </c>
      <c r="Z118" s="43">
        <v>0</v>
      </c>
      <c r="AA118" s="43">
        <v>0</v>
      </c>
      <c r="AB118" s="43">
        <v>0</v>
      </c>
      <c r="AC118" s="43">
        <v>0</v>
      </c>
      <c r="AD118" s="43">
        <v>0</v>
      </c>
      <c r="AE118" s="43">
        <v>0</v>
      </c>
      <c r="AF118" s="43">
        <v>0</v>
      </c>
      <c r="AG118" s="43"/>
      <c r="AH118" s="43">
        <f t="shared" si="2"/>
        <v>643654</v>
      </c>
    </row>
    <row r="119" spans="1:66" s="4" customFormat="1" hidden="1" x14ac:dyDescent="0.2">
      <c r="A119" s="4">
        <v>13</v>
      </c>
      <c r="B119" s="4" t="s">
        <v>303</v>
      </c>
      <c r="D119" s="4" t="s">
        <v>41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0</v>
      </c>
      <c r="U119" s="43">
        <v>0</v>
      </c>
      <c r="V119" s="43">
        <v>0</v>
      </c>
      <c r="W119" s="43">
        <v>0</v>
      </c>
      <c r="X119" s="43">
        <v>0</v>
      </c>
      <c r="Y119" s="43">
        <v>0</v>
      </c>
      <c r="Z119" s="43">
        <v>0</v>
      </c>
      <c r="AA119" s="43">
        <v>0</v>
      </c>
      <c r="AB119" s="43">
        <v>0</v>
      </c>
      <c r="AC119" s="43">
        <v>0</v>
      </c>
      <c r="AD119" s="43">
        <v>0</v>
      </c>
      <c r="AE119" s="43">
        <v>0</v>
      </c>
      <c r="AF119" s="43">
        <v>0</v>
      </c>
      <c r="AG119" s="43"/>
      <c r="AH119" s="43">
        <f t="shared" si="2"/>
        <v>0</v>
      </c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</row>
    <row r="120" spans="1:66" s="4" customFormat="1" hidden="1" x14ac:dyDescent="0.2">
      <c r="A120" s="4">
        <v>239</v>
      </c>
      <c r="B120" s="4" t="s">
        <v>157</v>
      </c>
      <c r="D120" s="4" t="s">
        <v>158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0</v>
      </c>
      <c r="AC120" s="43">
        <v>0</v>
      </c>
      <c r="AD120" s="43">
        <v>0</v>
      </c>
      <c r="AE120" s="43">
        <v>0</v>
      </c>
      <c r="AF120" s="43">
        <v>0</v>
      </c>
      <c r="AG120" s="43"/>
      <c r="AH120" s="43">
        <f t="shared" si="2"/>
        <v>0</v>
      </c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</row>
    <row r="121" spans="1:66" s="4" customFormat="1" hidden="1" x14ac:dyDescent="0.2">
      <c r="A121" s="4">
        <v>144</v>
      </c>
      <c r="B121" s="4" t="s">
        <v>449</v>
      </c>
      <c r="D121" s="4" t="s">
        <v>55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  <c r="Z121" s="43">
        <v>0</v>
      </c>
      <c r="AA121" s="43">
        <v>0</v>
      </c>
      <c r="AB121" s="43">
        <v>0</v>
      </c>
      <c r="AC121" s="43">
        <v>0</v>
      </c>
      <c r="AD121" s="43">
        <v>0</v>
      </c>
      <c r="AE121" s="43">
        <v>0</v>
      </c>
      <c r="AF121" s="43">
        <v>0</v>
      </c>
      <c r="AG121" s="43"/>
      <c r="AH121" s="43">
        <f t="shared" si="2"/>
        <v>0</v>
      </c>
    </row>
    <row r="122" spans="1:66" s="4" customFormat="1" x14ac:dyDescent="0.2">
      <c r="A122" s="4">
        <v>107</v>
      </c>
      <c r="B122" s="4" t="s">
        <v>159</v>
      </c>
      <c r="D122" s="4" t="s">
        <v>56</v>
      </c>
      <c r="F122" s="43">
        <v>0</v>
      </c>
      <c r="G122" s="43">
        <v>0</v>
      </c>
      <c r="H122" s="43">
        <f>50354+1076088</f>
        <v>1126442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4909</v>
      </c>
      <c r="S122" s="43">
        <v>0</v>
      </c>
      <c r="T122" s="43">
        <v>15944</v>
      </c>
      <c r="U122" s="43">
        <v>0</v>
      </c>
      <c r="V122" s="43">
        <v>196</v>
      </c>
      <c r="W122" s="43">
        <v>0</v>
      </c>
      <c r="X122" s="43">
        <v>0</v>
      </c>
      <c r="Y122" s="43">
        <v>0</v>
      </c>
      <c r="Z122" s="43">
        <v>0</v>
      </c>
      <c r="AA122" s="43">
        <v>0</v>
      </c>
      <c r="AB122" s="43">
        <v>0</v>
      </c>
      <c r="AC122" s="43">
        <v>0</v>
      </c>
      <c r="AD122" s="43">
        <v>0</v>
      </c>
      <c r="AE122" s="43">
        <v>0</v>
      </c>
      <c r="AF122" s="43">
        <v>0</v>
      </c>
      <c r="AG122" s="43"/>
      <c r="AH122" s="43">
        <f t="shared" si="2"/>
        <v>1147491</v>
      </c>
    </row>
    <row r="123" spans="1:66" s="4" customFormat="1" x14ac:dyDescent="0.2">
      <c r="A123" s="4">
        <v>103</v>
      </c>
      <c r="B123" s="4" t="s">
        <v>160</v>
      </c>
      <c r="D123" s="4" t="s">
        <v>58</v>
      </c>
      <c r="F123" s="43">
        <v>93470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156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1814</v>
      </c>
      <c r="S123" s="43">
        <v>0</v>
      </c>
      <c r="T123" s="43">
        <v>2043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43">
        <v>0</v>
      </c>
      <c r="AB123" s="43">
        <v>0</v>
      </c>
      <c r="AC123" s="43">
        <v>0</v>
      </c>
      <c r="AD123" s="43">
        <v>0</v>
      </c>
      <c r="AE123" s="43">
        <v>0</v>
      </c>
      <c r="AF123" s="43">
        <v>0</v>
      </c>
      <c r="AG123" s="43"/>
      <c r="AH123" s="43">
        <f t="shared" si="2"/>
        <v>97483</v>
      </c>
    </row>
    <row r="124" spans="1:66" s="4" customFormat="1" hidden="1" x14ac:dyDescent="0.2">
      <c r="A124" s="4">
        <v>109</v>
      </c>
      <c r="B124" s="4" t="s">
        <v>585</v>
      </c>
      <c r="D124" s="4" t="s">
        <v>161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3">
        <v>0</v>
      </c>
      <c r="Z124" s="43">
        <v>0</v>
      </c>
      <c r="AA124" s="43">
        <v>0</v>
      </c>
      <c r="AB124" s="43">
        <v>0</v>
      </c>
      <c r="AC124" s="43">
        <v>0</v>
      </c>
      <c r="AD124" s="43">
        <v>0</v>
      </c>
      <c r="AE124" s="43">
        <v>0</v>
      </c>
      <c r="AF124" s="43">
        <v>0</v>
      </c>
      <c r="AG124" s="43"/>
      <c r="AH124" s="43">
        <f t="shared" si="2"/>
        <v>0</v>
      </c>
    </row>
    <row r="125" spans="1:66" s="4" customFormat="1" hidden="1" x14ac:dyDescent="0.2">
      <c r="A125" s="4">
        <v>133</v>
      </c>
      <c r="B125" s="4" t="s">
        <v>304</v>
      </c>
      <c r="D125" s="4" t="s">
        <v>39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3">
        <v>0</v>
      </c>
      <c r="Z125" s="43">
        <v>0</v>
      </c>
      <c r="AA125" s="43">
        <v>0</v>
      </c>
      <c r="AB125" s="43">
        <v>0</v>
      </c>
      <c r="AC125" s="43">
        <v>0</v>
      </c>
      <c r="AD125" s="43">
        <v>0</v>
      </c>
      <c r="AE125" s="43">
        <v>0</v>
      </c>
      <c r="AF125" s="43">
        <v>0</v>
      </c>
      <c r="AG125" s="43"/>
      <c r="AH125" s="43">
        <f t="shared" si="2"/>
        <v>0</v>
      </c>
    </row>
    <row r="126" spans="1:66" s="4" customFormat="1" hidden="1" x14ac:dyDescent="0.2">
      <c r="A126" s="4">
        <v>225</v>
      </c>
      <c r="B126" s="4" t="s">
        <v>450</v>
      </c>
      <c r="D126" s="4" t="s">
        <v>54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  <c r="S126" s="43">
        <v>0</v>
      </c>
      <c r="T126" s="43">
        <v>0</v>
      </c>
      <c r="U126" s="43">
        <v>0</v>
      </c>
      <c r="V126" s="43">
        <v>0</v>
      </c>
      <c r="W126" s="43">
        <v>0</v>
      </c>
      <c r="X126" s="43">
        <v>0</v>
      </c>
      <c r="Y126" s="43">
        <v>0</v>
      </c>
      <c r="Z126" s="43">
        <v>0</v>
      </c>
      <c r="AA126" s="43">
        <v>0</v>
      </c>
      <c r="AB126" s="43">
        <v>0</v>
      </c>
      <c r="AC126" s="43">
        <v>0</v>
      </c>
      <c r="AD126" s="43">
        <v>0</v>
      </c>
      <c r="AE126" s="43">
        <v>0</v>
      </c>
      <c r="AF126" s="43">
        <v>0</v>
      </c>
      <c r="AG126" s="43"/>
      <c r="AH126" s="43">
        <f t="shared" si="2"/>
        <v>0</v>
      </c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</row>
    <row r="127" spans="1:66" s="4" customFormat="1" x14ac:dyDescent="0.2">
      <c r="A127" s="4">
        <v>218</v>
      </c>
      <c r="B127" s="4" t="s">
        <v>163</v>
      </c>
      <c r="D127" s="4" t="s">
        <v>20</v>
      </c>
      <c r="F127" s="43">
        <v>1691607</v>
      </c>
      <c r="G127" s="43">
        <v>0</v>
      </c>
      <c r="H127" s="43">
        <v>869354</v>
      </c>
      <c r="I127" s="43">
        <v>0</v>
      </c>
      <c r="J127" s="43">
        <v>222934</v>
      </c>
      <c r="K127" s="43">
        <v>0</v>
      </c>
      <c r="L127" s="43">
        <v>67455</v>
      </c>
      <c r="M127" s="43">
        <v>0</v>
      </c>
      <c r="N127" s="43">
        <v>0</v>
      </c>
      <c r="O127" s="43">
        <v>0</v>
      </c>
      <c r="P127" s="43">
        <v>10751</v>
      </c>
      <c r="Q127" s="43">
        <v>0</v>
      </c>
      <c r="R127" s="43">
        <v>49627</v>
      </c>
      <c r="S127" s="43">
        <v>0</v>
      </c>
      <c r="T127" s="43">
        <v>186848</v>
      </c>
      <c r="U127" s="43">
        <v>0</v>
      </c>
      <c r="V127" s="43">
        <v>681</v>
      </c>
      <c r="W127" s="43">
        <v>0</v>
      </c>
      <c r="X127" s="43">
        <v>0</v>
      </c>
      <c r="Y127" s="43">
        <v>0</v>
      </c>
      <c r="Z127" s="43">
        <v>103000</v>
      </c>
      <c r="AA127" s="43">
        <v>0</v>
      </c>
      <c r="AB127" s="43">
        <v>0</v>
      </c>
      <c r="AC127" s="43">
        <v>0</v>
      </c>
      <c r="AD127" s="43">
        <v>0</v>
      </c>
      <c r="AE127" s="43">
        <v>0</v>
      </c>
      <c r="AF127" s="43">
        <v>0</v>
      </c>
      <c r="AG127" s="43"/>
      <c r="AH127" s="43">
        <f t="shared" si="2"/>
        <v>3202257</v>
      </c>
    </row>
    <row r="128" spans="1:66" s="4" customFormat="1" hidden="1" x14ac:dyDescent="0.2">
      <c r="A128" s="4">
        <v>66</v>
      </c>
      <c r="B128" s="4" t="s">
        <v>164</v>
      </c>
      <c r="D128" s="4" t="s">
        <v>165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0</v>
      </c>
      <c r="X128" s="43">
        <v>0</v>
      </c>
      <c r="Y128" s="43">
        <v>0</v>
      </c>
      <c r="Z128" s="43">
        <v>0</v>
      </c>
      <c r="AA128" s="43">
        <v>0</v>
      </c>
      <c r="AB128" s="43">
        <v>0</v>
      </c>
      <c r="AC128" s="43">
        <v>0</v>
      </c>
      <c r="AD128" s="43">
        <v>0</v>
      </c>
      <c r="AE128" s="43">
        <v>0</v>
      </c>
      <c r="AF128" s="43">
        <v>0</v>
      </c>
      <c r="AG128" s="43"/>
      <c r="AH128" s="43">
        <f t="shared" si="2"/>
        <v>0</v>
      </c>
    </row>
    <row r="129" spans="1:66" s="4" customFormat="1" hidden="1" x14ac:dyDescent="0.2">
      <c r="A129" s="4">
        <v>148</v>
      </c>
      <c r="B129" s="4" t="s">
        <v>35</v>
      </c>
      <c r="D129" s="4" t="s">
        <v>10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0</v>
      </c>
      <c r="S129" s="43">
        <v>0</v>
      </c>
      <c r="T129" s="43">
        <v>0</v>
      </c>
      <c r="U129" s="43">
        <v>0</v>
      </c>
      <c r="V129" s="43">
        <v>0</v>
      </c>
      <c r="W129" s="43">
        <v>0</v>
      </c>
      <c r="X129" s="43">
        <v>0</v>
      </c>
      <c r="Y129" s="43">
        <v>0</v>
      </c>
      <c r="Z129" s="43">
        <v>0</v>
      </c>
      <c r="AA129" s="43">
        <v>0</v>
      </c>
      <c r="AB129" s="43">
        <v>0</v>
      </c>
      <c r="AC129" s="43">
        <v>0</v>
      </c>
      <c r="AD129" s="43">
        <v>0</v>
      </c>
      <c r="AE129" s="43">
        <v>0</v>
      </c>
      <c r="AF129" s="43">
        <v>0</v>
      </c>
      <c r="AG129" s="43"/>
      <c r="AH129" s="43">
        <f t="shared" si="2"/>
        <v>0</v>
      </c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</row>
    <row r="130" spans="1:66" s="4" customFormat="1" x14ac:dyDescent="0.2">
      <c r="A130" s="4">
        <v>182</v>
      </c>
      <c r="B130" s="4" t="s">
        <v>166</v>
      </c>
      <c r="D130" s="4" t="s">
        <v>156</v>
      </c>
      <c r="F130" s="43">
        <v>1134065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20959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29256</v>
      </c>
      <c r="S130" s="43">
        <v>0</v>
      </c>
      <c r="T130" s="43">
        <v>797</v>
      </c>
      <c r="U130" s="43">
        <v>0</v>
      </c>
      <c r="V130" s="43">
        <v>12607</v>
      </c>
      <c r="W130" s="43">
        <v>0</v>
      </c>
      <c r="X130" s="43">
        <v>0</v>
      </c>
      <c r="Y130" s="43">
        <v>0</v>
      </c>
      <c r="Z130" s="43">
        <v>7675</v>
      </c>
      <c r="AA130" s="43">
        <v>0</v>
      </c>
      <c r="AB130" s="43">
        <v>0</v>
      </c>
      <c r="AC130" s="43">
        <v>0</v>
      </c>
      <c r="AD130" s="43">
        <v>0</v>
      </c>
      <c r="AE130" s="43">
        <v>0</v>
      </c>
      <c r="AF130" s="43">
        <v>0</v>
      </c>
      <c r="AG130" s="43"/>
      <c r="AH130" s="43">
        <f t="shared" si="2"/>
        <v>1205359</v>
      </c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</row>
    <row r="131" spans="1:66" s="4" customFormat="1" hidden="1" x14ac:dyDescent="0.2">
      <c r="A131" s="4">
        <v>164</v>
      </c>
      <c r="B131" s="4" t="s">
        <v>335</v>
      </c>
      <c r="D131" s="4" t="s">
        <v>51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43">
        <v>0</v>
      </c>
      <c r="Y131" s="43">
        <v>0</v>
      </c>
      <c r="Z131" s="43">
        <v>0</v>
      </c>
      <c r="AA131" s="43">
        <v>0</v>
      </c>
      <c r="AB131" s="43">
        <v>0</v>
      </c>
      <c r="AC131" s="43">
        <v>0</v>
      </c>
      <c r="AD131" s="43">
        <v>0</v>
      </c>
      <c r="AE131" s="43">
        <v>0</v>
      </c>
      <c r="AF131" s="43">
        <v>0</v>
      </c>
      <c r="AG131" s="43"/>
      <c r="AH131" s="43">
        <f t="shared" si="2"/>
        <v>0</v>
      </c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</row>
    <row r="132" spans="1:66" s="4" customFormat="1" hidden="1" x14ac:dyDescent="0.2">
      <c r="A132" s="4">
        <v>115</v>
      </c>
      <c r="B132" s="4" t="s">
        <v>167</v>
      </c>
      <c r="D132" s="4" t="s">
        <v>168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0</v>
      </c>
      <c r="S132" s="43">
        <v>0</v>
      </c>
      <c r="T132" s="43">
        <v>0</v>
      </c>
      <c r="U132" s="43">
        <v>0</v>
      </c>
      <c r="V132" s="43">
        <v>0</v>
      </c>
      <c r="W132" s="43">
        <v>0</v>
      </c>
      <c r="X132" s="43">
        <v>0</v>
      </c>
      <c r="Y132" s="43">
        <v>0</v>
      </c>
      <c r="Z132" s="43">
        <v>0</v>
      </c>
      <c r="AA132" s="43">
        <v>0</v>
      </c>
      <c r="AB132" s="43">
        <v>0</v>
      </c>
      <c r="AC132" s="43">
        <v>0</v>
      </c>
      <c r="AD132" s="43">
        <v>0</v>
      </c>
      <c r="AE132" s="43">
        <v>0</v>
      </c>
      <c r="AF132" s="43">
        <v>0</v>
      </c>
      <c r="AG132" s="43"/>
      <c r="AH132" s="43">
        <f t="shared" si="2"/>
        <v>0</v>
      </c>
    </row>
    <row r="133" spans="1:66" s="4" customFormat="1" hidden="1" x14ac:dyDescent="0.2">
      <c r="A133" s="4">
        <v>173</v>
      </c>
      <c r="B133" s="4" t="s">
        <v>334</v>
      </c>
      <c r="D133" s="4" t="s">
        <v>57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3">
        <v>0</v>
      </c>
      <c r="X133" s="43">
        <v>0</v>
      </c>
      <c r="Y133" s="43">
        <v>0</v>
      </c>
      <c r="Z133" s="43">
        <v>0</v>
      </c>
      <c r="AA133" s="43">
        <v>0</v>
      </c>
      <c r="AB133" s="43">
        <v>0</v>
      </c>
      <c r="AC133" s="43">
        <v>0</v>
      </c>
      <c r="AD133" s="43">
        <v>0</v>
      </c>
      <c r="AE133" s="43">
        <v>0</v>
      </c>
      <c r="AF133" s="43">
        <v>0</v>
      </c>
      <c r="AG133" s="43"/>
      <c r="AH133" s="43">
        <f t="shared" si="2"/>
        <v>0</v>
      </c>
    </row>
    <row r="134" spans="1:66" s="4" customFormat="1" x14ac:dyDescent="0.2">
      <c r="A134" s="4">
        <v>205</v>
      </c>
      <c r="B134" s="4" t="s">
        <v>169</v>
      </c>
      <c r="D134" s="4" t="s">
        <v>43</v>
      </c>
      <c r="F134" s="43">
        <v>751361.94</v>
      </c>
      <c r="G134" s="43">
        <v>0</v>
      </c>
      <c r="H134" s="43">
        <v>30000</v>
      </c>
      <c r="I134" s="43">
        <v>0</v>
      </c>
      <c r="J134" s="43">
        <v>0</v>
      </c>
      <c r="K134" s="43">
        <v>0</v>
      </c>
      <c r="L134" s="43">
        <v>8967.2000000000007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10409.81</v>
      </c>
      <c r="S134" s="43">
        <v>0</v>
      </c>
      <c r="T134" s="43">
        <v>22260.49</v>
      </c>
      <c r="U134" s="43">
        <v>0</v>
      </c>
      <c r="V134" s="43">
        <v>21957.53</v>
      </c>
      <c r="W134" s="43">
        <v>0</v>
      </c>
      <c r="X134" s="43">
        <v>0</v>
      </c>
      <c r="Y134" s="43">
        <v>0</v>
      </c>
      <c r="Z134" s="43">
        <v>0</v>
      </c>
      <c r="AA134" s="43">
        <v>0</v>
      </c>
      <c r="AB134" s="43">
        <v>0</v>
      </c>
      <c r="AC134" s="43">
        <v>0</v>
      </c>
      <c r="AD134" s="43">
        <v>0</v>
      </c>
      <c r="AE134" s="43">
        <v>0</v>
      </c>
      <c r="AF134" s="43">
        <v>0</v>
      </c>
      <c r="AG134" s="43"/>
      <c r="AH134" s="43">
        <f t="shared" si="2"/>
        <v>844956.97</v>
      </c>
    </row>
    <row r="135" spans="1:66" s="4" customFormat="1" hidden="1" x14ac:dyDescent="0.2">
      <c r="A135" s="4">
        <v>191</v>
      </c>
      <c r="B135" s="4" t="s">
        <v>170</v>
      </c>
      <c r="D135" s="4" t="s">
        <v>171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/>
      <c r="AH135" s="43">
        <f t="shared" si="2"/>
        <v>0</v>
      </c>
    </row>
    <row r="136" spans="1:66" s="4" customFormat="1" hidden="1" x14ac:dyDescent="0.2">
      <c r="A136" s="4">
        <v>14</v>
      </c>
      <c r="B136" s="4" t="s">
        <v>172</v>
      </c>
      <c r="D136" s="4" t="s">
        <v>41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0</v>
      </c>
      <c r="AB136" s="43">
        <v>0</v>
      </c>
      <c r="AC136" s="43">
        <v>0</v>
      </c>
      <c r="AD136" s="43">
        <v>0</v>
      </c>
      <c r="AE136" s="43">
        <v>0</v>
      </c>
      <c r="AF136" s="43">
        <v>0</v>
      </c>
      <c r="AG136" s="43"/>
      <c r="AH136" s="43">
        <f t="shared" si="2"/>
        <v>0</v>
      </c>
    </row>
    <row r="137" spans="1:66" s="4" customFormat="1" hidden="1" x14ac:dyDescent="0.2">
      <c r="A137" s="4">
        <v>226</v>
      </c>
      <c r="B137" s="4" t="s">
        <v>173</v>
      </c>
      <c r="D137" s="4" t="s">
        <v>54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  <c r="X137" s="43">
        <v>0</v>
      </c>
      <c r="Y137" s="43">
        <v>0</v>
      </c>
      <c r="Z137" s="43">
        <v>0</v>
      </c>
      <c r="AA137" s="43">
        <v>0</v>
      </c>
      <c r="AB137" s="43">
        <v>0</v>
      </c>
      <c r="AC137" s="43">
        <v>0</v>
      </c>
      <c r="AD137" s="43">
        <v>0</v>
      </c>
      <c r="AE137" s="43">
        <v>0</v>
      </c>
      <c r="AF137" s="43">
        <v>0</v>
      </c>
      <c r="AG137" s="43"/>
      <c r="AH137" s="43">
        <f t="shared" si="2"/>
        <v>0</v>
      </c>
    </row>
    <row r="138" spans="1:66" s="4" customFormat="1" hidden="1" x14ac:dyDescent="0.2">
      <c r="A138" s="4">
        <v>124</v>
      </c>
      <c r="B138" s="4" t="s">
        <v>174</v>
      </c>
      <c r="D138" s="4" t="s">
        <v>13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43">
        <v>0</v>
      </c>
      <c r="AA138" s="43">
        <v>0</v>
      </c>
      <c r="AB138" s="43">
        <v>0</v>
      </c>
      <c r="AC138" s="43">
        <v>0</v>
      </c>
      <c r="AD138" s="43">
        <v>0</v>
      </c>
      <c r="AE138" s="43">
        <v>0</v>
      </c>
      <c r="AF138" s="43">
        <v>0</v>
      </c>
      <c r="AG138" s="43"/>
      <c r="AH138" s="43">
        <f t="shared" si="2"/>
        <v>0</v>
      </c>
    </row>
    <row r="139" spans="1:66" s="4" customFormat="1" x14ac:dyDescent="0.2">
      <c r="A139" s="4">
        <v>54</v>
      </c>
      <c r="B139" s="15" t="s">
        <v>429</v>
      </c>
      <c r="C139" s="15"/>
      <c r="D139" s="15" t="s">
        <v>17</v>
      </c>
      <c r="E139" s="15"/>
      <c r="F139" s="43">
        <v>1911237</v>
      </c>
      <c r="G139" s="43">
        <v>0</v>
      </c>
      <c r="H139" s="43">
        <v>0</v>
      </c>
      <c r="I139" s="43">
        <v>0</v>
      </c>
      <c r="J139" s="43">
        <v>1999543</v>
      </c>
      <c r="K139" s="43">
        <v>0</v>
      </c>
      <c r="L139" s="43">
        <v>128170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3">
        <v>3306</v>
      </c>
      <c r="S139" s="43">
        <v>0</v>
      </c>
      <c r="T139" s="43">
        <v>14331</v>
      </c>
      <c r="U139" s="43">
        <v>0</v>
      </c>
      <c r="V139" s="43">
        <v>6718</v>
      </c>
      <c r="W139" s="43">
        <v>0</v>
      </c>
      <c r="X139" s="43">
        <v>0</v>
      </c>
      <c r="Y139" s="43">
        <v>0</v>
      </c>
      <c r="Z139" s="43">
        <v>0</v>
      </c>
      <c r="AA139" s="43">
        <v>0</v>
      </c>
      <c r="AB139" s="43">
        <v>0</v>
      </c>
      <c r="AC139" s="43">
        <v>0</v>
      </c>
      <c r="AD139" s="43">
        <v>0</v>
      </c>
      <c r="AE139" s="43">
        <v>0</v>
      </c>
      <c r="AF139" s="43">
        <v>0</v>
      </c>
      <c r="AG139" s="43"/>
      <c r="AH139" s="43">
        <f t="shared" si="2"/>
        <v>4063305</v>
      </c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</row>
    <row r="140" spans="1:66" s="4" customFormat="1" x14ac:dyDescent="0.2">
      <c r="A140" s="4">
        <v>25</v>
      </c>
      <c r="B140" s="4" t="s">
        <v>7</v>
      </c>
      <c r="D140" s="4" t="s">
        <v>8</v>
      </c>
      <c r="F140" s="43">
        <v>2536653</v>
      </c>
      <c r="G140" s="43">
        <v>0</v>
      </c>
      <c r="H140" s="43">
        <v>0</v>
      </c>
      <c r="I140" s="43">
        <v>0</v>
      </c>
      <c r="J140" s="43">
        <v>4451527</v>
      </c>
      <c r="K140" s="43">
        <v>0</v>
      </c>
      <c r="L140" s="43">
        <v>193341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101529</v>
      </c>
      <c r="S140" s="43">
        <v>0</v>
      </c>
      <c r="T140" s="43">
        <v>305852</v>
      </c>
      <c r="U140" s="43">
        <v>0</v>
      </c>
      <c r="V140" s="43">
        <v>49603</v>
      </c>
      <c r="W140" s="43">
        <v>0</v>
      </c>
      <c r="X140" s="43">
        <v>0</v>
      </c>
      <c r="Y140" s="43">
        <v>0</v>
      </c>
      <c r="Z140" s="43">
        <v>1200000</v>
      </c>
      <c r="AA140" s="43">
        <v>0</v>
      </c>
      <c r="AB140" s="43">
        <v>0</v>
      </c>
      <c r="AC140" s="43">
        <v>0</v>
      </c>
      <c r="AD140" s="43">
        <v>0</v>
      </c>
      <c r="AE140" s="43">
        <v>0</v>
      </c>
      <c r="AF140" s="43">
        <v>0</v>
      </c>
      <c r="AG140" s="43"/>
      <c r="AH140" s="43">
        <f t="shared" ref="AH140:AH186" si="3">SUM(F140:AF140)</f>
        <v>8838505</v>
      </c>
    </row>
    <row r="141" spans="1:66" s="4" customFormat="1" hidden="1" x14ac:dyDescent="0.2">
      <c r="A141" s="4">
        <v>241</v>
      </c>
      <c r="B141" s="4" t="s">
        <v>175</v>
      </c>
      <c r="D141" s="4" t="s">
        <v>52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43">
        <v>0</v>
      </c>
      <c r="Y141" s="43">
        <v>0</v>
      </c>
      <c r="Z141" s="43">
        <v>0</v>
      </c>
      <c r="AA141" s="43">
        <v>0</v>
      </c>
      <c r="AB141" s="43">
        <v>0</v>
      </c>
      <c r="AC141" s="43">
        <v>0</v>
      </c>
      <c r="AD141" s="43">
        <v>0</v>
      </c>
      <c r="AE141" s="43">
        <v>0</v>
      </c>
      <c r="AF141" s="43">
        <v>0</v>
      </c>
      <c r="AG141" s="43"/>
      <c r="AH141" s="43">
        <f t="shared" si="3"/>
        <v>0</v>
      </c>
    </row>
    <row r="142" spans="1:66" s="4" customFormat="1" hidden="1" x14ac:dyDescent="0.2">
      <c r="A142" s="4">
        <v>41</v>
      </c>
      <c r="B142" s="4" t="s">
        <v>305</v>
      </c>
      <c r="D142" s="4" t="s">
        <v>49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3">
        <v>0</v>
      </c>
      <c r="Z142" s="43">
        <v>0</v>
      </c>
      <c r="AA142" s="43">
        <v>0</v>
      </c>
      <c r="AB142" s="43">
        <v>0</v>
      </c>
      <c r="AC142" s="43">
        <v>0</v>
      </c>
      <c r="AD142" s="43">
        <v>0</v>
      </c>
      <c r="AE142" s="43">
        <v>0</v>
      </c>
      <c r="AF142" s="43">
        <v>0</v>
      </c>
      <c r="AG142" s="43"/>
      <c r="AH142" s="43">
        <f t="shared" si="3"/>
        <v>0</v>
      </c>
    </row>
    <row r="143" spans="1:66" s="4" customFormat="1" hidden="1" x14ac:dyDescent="0.2">
      <c r="A143" s="4">
        <v>42</v>
      </c>
      <c r="B143" s="4" t="s">
        <v>176</v>
      </c>
      <c r="D143" s="4" t="s">
        <v>49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3">
        <v>0</v>
      </c>
      <c r="Z143" s="43">
        <v>0</v>
      </c>
      <c r="AA143" s="43">
        <v>0</v>
      </c>
      <c r="AB143" s="43">
        <v>0</v>
      </c>
      <c r="AC143" s="43">
        <v>0</v>
      </c>
      <c r="AD143" s="43">
        <v>0</v>
      </c>
      <c r="AE143" s="43">
        <v>0</v>
      </c>
      <c r="AF143" s="43">
        <v>0</v>
      </c>
      <c r="AG143" s="43"/>
      <c r="AH143" s="43">
        <f t="shared" si="3"/>
        <v>0</v>
      </c>
    </row>
    <row r="144" spans="1:66" s="4" customFormat="1" hidden="1" x14ac:dyDescent="0.2">
      <c r="A144" s="4">
        <v>104</v>
      </c>
      <c r="B144" s="4" t="s">
        <v>177</v>
      </c>
      <c r="D144" s="4" t="s">
        <v>58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3">
        <v>0</v>
      </c>
      <c r="Z144" s="43">
        <v>0</v>
      </c>
      <c r="AA144" s="43">
        <v>0</v>
      </c>
      <c r="AB144" s="43">
        <v>0</v>
      </c>
      <c r="AC144" s="43">
        <v>0</v>
      </c>
      <c r="AD144" s="43">
        <v>0</v>
      </c>
      <c r="AE144" s="43">
        <v>0</v>
      </c>
      <c r="AF144" s="43">
        <v>0</v>
      </c>
      <c r="AG144" s="43"/>
      <c r="AH144" s="43">
        <f t="shared" si="3"/>
        <v>0</v>
      </c>
    </row>
    <row r="145" spans="1:66" s="4" customFormat="1" x14ac:dyDescent="0.2">
      <c r="A145" s="4">
        <v>134</v>
      </c>
      <c r="B145" s="4" t="s">
        <v>558</v>
      </c>
      <c r="D145" s="4" t="s">
        <v>39</v>
      </c>
      <c r="F145" s="43">
        <v>2292378</v>
      </c>
      <c r="G145" s="43">
        <v>0</v>
      </c>
      <c r="H145" s="43">
        <v>2385731</v>
      </c>
      <c r="I145" s="43">
        <v>0</v>
      </c>
      <c r="J145" s="43">
        <v>5292</v>
      </c>
      <c r="K145" s="43">
        <v>0</v>
      </c>
      <c r="L145" s="43">
        <v>98611</v>
      </c>
      <c r="M145" s="43">
        <v>0</v>
      </c>
      <c r="N145" s="43">
        <v>0</v>
      </c>
      <c r="O145" s="43">
        <v>0</v>
      </c>
      <c r="P145" s="43">
        <v>822</v>
      </c>
      <c r="Q145" s="43">
        <v>0</v>
      </c>
      <c r="R145" s="43">
        <v>10861</v>
      </c>
      <c r="S145" s="43">
        <v>0</v>
      </c>
      <c r="T145" s="43">
        <v>3728</v>
      </c>
      <c r="U145" s="43">
        <v>0</v>
      </c>
      <c r="V145" s="43">
        <v>62757</v>
      </c>
      <c r="W145" s="43">
        <v>0</v>
      </c>
      <c r="X145" s="43">
        <v>0</v>
      </c>
      <c r="Y145" s="43">
        <v>0</v>
      </c>
      <c r="Z145" s="43">
        <v>650017</v>
      </c>
      <c r="AA145" s="43">
        <v>0</v>
      </c>
      <c r="AB145" s="43">
        <v>0</v>
      </c>
      <c r="AC145" s="43">
        <v>0</v>
      </c>
      <c r="AD145" s="43">
        <v>0</v>
      </c>
      <c r="AE145" s="43">
        <v>0</v>
      </c>
      <c r="AF145" s="43">
        <v>0</v>
      </c>
      <c r="AG145" s="43"/>
      <c r="AH145" s="43">
        <f t="shared" si="3"/>
        <v>5510197</v>
      </c>
    </row>
    <row r="146" spans="1:66" s="4" customFormat="1" x14ac:dyDescent="0.2">
      <c r="A146" s="4">
        <v>5</v>
      </c>
      <c r="B146" s="4" t="s">
        <v>178</v>
      </c>
      <c r="D146" s="4" t="s">
        <v>95</v>
      </c>
      <c r="F146" s="43">
        <v>0</v>
      </c>
      <c r="G146" s="43">
        <v>0</v>
      </c>
      <c r="H146" s="43">
        <v>2757362</v>
      </c>
      <c r="I146" s="43">
        <v>0</v>
      </c>
      <c r="J146" s="43">
        <v>500</v>
      </c>
      <c r="K146" s="43">
        <v>0</v>
      </c>
      <c r="L146" s="43">
        <v>56882</v>
      </c>
      <c r="M146" s="43">
        <v>0</v>
      </c>
      <c r="N146" s="43">
        <v>0</v>
      </c>
      <c r="O146" s="43">
        <v>0</v>
      </c>
      <c r="P146" s="43">
        <v>5790</v>
      </c>
      <c r="Q146" s="43">
        <v>0</v>
      </c>
      <c r="R146" s="43">
        <v>19328</v>
      </c>
      <c r="S146" s="43">
        <v>0</v>
      </c>
      <c r="T146" s="43">
        <v>12307</v>
      </c>
      <c r="U146" s="43">
        <v>0</v>
      </c>
      <c r="V146" s="43">
        <v>38616</v>
      </c>
      <c r="W146" s="43">
        <v>0</v>
      </c>
      <c r="X146" s="43">
        <v>9183</v>
      </c>
      <c r="Y146" s="43">
        <v>0</v>
      </c>
      <c r="Z146" s="43">
        <v>205800</v>
      </c>
      <c r="AA146" s="43">
        <v>0</v>
      </c>
      <c r="AB146" s="43">
        <v>0</v>
      </c>
      <c r="AC146" s="43">
        <v>0</v>
      </c>
      <c r="AD146" s="43">
        <v>0</v>
      </c>
      <c r="AE146" s="43">
        <v>0</v>
      </c>
      <c r="AF146" s="43">
        <v>0</v>
      </c>
      <c r="AG146" s="43"/>
      <c r="AH146" s="43">
        <f t="shared" si="3"/>
        <v>3105768</v>
      </c>
    </row>
    <row r="147" spans="1:66" s="4" customFormat="1" x14ac:dyDescent="0.2">
      <c r="A147" s="4">
        <v>5</v>
      </c>
      <c r="B147" s="4" t="s">
        <v>640</v>
      </c>
      <c r="D147" s="4" t="s">
        <v>95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157713.01999999999</v>
      </c>
      <c r="O147" s="43">
        <v>0</v>
      </c>
      <c r="P147" s="43">
        <v>0</v>
      </c>
      <c r="Q147" s="43">
        <v>0</v>
      </c>
      <c r="R147" s="43">
        <v>585</v>
      </c>
      <c r="S147" s="43">
        <v>0</v>
      </c>
      <c r="T147" s="43">
        <f>55202.94+26954.77+159575.93</f>
        <v>241733.64</v>
      </c>
      <c r="U147" s="43">
        <v>0</v>
      </c>
      <c r="V147" s="43">
        <v>0</v>
      </c>
      <c r="W147" s="43">
        <v>0</v>
      </c>
      <c r="X147" s="43">
        <v>0</v>
      </c>
      <c r="Y147" s="43">
        <v>0</v>
      </c>
      <c r="Z147" s="43">
        <v>0</v>
      </c>
      <c r="AA147" s="43">
        <v>0</v>
      </c>
      <c r="AB147" s="43">
        <v>0</v>
      </c>
      <c r="AC147" s="43">
        <v>0</v>
      </c>
      <c r="AD147" s="43">
        <v>0</v>
      </c>
      <c r="AE147" s="43">
        <v>0</v>
      </c>
      <c r="AF147" s="43">
        <v>0</v>
      </c>
      <c r="AG147" s="43"/>
      <c r="AH147" s="43">
        <f t="shared" si="3"/>
        <v>400031.66000000003</v>
      </c>
    </row>
    <row r="148" spans="1:66" s="4" customFormat="1" x14ac:dyDescent="0.2">
      <c r="A148" s="4">
        <v>139</v>
      </c>
      <c r="B148" s="4" t="s">
        <v>643</v>
      </c>
      <c r="D148" s="4" t="s">
        <v>85</v>
      </c>
      <c r="F148" s="43">
        <v>0</v>
      </c>
      <c r="G148" s="43">
        <v>0</v>
      </c>
      <c r="H148" s="43">
        <v>1126594</v>
      </c>
      <c r="I148" s="43">
        <v>0</v>
      </c>
      <c r="J148" s="43">
        <v>27528</v>
      </c>
      <c r="K148" s="43">
        <v>0</v>
      </c>
      <c r="L148" s="43">
        <v>15600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7634</v>
      </c>
      <c r="S148" s="43">
        <v>0</v>
      </c>
      <c r="T148" s="43">
        <v>5136</v>
      </c>
      <c r="U148" s="43">
        <v>0</v>
      </c>
      <c r="V148" s="43">
        <v>25472</v>
      </c>
      <c r="W148" s="43">
        <v>0</v>
      </c>
      <c r="X148" s="43">
        <v>0</v>
      </c>
      <c r="Y148" s="43">
        <v>0</v>
      </c>
      <c r="Z148" s="43">
        <v>0</v>
      </c>
      <c r="AA148" s="43">
        <v>0</v>
      </c>
      <c r="AB148" s="43">
        <v>0</v>
      </c>
      <c r="AC148" s="43">
        <v>0</v>
      </c>
      <c r="AD148" s="43">
        <v>0</v>
      </c>
      <c r="AE148" s="43">
        <v>0</v>
      </c>
      <c r="AF148" s="43">
        <v>0</v>
      </c>
      <c r="AG148" s="43"/>
      <c r="AH148" s="43">
        <f t="shared" si="3"/>
        <v>1207964</v>
      </c>
    </row>
    <row r="149" spans="1:66" s="4" customFormat="1" x14ac:dyDescent="0.2">
      <c r="A149" s="4">
        <v>108</v>
      </c>
      <c r="B149" s="4" t="s">
        <v>559</v>
      </c>
      <c r="D149" s="4" t="s">
        <v>179</v>
      </c>
      <c r="F149" s="43">
        <v>0</v>
      </c>
      <c r="G149" s="43">
        <v>0</v>
      </c>
      <c r="H149" s="43">
        <v>761167</v>
      </c>
      <c r="I149" s="43">
        <v>0</v>
      </c>
      <c r="J149" s="43">
        <v>0</v>
      </c>
      <c r="K149" s="43">
        <v>0</v>
      </c>
      <c r="L149" s="43">
        <v>34400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710</v>
      </c>
      <c r="S149" s="43">
        <v>0</v>
      </c>
      <c r="T149" s="43">
        <v>6124</v>
      </c>
      <c r="U149" s="43">
        <v>0</v>
      </c>
      <c r="V149" s="43">
        <v>19040</v>
      </c>
      <c r="W149" s="43">
        <v>0</v>
      </c>
      <c r="X149" s="43">
        <v>0</v>
      </c>
      <c r="Y149" s="43">
        <v>0</v>
      </c>
      <c r="Z149" s="43">
        <v>0</v>
      </c>
      <c r="AA149" s="43">
        <v>0</v>
      </c>
      <c r="AB149" s="43">
        <v>0</v>
      </c>
      <c r="AC149" s="43">
        <v>0</v>
      </c>
      <c r="AD149" s="43">
        <v>0</v>
      </c>
      <c r="AE149" s="43">
        <v>0</v>
      </c>
      <c r="AF149" s="43">
        <v>0</v>
      </c>
      <c r="AG149" s="43"/>
      <c r="AH149" s="43">
        <f t="shared" si="3"/>
        <v>821441</v>
      </c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</row>
    <row r="150" spans="1:66" s="4" customFormat="1" x14ac:dyDescent="0.2">
      <c r="A150" s="4">
        <v>149</v>
      </c>
      <c r="B150" s="4" t="s">
        <v>9</v>
      </c>
      <c r="D150" s="4" t="s">
        <v>10</v>
      </c>
      <c r="F150" s="43">
        <v>357881</v>
      </c>
      <c r="G150" s="43">
        <v>0</v>
      </c>
      <c r="H150" s="43">
        <v>462479</v>
      </c>
      <c r="I150" s="43">
        <v>0</v>
      </c>
      <c r="J150" s="43">
        <v>16157</v>
      </c>
      <c r="K150" s="43">
        <v>0</v>
      </c>
      <c r="L150" s="43">
        <v>24705</v>
      </c>
      <c r="M150" s="43">
        <v>0</v>
      </c>
      <c r="N150" s="43">
        <v>0</v>
      </c>
      <c r="O150" s="43">
        <v>0</v>
      </c>
      <c r="P150" s="43">
        <v>1245</v>
      </c>
      <c r="Q150" s="43">
        <v>0</v>
      </c>
      <c r="R150" s="43">
        <v>3982</v>
      </c>
      <c r="S150" s="43">
        <v>0</v>
      </c>
      <c r="T150" s="43">
        <v>10735</v>
      </c>
      <c r="U150" s="43">
        <v>0</v>
      </c>
      <c r="V150" s="43">
        <v>3791</v>
      </c>
      <c r="W150" s="43">
        <v>0</v>
      </c>
      <c r="X150" s="43">
        <v>0</v>
      </c>
      <c r="Y150" s="43">
        <v>0</v>
      </c>
      <c r="Z150" s="43">
        <v>100000</v>
      </c>
      <c r="AA150" s="43">
        <v>0</v>
      </c>
      <c r="AB150" s="43">
        <v>0</v>
      </c>
      <c r="AC150" s="43">
        <v>0</v>
      </c>
      <c r="AD150" s="43">
        <v>0</v>
      </c>
      <c r="AE150" s="43">
        <v>0</v>
      </c>
      <c r="AF150" s="43">
        <v>0</v>
      </c>
      <c r="AG150" s="43"/>
      <c r="AH150" s="43">
        <f t="shared" si="3"/>
        <v>980975</v>
      </c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</row>
    <row r="151" spans="1:66" s="4" customFormat="1" x14ac:dyDescent="0.2">
      <c r="A151" s="4">
        <v>145</v>
      </c>
      <c r="B151" s="4" t="s">
        <v>180</v>
      </c>
      <c r="D151" s="4" t="s">
        <v>55</v>
      </c>
      <c r="F151" s="43">
        <v>4175641</v>
      </c>
      <c r="G151" s="43">
        <v>0</v>
      </c>
      <c r="H151" s="43">
        <v>0</v>
      </c>
      <c r="I151" s="43">
        <v>0</v>
      </c>
      <c r="J151" s="43">
        <v>4315326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141119</v>
      </c>
      <c r="Q151" s="43">
        <v>0</v>
      </c>
      <c r="R151" s="43">
        <f>97281+493</f>
        <v>97774</v>
      </c>
      <c r="S151" s="43">
        <v>0</v>
      </c>
      <c r="T151" s="43">
        <v>19889</v>
      </c>
      <c r="U151" s="43">
        <v>0</v>
      </c>
      <c r="V151" s="43">
        <v>12494</v>
      </c>
      <c r="W151" s="43">
        <v>0</v>
      </c>
      <c r="X151" s="43">
        <v>0</v>
      </c>
      <c r="Y151" s="43">
        <v>0</v>
      </c>
      <c r="Z151" s="43">
        <v>0</v>
      </c>
      <c r="AA151" s="43">
        <v>0</v>
      </c>
      <c r="AB151" s="43">
        <v>0</v>
      </c>
      <c r="AC151" s="43">
        <v>0</v>
      </c>
      <c r="AD151" s="43">
        <v>1381521</v>
      </c>
      <c r="AE151" s="43">
        <v>0</v>
      </c>
      <c r="AF151" s="43">
        <v>0</v>
      </c>
      <c r="AG151" s="43"/>
      <c r="AH151" s="43">
        <f t="shared" si="3"/>
        <v>10143764</v>
      </c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</row>
    <row r="152" spans="1:66" s="4" customFormat="1" x14ac:dyDescent="0.2">
      <c r="A152" s="4">
        <v>7</v>
      </c>
      <c r="B152" s="4" t="s">
        <v>181</v>
      </c>
      <c r="D152" s="4" t="s">
        <v>81</v>
      </c>
      <c r="F152" s="43">
        <v>0</v>
      </c>
      <c r="G152" s="43">
        <v>0</v>
      </c>
      <c r="H152" s="43">
        <v>526631</v>
      </c>
      <c r="I152" s="43">
        <v>0</v>
      </c>
      <c r="J152" s="43">
        <v>1134</v>
      </c>
      <c r="K152" s="43">
        <v>0</v>
      </c>
      <c r="L152" s="43">
        <v>12364</v>
      </c>
      <c r="M152" s="43">
        <v>0</v>
      </c>
      <c r="N152" s="43">
        <v>0</v>
      </c>
      <c r="O152" s="43">
        <v>0</v>
      </c>
      <c r="P152" s="43">
        <v>372</v>
      </c>
      <c r="Q152" s="43">
        <v>0</v>
      </c>
      <c r="R152" s="43">
        <v>61925</v>
      </c>
      <c r="S152" s="43">
        <v>0</v>
      </c>
      <c r="T152" s="43">
        <v>1065</v>
      </c>
      <c r="U152" s="43">
        <v>0</v>
      </c>
      <c r="V152" s="43">
        <v>2274</v>
      </c>
      <c r="W152" s="43">
        <v>0</v>
      </c>
      <c r="X152" s="43">
        <v>0</v>
      </c>
      <c r="Y152" s="43">
        <v>0</v>
      </c>
      <c r="Z152" s="43">
        <v>0</v>
      </c>
      <c r="AA152" s="43">
        <v>0</v>
      </c>
      <c r="AB152" s="43">
        <v>0</v>
      </c>
      <c r="AC152" s="43">
        <v>0</v>
      </c>
      <c r="AD152" s="43">
        <v>0</v>
      </c>
      <c r="AE152" s="43">
        <v>0</v>
      </c>
      <c r="AF152" s="43">
        <v>0</v>
      </c>
      <c r="AG152" s="43"/>
      <c r="AH152" s="43">
        <f t="shared" si="3"/>
        <v>605765</v>
      </c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</row>
    <row r="153" spans="1:66" s="4" customFormat="1" hidden="1" x14ac:dyDescent="0.2">
      <c r="A153" s="4">
        <v>210</v>
      </c>
      <c r="B153" s="4" t="s">
        <v>306</v>
      </c>
      <c r="D153" s="4" t="s">
        <v>23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3">
        <v>0</v>
      </c>
      <c r="X153" s="43">
        <v>0</v>
      </c>
      <c r="Y153" s="43">
        <v>0</v>
      </c>
      <c r="Z153" s="43">
        <v>0</v>
      </c>
      <c r="AA153" s="43">
        <v>0</v>
      </c>
      <c r="AB153" s="43">
        <v>0</v>
      </c>
      <c r="AC153" s="43">
        <v>0</v>
      </c>
      <c r="AD153" s="43">
        <v>0</v>
      </c>
      <c r="AE153" s="43">
        <v>0</v>
      </c>
      <c r="AF153" s="43">
        <v>0</v>
      </c>
      <c r="AG153" s="43"/>
      <c r="AH153" s="43">
        <f t="shared" si="3"/>
        <v>0</v>
      </c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</row>
    <row r="154" spans="1:66" s="4" customFormat="1" x14ac:dyDescent="0.2">
      <c r="A154" s="4">
        <v>125</v>
      </c>
      <c r="B154" s="4" t="s">
        <v>182</v>
      </c>
      <c r="D154" s="4" t="s">
        <v>13</v>
      </c>
      <c r="F154" s="43">
        <v>688539</v>
      </c>
      <c r="G154" s="43">
        <v>0</v>
      </c>
      <c r="H154" s="43">
        <v>558433</v>
      </c>
      <c r="I154" s="43">
        <v>0</v>
      </c>
      <c r="J154" s="43">
        <v>103732</v>
      </c>
      <c r="K154" s="43">
        <v>0</v>
      </c>
      <c r="L154" s="43">
        <v>41264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v>7229</v>
      </c>
      <c r="S154" s="43">
        <v>0</v>
      </c>
      <c r="T154" s="43">
        <v>2121</v>
      </c>
      <c r="U154" s="43">
        <v>0</v>
      </c>
      <c r="V154" s="43">
        <v>8143</v>
      </c>
      <c r="W154" s="43">
        <v>0</v>
      </c>
      <c r="X154" s="43">
        <v>0</v>
      </c>
      <c r="Y154" s="43">
        <v>0</v>
      </c>
      <c r="Z154" s="43">
        <v>0</v>
      </c>
      <c r="AA154" s="43">
        <v>0</v>
      </c>
      <c r="AB154" s="43">
        <v>0</v>
      </c>
      <c r="AC154" s="43">
        <v>0</v>
      </c>
      <c r="AD154" s="43">
        <v>0</v>
      </c>
      <c r="AE154" s="43">
        <v>0</v>
      </c>
      <c r="AF154" s="43">
        <v>0</v>
      </c>
      <c r="AG154" s="43"/>
      <c r="AH154" s="43">
        <f t="shared" si="3"/>
        <v>1409461</v>
      </c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</row>
    <row r="155" spans="1:66" s="4" customFormat="1" x14ac:dyDescent="0.2">
      <c r="A155" s="4">
        <v>197</v>
      </c>
      <c r="B155" s="4" t="s">
        <v>586</v>
      </c>
      <c r="D155" s="4" t="s">
        <v>183</v>
      </c>
      <c r="F155" s="43">
        <v>3195888</v>
      </c>
      <c r="G155" s="43">
        <v>0</v>
      </c>
      <c r="H155" s="43">
        <v>339802</v>
      </c>
      <c r="I155" s="43">
        <v>0</v>
      </c>
      <c r="J155" s="43">
        <v>438610</v>
      </c>
      <c r="K155" s="43">
        <v>0</v>
      </c>
      <c r="L155" s="43">
        <v>214019</v>
      </c>
      <c r="M155" s="43">
        <v>0</v>
      </c>
      <c r="N155" s="43">
        <v>0</v>
      </c>
      <c r="O155" s="43">
        <v>0</v>
      </c>
      <c r="P155" s="43">
        <v>20000</v>
      </c>
      <c r="Q155" s="43">
        <v>0</v>
      </c>
      <c r="R155" s="43">
        <v>32855</v>
      </c>
      <c r="S155" s="43">
        <v>0</v>
      </c>
      <c r="T155" s="43">
        <v>17293</v>
      </c>
      <c r="U155" s="43">
        <v>0</v>
      </c>
      <c r="V155" s="43">
        <v>151700</v>
      </c>
      <c r="W155" s="43">
        <v>0</v>
      </c>
      <c r="X155" s="43">
        <v>0</v>
      </c>
      <c r="Y155" s="43">
        <v>0</v>
      </c>
      <c r="Z155" s="43">
        <v>235000</v>
      </c>
      <c r="AA155" s="43">
        <v>0</v>
      </c>
      <c r="AB155" s="43">
        <v>0</v>
      </c>
      <c r="AC155" s="43">
        <v>0</v>
      </c>
      <c r="AD155" s="43">
        <v>0</v>
      </c>
      <c r="AE155" s="43">
        <v>0</v>
      </c>
      <c r="AF155" s="43">
        <v>0</v>
      </c>
      <c r="AG155" s="43"/>
      <c r="AH155" s="43">
        <f t="shared" si="3"/>
        <v>4645167</v>
      </c>
    </row>
    <row r="156" spans="1:66" s="4" customFormat="1" hidden="1" x14ac:dyDescent="0.2">
      <c r="A156" s="4">
        <v>195</v>
      </c>
      <c r="B156" s="4" t="s">
        <v>184</v>
      </c>
      <c r="D156" s="4" t="s">
        <v>100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3">
        <v>0</v>
      </c>
      <c r="Z156" s="43">
        <v>0</v>
      </c>
      <c r="AA156" s="43">
        <v>0</v>
      </c>
      <c r="AB156" s="43">
        <v>0</v>
      </c>
      <c r="AC156" s="43">
        <v>0</v>
      </c>
      <c r="AD156" s="43">
        <v>0</v>
      </c>
      <c r="AE156" s="43">
        <v>0</v>
      </c>
      <c r="AF156" s="43">
        <v>0</v>
      </c>
      <c r="AG156" s="43"/>
      <c r="AH156" s="43">
        <f t="shared" si="3"/>
        <v>0</v>
      </c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</row>
    <row r="157" spans="1:66" s="4" customFormat="1" x14ac:dyDescent="0.2">
      <c r="A157" s="4">
        <v>154</v>
      </c>
      <c r="B157" s="4" t="s">
        <v>185</v>
      </c>
      <c r="D157" s="4" t="s">
        <v>186</v>
      </c>
      <c r="F157" s="43">
        <v>0</v>
      </c>
      <c r="G157" s="43">
        <v>0</v>
      </c>
      <c r="H157" s="43">
        <v>1843987</v>
      </c>
      <c r="I157" s="43">
        <v>0</v>
      </c>
      <c r="J157" s="43">
        <v>12438</v>
      </c>
      <c r="K157" s="43">
        <v>0</v>
      </c>
      <c r="L157" s="43">
        <v>38977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9804</v>
      </c>
      <c r="S157" s="43">
        <v>0</v>
      </c>
      <c r="T157" s="43">
        <v>144669</v>
      </c>
      <c r="U157" s="43">
        <v>0</v>
      </c>
      <c r="V157" s="43">
        <v>12060</v>
      </c>
      <c r="W157" s="43">
        <v>0</v>
      </c>
      <c r="X157" s="43">
        <v>0</v>
      </c>
      <c r="Y157" s="43">
        <v>0</v>
      </c>
      <c r="Z157" s="43">
        <v>0</v>
      </c>
      <c r="AA157" s="43">
        <v>0</v>
      </c>
      <c r="AB157" s="43">
        <v>0</v>
      </c>
      <c r="AC157" s="43">
        <v>0</v>
      </c>
      <c r="AD157" s="43">
        <v>0</v>
      </c>
      <c r="AE157" s="43">
        <v>0</v>
      </c>
      <c r="AF157" s="43">
        <v>0</v>
      </c>
      <c r="AG157" s="43"/>
      <c r="AH157" s="43">
        <f t="shared" si="3"/>
        <v>2061935</v>
      </c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</row>
    <row r="158" spans="1:66" s="7" customFormat="1" hidden="1" x14ac:dyDescent="0.2">
      <c r="A158" s="7">
        <v>21</v>
      </c>
      <c r="B158" s="7" t="s">
        <v>422</v>
      </c>
      <c r="D158" s="7" t="s">
        <v>11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0</v>
      </c>
      <c r="Z158" s="43">
        <v>0</v>
      </c>
      <c r="AA158" s="43">
        <v>0</v>
      </c>
      <c r="AB158" s="43">
        <v>0</v>
      </c>
      <c r="AC158" s="43">
        <v>0</v>
      </c>
      <c r="AD158" s="43">
        <v>0</v>
      </c>
      <c r="AE158" s="43">
        <v>0</v>
      </c>
      <c r="AF158" s="43">
        <v>0</v>
      </c>
      <c r="AG158" s="43"/>
      <c r="AH158" s="43">
        <f t="shared" si="3"/>
        <v>0</v>
      </c>
    </row>
    <row r="159" spans="1:66" s="7" customFormat="1" hidden="1" x14ac:dyDescent="0.2">
      <c r="A159" s="4">
        <v>198</v>
      </c>
      <c r="B159" s="4" t="s">
        <v>187</v>
      </c>
      <c r="C159" s="4"/>
      <c r="D159" s="4" t="s">
        <v>183</v>
      </c>
      <c r="E159" s="4"/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0</v>
      </c>
      <c r="V159" s="43">
        <v>0</v>
      </c>
      <c r="W159" s="43">
        <v>0</v>
      </c>
      <c r="X159" s="43">
        <v>0</v>
      </c>
      <c r="Y159" s="43">
        <v>0</v>
      </c>
      <c r="Z159" s="43">
        <v>0</v>
      </c>
      <c r="AA159" s="43">
        <v>0</v>
      </c>
      <c r="AB159" s="43">
        <v>0</v>
      </c>
      <c r="AC159" s="43">
        <v>0</v>
      </c>
      <c r="AD159" s="43">
        <v>0</v>
      </c>
      <c r="AE159" s="43">
        <v>0</v>
      </c>
      <c r="AF159" s="43">
        <v>0</v>
      </c>
      <c r="AG159" s="43"/>
      <c r="AH159" s="43">
        <f t="shared" si="3"/>
        <v>0</v>
      </c>
    </row>
    <row r="160" spans="1:66" s="4" customFormat="1" hidden="1" x14ac:dyDescent="0.2">
      <c r="A160" s="4">
        <v>242</v>
      </c>
      <c r="B160" s="4" t="s">
        <v>188</v>
      </c>
      <c r="D160" s="4" t="s">
        <v>52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0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43">
        <v>0</v>
      </c>
      <c r="AA160" s="43">
        <v>0</v>
      </c>
      <c r="AB160" s="43">
        <v>0</v>
      </c>
      <c r="AC160" s="43">
        <v>0</v>
      </c>
      <c r="AD160" s="43">
        <v>0</v>
      </c>
      <c r="AE160" s="43">
        <v>0</v>
      </c>
      <c r="AF160" s="43">
        <v>0</v>
      </c>
      <c r="AG160" s="43"/>
      <c r="AH160" s="43">
        <f t="shared" si="3"/>
        <v>0</v>
      </c>
    </row>
    <row r="161" spans="1:66" s="4" customFormat="1" hidden="1" x14ac:dyDescent="0.2">
      <c r="A161" s="4">
        <v>99</v>
      </c>
      <c r="B161" s="4" t="s">
        <v>189</v>
      </c>
      <c r="D161" s="4" t="s">
        <v>59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3">
        <v>0</v>
      </c>
      <c r="Z161" s="43">
        <v>0</v>
      </c>
      <c r="AA161" s="43">
        <v>0</v>
      </c>
      <c r="AB161" s="43">
        <v>0</v>
      </c>
      <c r="AC161" s="43">
        <v>0</v>
      </c>
      <c r="AD161" s="43">
        <v>0</v>
      </c>
      <c r="AE161" s="43">
        <v>0</v>
      </c>
      <c r="AF161" s="43">
        <v>0</v>
      </c>
      <c r="AG161" s="43"/>
      <c r="AH161" s="43">
        <f t="shared" si="3"/>
        <v>0</v>
      </c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</row>
    <row r="162" spans="1:66" s="4" customFormat="1" x14ac:dyDescent="0.2">
      <c r="A162" s="4">
        <v>237</v>
      </c>
      <c r="B162" s="4" t="s">
        <v>190</v>
      </c>
      <c r="D162" s="4" t="s">
        <v>191</v>
      </c>
      <c r="F162" s="43">
        <v>605713</v>
      </c>
      <c r="G162" s="43">
        <v>0</v>
      </c>
      <c r="H162" s="43">
        <v>617541</v>
      </c>
      <c r="I162" s="43">
        <v>0</v>
      </c>
      <c r="J162" s="43">
        <v>239834</v>
      </c>
      <c r="K162" s="43">
        <v>0</v>
      </c>
      <c r="L162" s="43">
        <v>63454</v>
      </c>
      <c r="M162" s="43">
        <v>0</v>
      </c>
      <c r="N162" s="43">
        <v>0</v>
      </c>
      <c r="O162" s="43">
        <v>0</v>
      </c>
      <c r="P162" s="43">
        <v>0</v>
      </c>
      <c r="Q162" s="43">
        <v>0</v>
      </c>
      <c r="R162" s="43">
        <v>13643</v>
      </c>
      <c r="S162" s="43">
        <v>0</v>
      </c>
      <c r="T162" s="43">
        <v>776</v>
      </c>
      <c r="U162" s="43">
        <v>0</v>
      </c>
      <c r="V162" s="43">
        <v>0</v>
      </c>
      <c r="W162" s="43">
        <v>0</v>
      </c>
      <c r="X162" s="43">
        <v>0</v>
      </c>
      <c r="Y162" s="43">
        <v>0</v>
      </c>
      <c r="Z162" s="43">
        <v>0</v>
      </c>
      <c r="AA162" s="43">
        <v>0</v>
      </c>
      <c r="AB162" s="43">
        <v>0</v>
      </c>
      <c r="AC162" s="43">
        <v>0</v>
      </c>
      <c r="AD162" s="43">
        <v>0</v>
      </c>
      <c r="AE162" s="43">
        <v>0</v>
      </c>
      <c r="AF162" s="43">
        <v>0</v>
      </c>
      <c r="AG162" s="43"/>
      <c r="AH162" s="43">
        <f t="shared" si="3"/>
        <v>1540961</v>
      </c>
    </row>
    <row r="163" spans="1:66" s="4" customFormat="1" hidden="1" x14ac:dyDescent="0.2">
      <c r="A163" s="4">
        <v>243</v>
      </c>
      <c r="B163" s="4" t="s">
        <v>192</v>
      </c>
      <c r="D163" s="4" t="s">
        <v>52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43">
        <v>0</v>
      </c>
      <c r="Y163" s="43">
        <v>0</v>
      </c>
      <c r="Z163" s="43">
        <v>0</v>
      </c>
      <c r="AA163" s="43">
        <v>0</v>
      </c>
      <c r="AB163" s="43">
        <v>0</v>
      </c>
      <c r="AC163" s="43">
        <v>0</v>
      </c>
      <c r="AD163" s="43">
        <v>0</v>
      </c>
      <c r="AE163" s="43">
        <v>0</v>
      </c>
      <c r="AF163" s="43">
        <v>0</v>
      </c>
      <c r="AG163" s="43"/>
      <c r="AH163" s="43">
        <f t="shared" si="3"/>
        <v>0</v>
      </c>
    </row>
    <row r="164" spans="1:66" s="4" customFormat="1" x14ac:dyDescent="0.2">
      <c r="A164" s="4">
        <v>211</v>
      </c>
      <c r="B164" s="4" t="s">
        <v>451</v>
      </c>
      <c r="D164" s="4" t="s">
        <v>23</v>
      </c>
      <c r="F164" s="43">
        <v>799227</v>
      </c>
      <c r="G164" s="43">
        <v>0</v>
      </c>
      <c r="H164" s="43">
        <v>1241060</v>
      </c>
      <c r="I164" s="43">
        <v>0</v>
      </c>
      <c r="J164" s="43">
        <v>124343</v>
      </c>
      <c r="K164" s="43">
        <v>0</v>
      </c>
      <c r="L164" s="43">
        <v>44469</v>
      </c>
      <c r="M164" s="43">
        <v>0</v>
      </c>
      <c r="N164" s="43">
        <v>0</v>
      </c>
      <c r="O164" s="43">
        <v>0</v>
      </c>
      <c r="P164" s="43">
        <v>0</v>
      </c>
      <c r="Q164" s="43">
        <v>0</v>
      </c>
      <c r="R164" s="43">
        <v>11406</v>
      </c>
      <c r="S164" s="43">
        <v>0</v>
      </c>
      <c r="T164" s="43">
        <v>892</v>
      </c>
      <c r="U164" s="43">
        <v>0</v>
      </c>
      <c r="V164" s="43">
        <v>17452</v>
      </c>
      <c r="W164" s="43">
        <v>0</v>
      </c>
      <c r="X164" s="43">
        <v>0</v>
      </c>
      <c r="Y164" s="43">
        <v>0</v>
      </c>
      <c r="Z164" s="43">
        <v>30000</v>
      </c>
      <c r="AA164" s="43">
        <v>0</v>
      </c>
      <c r="AB164" s="43">
        <v>0</v>
      </c>
      <c r="AC164" s="43">
        <v>0</v>
      </c>
      <c r="AD164" s="43">
        <v>0</v>
      </c>
      <c r="AE164" s="43">
        <v>0</v>
      </c>
      <c r="AF164" s="43">
        <v>0</v>
      </c>
      <c r="AG164" s="43"/>
      <c r="AH164" s="43">
        <f t="shared" si="3"/>
        <v>2268849</v>
      </c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</row>
    <row r="165" spans="1:66" s="4" customFormat="1" hidden="1" x14ac:dyDescent="0.2">
      <c r="A165" s="4">
        <v>94</v>
      </c>
      <c r="B165" s="4" t="s">
        <v>336</v>
      </c>
      <c r="D165" s="4" t="s">
        <v>137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43">
        <v>0</v>
      </c>
      <c r="Y165" s="43">
        <v>0</v>
      </c>
      <c r="Z165" s="43">
        <v>0</v>
      </c>
      <c r="AA165" s="43">
        <v>0</v>
      </c>
      <c r="AB165" s="43">
        <v>0</v>
      </c>
      <c r="AC165" s="43">
        <v>0</v>
      </c>
      <c r="AD165" s="43">
        <v>0</v>
      </c>
      <c r="AE165" s="43">
        <v>0</v>
      </c>
      <c r="AF165" s="43">
        <v>0</v>
      </c>
      <c r="AG165" s="43"/>
      <c r="AH165" s="43">
        <f t="shared" si="3"/>
        <v>0</v>
      </c>
    </row>
    <row r="166" spans="1:66" s="4" customFormat="1" x14ac:dyDescent="0.2">
      <c r="A166" s="4">
        <v>227</v>
      </c>
      <c r="B166" s="4" t="s">
        <v>431</v>
      </c>
      <c r="D166" s="4" t="s">
        <v>54</v>
      </c>
      <c r="F166" s="43">
        <v>300672</v>
      </c>
      <c r="G166" s="43">
        <v>0</v>
      </c>
      <c r="H166" s="43">
        <v>812363</v>
      </c>
      <c r="I166" s="43">
        <v>0</v>
      </c>
      <c r="J166" s="43">
        <v>59515</v>
      </c>
      <c r="K166" s="43">
        <v>0</v>
      </c>
      <c r="L166" s="43">
        <v>20872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2747</v>
      </c>
      <c r="S166" s="43">
        <v>0</v>
      </c>
      <c r="T166" s="43">
        <v>4259</v>
      </c>
      <c r="U166" s="43">
        <v>0</v>
      </c>
      <c r="V166" s="43">
        <v>16172</v>
      </c>
      <c r="W166" s="43">
        <v>0</v>
      </c>
      <c r="X166" s="43">
        <v>0</v>
      </c>
      <c r="Y166" s="43">
        <v>0</v>
      </c>
      <c r="Z166" s="43">
        <v>0</v>
      </c>
      <c r="AA166" s="43">
        <v>0</v>
      </c>
      <c r="AB166" s="43">
        <v>38782</v>
      </c>
      <c r="AC166" s="43">
        <v>0</v>
      </c>
      <c r="AD166" s="43">
        <v>0</v>
      </c>
      <c r="AE166" s="43">
        <v>0</v>
      </c>
      <c r="AF166" s="43">
        <v>0</v>
      </c>
      <c r="AG166" s="43"/>
      <c r="AH166" s="43">
        <f t="shared" si="3"/>
        <v>1255382</v>
      </c>
    </row>
    <row r="167" spans="1:66" s="4" customFormat="1" hidden="1" x14ac:dyDescent="0.2">
      <c r="A167" s="4">
        <v>29</v>
      </c>
      <c r="B167" s="4" t="s">
        <v>194</v>
      </c>
      <c r="D167" s="4" t="s">
        <v>60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3">
        <v>0</v>
      </c>
      <c r="Z167" s="43">
        <v>0</v>
      </c>
      <c r="AA167" s="43">
        <v>0</v>
      </c>
      <c r="AB167" s="43">
        <v>0</v>
      </c>
      <c r="AC167" s="43">
        <v>0</v>
      </c>
      <c r="AD167" s="43">
        <v>0</v>
      </c>
      <c r="AE167" s="43">
        <v>0</v>
      </c>
      <c r="AF167" s="43">
        <v>0</v>
      </c>
      <c r="AG167" s="43"/>
      <c r="AH167" s="43">
        <f t="shared" si="3"/>
        <v>0</v>
      </c>
    </row>
    <row r="168" spans="1:66" s="4" customFormat="1" x14ac:dyDescent="0.2">
      <c r="A168" s="4">
        <v>156</v>
      </c>
      <c r="B168" s="4" t="s">
        <v>587</v>
      </c>
      <c r="D168" s="4" t="s">
        <v>18</v>
      </c>
      <c r="F168" s="43">
        <v>7058409</v>
      </c>
      <c r="G168" s="43">
        <v>0</v>
      </c>
      <c r="H168" s="43">
        <f>3039678+3934</f>
        <v>3043612</v>
      </c>
      <c r="I168" s="43">
        <v>0</v>
      </c>
      <c r="J168" s="43">
        <v>962624</v>
      </c>
      <c r="K168" s="43">
        <v>0</v>
      </c>
      <c r="L168" s="43">
        <v>311013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38638</v>
      </c>
      <c r="S168" s="43">
        <v>0</v>
      </c>
      <c r="T168" s="43">
        <v>30629</v>
      </c>
      <c r="U168" s="43">
        <v>0</v>
      </c>
      <c r="V168" s="43">
        <v>58062</v>
      </c>
      <c r="W168" s="43">
        <v>0</v>
      </c>
      <c r="X168" s="43">
        <v>0</v>
      </c>
      <c r="Y168" s="43">
        <v>0</v>
      </c>
      <c r="Z168" s="43">
        <v>0</v>
      </c>
      <c r="AA168" s="43">
        <v>0</v>
      </c>
      <c r="AB168" s="43">
        <v>0</v>
      </c>
      <c r="AC168" s="43">
        <v>0</v>
      </c>
      <c r="AD168" s="43">
        <v>0</v>
      </c>
      <c r="AE168" s="43">
        <v>0</v>
      </c>
      <c r="AF168" s="43">
        <v>0</v>
      </c>
      <c r="AG168" s="43"/>
      <c r="AH168" s="43">
        <f t="shared" si="3"/>
        <v>11502987</v>
      </c>
    </row>
    <row r="169" spans="1:66" s="4" customFormat="1" hidden="1" x14ac:dyDescent="0.2">
      <c r="A169" s="4">
        <v>157</v>
      </c>
      <c r="B169" s="4" t="s">
        <v>481</v>
      </c>
      <c r="D169" s="4" t="s">
        <v>424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3">
        <v>0</v>
      </c>
      <c r="Z169" s="43">
        <v>0</v>
      </c>
      <c r="AA169" s="43">
        <v>0</v>
      </c>
      <c r="AB169" s="43">
        <v>0</v>
      </c>
      <c r="AC169" s="43">
        <v>0</v>
      </c>
      <c r="AD169" s="43">
        <v>0</v>
      </c>
      <c r="AE169" s="43">
        <v>0</v>
      </c>
      <c r="AF169" s="43">
        <v>0</v>
      </c>
      <c r="AG169" s="43"/>
      <c r="AH169" s="43">
        <f t="shared" si="3"/>
        <v>0</v>
      </c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</row>
    <row r="170" spans="1:66" s="4" customFormat="1" x14ac:dyDescent="0.2">
      <c r="A170" s="4">
        <v>126</v>
      </c>
      <c r="B170" s="4" t="s">
        <v>12</v>
      </c>
      <c r="D170" s="4" t="s">
        <v>13</v>
      </c>
      <c r="F170" s="43">
        <v>2047953</v>
      </c>
      <c r="G170" s="43">
        <v>0</v>
      </c>
      <c r="H170" s="43">
        <v>1479778</v>
      </c>
      <c r="I170" s="43">
        <v>0</v>
      </c>
      <c r="J170" s="43">
        <v>1458</v>
      </c>
      <c r="K170" s="43">
        <v>0</v>
      </c>
      <c r="L170" s="43">
        <v>118199</v>
      </c>
      <c r="M170" s="43">
        <v>0</v>
      </c>
      <c r="N170" s="43">
        <v>0</v>
      </c>
      <c r="O170" s="43">
        <v>0</v>
      </c>
      <c r="P170" s="43">
        <v>0</v>
      </c>
      <c r="Q170" s="43">
        <v>0</v>
      </c>
      <c r="R170" s="43">
        <v>3070</v>
      </c>
      <c r="S170" s="43">
        <v>0</v>
      </c>
      <c r="T170" s="43">
        <v>2044</v>
      </c>
      <c r="U170" s="43">
        <v>0</v>
      </c>
      <c r="V170" s="43">
        <v>33961</v>
      </c>
      <c r="W170" s="43">
        <v>0</v>
      </c>
      <c r="X170" s="43">
        <v>0</v>
      </c>
      <c r="Y170" s="43">
        <v>0</v>
      </c>
      <c r="Z170" s="43">
        <v>277425</v>
      </c>
      <c r="AA170" s="43">
        <v>0</v>
      </c>
      <c r="AB170" s="43">
        <v>0</v>
      </c>
      <c r="AC170" s="43">
        <v>0</v>
      </c>
      <c r="AD170" s="43">
        <v>0</v>
      </c>
      <c r="AE170" s="43">
        <v>0</v>
      </c>
      <c r="AF170" s="43">
        <v>0</v>
      </c>
      <c r="AG170" s="43"/>
      <c r="AH170" s="43">
        <f t="shared" si="3"/>
        <v>3963888</v>
      </c>
    </row>
    <row r="171" spans="1:66" s="4" customFormat="1" hidden="1" x14ac:dyDescent="0.2">
      <c r="A171" s="4">
        <v>160</v>
      </c>
      <c r="B171" s="4" t="s">
        <v>588</v>
      </c>
      <c r="D171" s="4" t="s">
        <v>48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3">
        <v>0</v>
      </c>
      <c r="Z171" s="43">
        <v>0</v>
      </c>
      <c r="AA171" s="43">
        <v>0</v>
      </c>
      <c r="AB171" s="43">
        <v>0</v>
      </c>
      <c r="AC171" s="43">
        <v>0</v>
      </c>
      <c r="AD171" s="43">
        <v>0</v>
      </c>
      <c r="AE171" s="43">
        <v>0</v>
      </c>
      <c r="AF171" s="43">
        <v>0</v>
      </c>
      <c r="AG171" s="43"/>
      <c r="AH171" s="43">
        <f t="shared" si="3"/>
        <v>0</v>
      </c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</row>
    <row r="172" spans="1:66" s="4" customFormat="1" hidden="1" x14ac:dyDescent="0.2">
      <c r="A172" s="4">
        <v>26</v>
      </c>
      <c r="B172" s="4" t="s">
        <v>195</v>
      </c>
      <c r="D172" s="4" t="s">
        <v>8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3">
        <v>0</v>
      </c>
      <c r="X172" s="43">
        <v>0</v>
      </c>
      <c r="Y172" s="43">
        <v>0</v>
      </c>
      <c r="Z172" s="43">
        <v>0</v>
      </c>
      <c r="AA172" s="43">
        <v>0</v>
      </c>
      <c r="AB172" s="43">
        <v>0</v>
      </c>
      <c r="AC172" s="43">
        <v>0</v>
      </c>
      <c r="AD172" s="43">
        <v>0</v>
      </c>
      <c r="AE172" s="43">
        <v>0</v>
      </c>
      <c r="AF172" s="43">
        <v>0</v>
      </c>
      <c r="AG172" s="43"/>
      <c r="AH172" s="43">
        <f t="shared" si="3"/>
        <v>0</v>
      </c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</row>
    <row r="173" spans="1:66" s="4" customFormat="1" x14ac:dyDescent="0.2">
      <c r="A173" s="4">
        <v>126</v>
      </c>
      <c r="B173" s="4" t="s">
        <v>652</v>
      </c>
      <c r="D173" s="4" t="s">
        <v>8</v>
      </c>
      <c r="F173" s="43">
        <v>2971372</v>
      </c>
      <c r="G173" s="43">
        <v>0</v>
      </c>
      <c r="H173" s="43">
        <v>4405470</v>
      </c>
      <c r="I173" s="43">
        <v>0</v>
      </c>
      <c r="J173" s="43">
        <v>0</v>
      </c>
      <c r="K173" s="43">
        <v>0</v>
      </c>
      <c r="L173" s="43">
        <v>256122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543741</v>
      </c>
      <c r="S173" s="43">
        <v>0</v>
      </c>
      <c r="T173" s="43">
        <v>17585</v>
      </c>
      <c r="U173" s="43">
        <v>0</v>
      </c>
      <c r="V173" s="43">
        <v>42865</v>
      </c>
      <c r="W173" s="43">
        <v>0</v>
      </c>
      <c r="X173" s="43">
        <v>0</v>
      </c>
      <c r="Y173" s="43">
        <v>0</v>
      </c>
      <c r="Z173" s="43">
        <v>1500000</v>
      </c>
      <c r="AA173" s="43">
        <v>0</v>
      </c>
      <c r="AB173" s="43">
        <v>0</v>
      </c>
      <c r="AC173" s="43">
        <v>0</v>
      </c>
      <c r="AD173" s="43">
        <v>0</v>
      </c>
      <c r="AE173" s="43">
        <v>0</v>
      </c>
      <c r="AF173" s="43">
        <v>0</v>
      </c>
      <c r="AG173" s="43"/>
      <c r="AH173" s="43">
        <f t="shared" ref="AH173" si="4">SUM(F173:AF173)</f>
        <v>9737155</v>
      </c>
    </row>
    <row r="174" spans="1:66" s="4" customFormat="1" hidden="1" x14ac:dyDescent="0.2">
      <c r="A174" s="4">
        <v>67</v>
      </c>
      <c r="B174" s="4" t="s">
        <v>196</v>
      </c>
      <c r="D174" s="4" t="s">
        <v>165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43">
        <v>0</v>
      </c>
      <c r="Y174" s="43">
        <v>0</v>
      </c>
      <c r="Z174" s="43">
        <v>0</v>
      </c>
      <c r="AA174" s="43">
        <v>0</v>
      </c>
      <c r="AB174" s="43">
        <v>0</v>
      </c>
      <c r="AC174" s="43">
        <v>0</v>
      </c>
      <c r="AD174" s="43">
        <v>0</v>
      </c>
      <c r="AE174" s="43">
        <v>0</v>
      </c>
      <c r="AF174" s="43">
        <v>0</v>
      </c>
      <c r="AG174" s="43"/>
      <c r="AH174" s="43">
        <f t="shared" si="3"/>
        <v>0</v>
      </c>
    </row>
    <row r="175" spans="1:66" s="4" customFormat="1" hidden="1" x14ac:dyDescent="0.2">
      <c r="A175" s="4">
        <v>165</v>
      </c>
      <c r="B175" s="4" t="s">
        <v>197</v>
      </c>
      <c r="D175" s="4" t="s">
        <v>51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3">
        <v>0</v>
      </c>
      <c r="Z175" s="43">
        <v>0</v>
      </c>
      <c r="AA175" s="43">
        <v>0</v>
      </c>
      <c r="AB175" s="43">
        <v>0</v>
      </c>
      <c r="AC175" s="43">
        <v>0</v>
      </c>
      <c r="AD175" s="43">
        <v>0</v>
      </c>
      <c r="AE175" s="43">
        <v>0</v>
      </c>
      <c r="AF175" s="43">
        <v>0</v>
      </c>
      <c r="AG175" s="43"/>
      <c r="AH175" s="43">
        <f t="shared" si="3"/>
        <v>0</v>
      </c>
    </row>
    <row r="176" spans="1:66" s="4" customFormat="1" hidden="1" x14ac:dyDescent="0.2">
      <c r="A176" s="4">
        <v>212</v>
      </c>
      <c r="B176" s="4" t="s">
        <v>198</v>
      </c>
      <c r="D176" s="4" t="s">
        <v>23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0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3">
        <v>0</v>
      </c>
      <c r="Z176" s="43">
        <v>0</v>
      </c>
      <c r="AA176" s="43">
        <v>0</v>
      </c>
      <c r="AB176" s="43">
        <v>0</v>
      </c>
      <c r="AC176" s="43">
        <v>0</v>
      </c>
      <c r="AD176" s="43">
        <v>0</v>
      </c>
      <c r="AE176" s="43">
        <v>0</v>
      </c>
      <c r="AF176" s="43">
        <v>0</v>
      </c>
      <c r="AG176" s="43"/>
      <c r="AH176" s="43">
        <f t="shared" si="3"/>
        <v>0</v>
      </c>
    </row>
    <row r="177" spans="1:66" s="4" customFormat="1" hidden="1" x14ac:dyDescent="0.2">
      <c r="A177" s="4">
        <v>259</v>
      </c>
      <c r="B177" s="4" t="s">
        <v>307</v>
      </c>
      <c r="D177" s="4" t="s">
        <v>61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0</v>
      </c>
      <c r="Y177" s="43">
        <v>0</v>
      </c>
      <c r="Z177" s="43">
        <v>0</v>
      </c>
      <c r="AA177" s="43">
        <v>0</v>
      </c>
      <c r="AB177" s="43">
        <v>0</v>
      </c>
      <c r="AC177" s="43">
        <v>0</v>
      </c>
      <c r="AD177" s="43">
        <v>0</v>
      </c>
      <c r="AE177" s="43">
        <v>0</v>
      </c>
      <c r="AF177" s="43">
        <v>0</v>
      </c>
      <c r="AG177" s="43"/>
      <c r="AH177" s="43">
        <f t="shared" si="3"/>
        <v>0</v>
      </c>
    </row>
    <row r="178" spans="1:66" s="4" customFormat="1" hidden="1" x14ac:dyDescent="0.2">
      <c r="A178" s="4">
        <v>168</v>
      </c>
      <c r="B178" s="4" t="s">
        <v>499</v>
      </c>
      <c r="D178" s="4" t="s">
        <v>62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3">
        <v>0</v>
      </c>
      <c r="Z178" s="43">
        <v>0</v>
      </c>
      <c r="AA178" s="43">
        <v>0</v>
      </c>
      <c r="AB178" s="43">
        <v>0</v>
      </c>
      <c r="AC178" s="43">
        <v>0</v>
      </c>
      <c r="AD178" s="43">
        <v>0</v>
      </c>
      <c r="AE178" s="43">
        <v>0</v>
      </c>
      <c r="AF178" s="43">
        <v>0</v>
      </c>
      <c r="AG178" s="43"/>
      <c r="AH178" s="43">
        <f t="shared" si="3"/>
        <v>0</v>
      </c>
    </row>
    <row r="179" spans="1:66" s="4" customFormat="1" x14ac:dyDescent="0.2">
      <c r="A179" s="4">
        <v>111</v>
      </c>
      <c r="B179" s="4" t="s">
        <v>200</v>
      </c>
      <c r="D179" s="4" t="s">
        <v>87</v>
      </c>
      <c r="F179" s="43">
        <v>92080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4245</v>
      </c>
      <c r="M179" s="43">
        <v>0</v>
      </c>
      <c r="N179" s="43">
        <v>0</v>
      </c>
      <c r="O179" s="43">
        <v>0</v>
      </c>
      <c r="P179" s="43">
        <v>0</v>
      </c>
      <c r="Q179" s="43">
        <v>0</v>
      </c>
      <c r="R179" s="43">
        <v>4158</v>
      </c>
      <c r="S179" s="43">
        <v>0</v>
      </c>
      <c r="T179" s="43">
        <v>891</v>
      </c>
      <c r="U179" s="43">
        <v>0</v>
      </c>
      <c r="V179" s="43">
        <v>2330</v>
      </c>
      <c r="W179" s="43">
        <v>0</v>
      </c>
      <c r="X179" s="43">
        <v>0</v>
      </c>
      <c r="Y179" s="43">
        <v>0</v>
      </c>
      <c r="Z179" s="43">
        <v>0</v>
      </c>
      <c r="AA179" s="43">
        <v>0</v>
      </c>
      <c r="AB179" s="43">
        <v>0</v>
      </c>
      <c r="AC179" s="43">
        <v>0</v>
      </c>
      <c r="AD179" s="43">
        <v>0</v>
      </c>
      <c r="AE179" s="43">
        <v>0</v>
      </c>
      <c r="AF179" s="43">
        <v>0</v>
      </c>
      <c r="AG179" s="43"/>
      <c r="AH179" s="43">
        <f t="shared" si="3"/>
        <v>103704</v>
      </c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</row>
    <row r="180" spans="1:66" s="4" customFormat="1" x14ac:dyDescent="0.2">
      <c r="A180" s="4">
        <v>248</v>
      </c>
      <c r="B180" s="4" t="s">
        <v>201</v>
      </c>
      <c r="D180" s="4" t="s">
        <v>202</v>
      </c>
      <c r="F180" s="43">
        <v>0</v>
      </c>
      <c r="G180" s="43">
        <v>0</v>
      </c>
      <c r="H180" s="43">
        <v>203850</v>
      </c>
      <c r="I180" s="43">
        <v>0</v>
      </c>
      <c r="J180" s="43">
        <v>0</v>
      </c>
      <c r="K180" s="43">
        <v>0</v>
      </c>
      <c r="L180" s="43">
        <v>10490</v>
      </c>
      <c r="M180" s="43">
        <v>0</v>
      </c>
      <c r="N180" s="43">
        <v>0</v>
      </c>
      <c r="O180" s="43">
        <v>0</v>
      </c>
      <c r="P180" s="43">
        <v>0</v>
      </c>
      <c r="Q180" s="43">
        <v>0</v>
      </c>
      <c r="R180" s="43">
        <v>3892</v>
      </c>
      <c r="S180" s="43">
        <v>0</v>
      </c>
      <c r="T180" s="43">
        <v>3982</v>
      </c>
      <c r="U180" s="43">
        <v>0</v>
      </c>
      <c r="V180" s="43">
        <v>4021</v>
      </c>
      <c r="W180" s="43">
        <v>0</v>
      </c>
      <c r="X180" s="43">
        <v>0</v>
      </c>
      <c r="Y180" s="43">
        <v>0</v>
      </c>
      <c r="Z180" s="43">
        <v>0</v>
      </c>
      <c r="AA180" s="43">
        <v>0</v>
      </c>
      <c r="AB180" s="43">
        <v>0</v>
      </c>
      <c r="AC180" s="43">
        <v>0</v>
      </c>
      <c r="AD180" s="43">
        <v>0</v>
      </c>
      <c r="AE180" s="43">
        <v>0</v>
      </c>
      <c r="AF180" s="43">
        <v>0</v>
      </c>
      <c r="AG180" s="43"/>
      <c r="AH180" s="43">
        <f t="shared" si="3"/>
        <v>226235</v>
      </c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</row>
    <row r="181" spans="1:66" s="4" customFormat="1" hidden="1" x14ac:dyDescent="0.2">
      <c r="A181" s="4">
        <v>175</v>
      </c>
      <c r="B181" s="4" t="s">
        <v>204</v>
      </c>
      <c r="D181" s="4" t="s">
        <v>66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3">
        <v>0</v>
      </c>
      <c r="R181" s="43">
        <v>0</v>
      </c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43">
        <v>0</v>
      </c>
      <c r="Y181" s="43">
        <v>0</v>
      </c>
      <c r="Z181" s="43">
        <v>0</v>
      </c>
      <c r="AA181" s="43">
        <v>0</v>
      </c>
      <c r="AB181" s="43">
        <v>0</v>
      </c>
      <c r="AC181" s="43">
        <v>0</v>
      </c>
      <c r="AD181" s="43">
        <v>0</v>
      </c>
      <c r="AE181" s="43">
        <v>0</v>
      </c>
      <c r="AF181" s="43">
        <v>0</v>
      </c>
      <c r="AG181" s="43"/>
      <c r="AH181" s="43">
        <f t="shared" si="3"/>
        <v>0</v>
      </c>
    </row>
    <row r="182" spans="1:66" s="4" customFormat="1" hidden="1" x14ac:dyDescent="0.2">
      <c r="A182" s="4">
        <v>150</v>
      </c>
      <c r="B182" s="4" t="s">
        <v>205</v>
      </c>
      <c r="D182" s="4" t="s">
        <v>10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3">
        <v>0</v>
      </c>
      <c r="Q182" s="43">
        <v>0</v>
      </c>
      <c r="R182" s="43">
        <v>0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3">
        <v>0</v>
      </c>
      <c r="Y182" s="43">
        <v>0</v>
      </c>
      <c r="Z182" s="43">
        <v>0</v>
      </c>
      <c r="AA182" s="43">
        <v>0</v>
      </c>
      <c r="AB182" s="43">
        <v>0</v>
      </c>
      <c r="AC182" s="43">
        <v>0</v>
      </c>
      <c r="AD182" s="43">
        <v>0</v>
      </c>
      <c r="AE182" s="43">
        <v>0</v>
      </c>
      <c r="AF182" s="43">
        <v>0</v>
      </c>
      <c r="AG182" s="43"/>
      <c r="AH182" s="43">
        <f t="shared" si="3"/>
        <v>0</v>
      </c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</row>
    <row r="183" spans="1:66" s="4" customFormat="1" hidden="1" x14ac:dyDescent="0.2">
      <c r="A183" s="4">
        <v>105</v>
      </c>
      <c r="B183" s="4" t="s">
        <v>308</v>
      </c>
      <c r="D183" s="4" t="s">
        <v>58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3">
        <v>0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0</v>
      </c>
      <c r="X183" s="43">
        <v>0</v>
      </c>
      <c r="Y183" s="43">
        <v>0</v>
      </c>
      <c r="Z183" s="43">
        <v>0</v>
      </c>
      <c r="AA183" s="43">
        <v>0</v>
      </c>
      <c r="AB183" s="43">
        <v>0</v>
      </c>
      <c r="AC183" s="43">
        <v>0</v>
      </c>
      <c r="AD183" s="43">
        <v>0</v>
      </c>
      <c r="AE183" s="43">
        <v>0</v>
      </c>
      <c r="AF183" s="43">
        <v>0</v>
      </c>
      <c r="AG183" s="43"/>
      <c r="AH183" s="43">
        <f t="shared" si="3"/>
        <v>0</v>
      </c>
    </row>
    <row r="184" spans="1:66" s="4" customFormat="1" hidden="1" x14ac:dyDescent="0.2">
      <c r="A184" s="4">
        <v>16</v>
      </c>
      <c r="B184" s="4" t="s">
        <v>452</v>
      </c>
      <c r="D184" s="4" t="s">
        <v>208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3">
        <v>0</v>
      </c>
      <c r="T184" s="43">
        <v>0</v>
      </c>
      <c r="U184" s="43">
        <v>0</v>
      </c>
      <c r="V184" s="43">
        <v>0</v>
      </c>
      <c r="W184" s="43">
        <v>0</v>
      </c>
      <c r="X184" s="43">
        <v>0</v>
      </c>
      <c r="Y184" s="43">
        <v>0</v>
      </c>
      <c r="Z184" s="43">
        <v>0</v>
      </c>
      <c r="AA184" s="43">
        <v>0</v>
      </c>
      <c r="AB184" s="43">
        <v>0</v>
      </c>
      <c r="AC184" s="43">
        <v>0</v>
      </c>
      <c r="AD184" s="43">
        <v>0</v>
      </c>
      <c r="AE184" s="43">
        <v>0</v>
      </c>
      <c r="AF184" s="43">
        <v>0</v>
      </c>
      <c r="AG184" s="43"/>
      <c r="AH184" s="43">
        <f t="shared" si="3"/>
        <v>0</v>
      </c>
    </row>
    <row r="185" spans="1:66" s="4" customFormat="1" hidden="1" x14ac:dyDescent="0.2">
      <c r="A185" s="4">
        <v>228</v>
      </c>
      <c r="B185" s="4" t="s">
        <v>432</v>
      </c>
      <c r="D185" s="4" t="s">
        <v>54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0</v>
      </c>
      <c r="V185" s="43">
        <v>0</v>
      </c>
      <c r="W185" s="43">
        <v>0</v>
      </c>
      <c r="X185" s="43">
        <v>0</v>
      </c>
      <c r="Y185" s="43">
        <v>0</v>
      </c>
      <c r="Z185" s="43">
        <v>0</v>
      </c>
      <c r="AA185" s="43">
        <v>0</v>
      </c>
      <c r="AB185" s="43">
        <v>0</v>
      </c>
      <c r="AC185" s="43">
        <v>0</v>
      </c>
      <c r="AD185" s="43">
        <v>0</v>
      </c>
      <c r="AE185" s="43">
        <v>0</v>
      </c>
      <c r="AF185" s="43">
        <v>0</v>
      </c>
      <c r="AG185" s="43"/>
      <c r="AH185" s="43">
        <f t="shared" si="3"/>
        <v>0</v>
      </c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</row>
    <row r="186" spans="1:66" s="4" customFormat="1" hidden="1" x14ac:dyDescent="0.2">
      <c r="A186" s="4">
        <v>33</v>
      </c>
      <c r="B186" s="4" t="s">
        <v>453</v>
      </c>
      <c r="D186" s="4" t="s">
        <v>112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  <c r="O186" s="43">
        <v>0</v>
      </c>
      <c r="P186" s="43">
        <v>0</v>
      </c>
      <c r="Q186" s="43">
        <v>0</v>
      </c>
      <c r="R186" s="43">
        <v>0</v>
      </c>
      <c r="S186" s="43">
        <v>0</v>
      </c>
      <c r="T186" s="43">
        <v>0</v>
      </c>
      <c r="U186" s="43">
        <v>0</v>
      </c>
      <c r="V186" s="43">
        <v>0</v>
      </c>
      <c r="W186" s="43">
        <v>0</v>
      </c>
      <c r="X186" s="43">
        <v>0</v>
      </c>
      <c r="Y186" s="43">
        <v>0</v>
      </c>
      <c r="Z186" s="43">
        <v>0</v>
      </c>
      <c r="AA186" s="43">
        <v>0</v>
      </c>
      <c r="AB186" s="43">
        <v>0</v>
      </c>
      <c r="AC186" s="43">
        <v>0</v>
      </c>
      <c r="AD186" s="43">
        <v>0</v>
      </c>
      <c r="AE186" s="43">
        <v>0</v>
      </c>
      <c r="AF186" s="43">
        <v>0</v>
      </c>
      <c r="AG186" s="43"/>
      <c r="AH186" s="43">
        <f t="shared" si="3"/>
        <v>0</v>
      </c>
    </row>
    <row r="187" spans="1:66" s="4" customFormat="1" hidden="1" x14ac:dyDescent="0.2">
      <c r="A187" s="4">
        <v>85</v>
      </c>
      <c r="B187" s="4" t="s">
        <v>214</v>
      </c>
      <c r="D187" s="4" t="s">
        <v>40</v>
      </c>
      <c r="F187" s="80">
        <v>0</v>
      </c>
      <c r="G187" s="80">
        <v>0</v>
      </c>
      <c r="H187" s="80">
        <v>0</v>
      </c>
      <c r="I187" s="80">
        <v>0</v>
      </c>
      <c r="J187" s="80">
        <v>0</v>
      </c>
      <c r="K187" s="80">
        <v>0</v>
      </c>
      <c r="L187" s="80">
        <v>0</v>
      </c>
      <c r="M187" s="80">
        <v>0</v>
      </c>
      <c r="N187" s="80">
        <v>0</v>
      </c>
      <c r="O187" s="80">
        <v>0</v>
      </c>
      <c r="P187" s="80">
        <v>0</v>
      </c>
      <c r="Q187" s="80">
        <v>0</v>
      </c>
      <c r="R187" s="80">
        <v>0</v>
      </c>
      <c r="S187" s="80">
        <v>0</v>
      </c>
      <c r="T187" s="80">
        <v>0</v>
      </c>
      <c r="U187" s="80">
        <v>0</v>
      </c>
      <c r="V187" s="80">
        <v>0</v>
      </c>
      <c r="W187" s="80">
        <v>0</v>
      </c>
      <c r="X187" s="80">
        <v>0</v>
      </c>
      <c r="Y187" s="80">
        <v>0</v>
      </c>
      <c r="Z187" s="80">
        <v>0</v>
      </c>
      <c r="AA187" s="80">
        <v>0</v>
      </c>
      <c r="AB187" s="80">
        <v>0</v>
      </c>
      <c r="AC187" s="80">
        <v>0</v>
      </c>
      <c r="AD187" s="80">
        <v>0</v>
      </c>
      <c r="AE187" s="80">
        <v>0</v>
      </c>
      <c r="AF187" s="80">
        <v>0</v>
      </c>
      <c r="AG187" s="15"/>
      <c r="AH187" s="80">
        <f t="shared" ref="AH187:AH260" si="5">SUM(F187:AF187)</f>
        <v>0</v>
      </c>
    </row>
    <row r="188" spans="1:66" s="4" customFormat="1" hidden="1" x14ac:dyDescent="0.2">
      <c r="A188" s="4">
        <v>250</v>
      </c>
      <c r="B188" s="4" t="s">
        <v>215</v>
      </c>
      <c r="D188" s="4" t="s">
        <v>63</v>
      </c>
      <c r="F188" s="80">
        <v>0</v>
      </c>
      <c r="G188" s="80">
        <v>0</v>
      </c>
      <c r="H188" s="80">
        <v>0</v>
      </c>
      <c r="I188" s="80">
        <v>0</v>
      </c>
      <c r="J188" s="80">
        <v>0</v>
      </c>
      <c r="K188" s="80">
        <v>0</v>
      </c>
      <c r="L188" s="80">
        <v>0</v>
      </c>
      <c r="M188" s="80">
        <v>0</v>
      </c>
      <c r="N188" s="80">
        <v>0</v>
      </c>
      <c r="O188" s="80">
        <v>0</v>
      </c>
      <c r="P188" s="80">
        <v>0</v>
      </c>
      <c r="Q188" s="80">
        <v>0</v>
      </c>
      <c r="R188" s="80">
        <v>0</v>
      </c>
      <c r="S188" s="80">
        <v>0</v>
      </c>
      <c r="T188" s="80">
        <v>0</v>
      </c>
      <c r="U188" s="80">
        <v>0</v>
      </c>
      <c r="V188" s="80">
        <v>0</v>
      </c>
      <c r="W188" s="80">
        <v>0</v>
      </c>
      <c r="X188" s="80">
        <v>0</v>
      </c>
      <c r="Y188" s="80">
        <v>0</v>
      </c>
      <c r="Z188" s="80">
        <v>0</v>
      </c>
      <c r="AA188" s="80">
        <v>0</v>
      </c>
      <c r="AB188" s="80">
        <v>0</v>
      </c>
      <c r="AC188" s="80">
        <v>0</v>
      </c>
      <c r="AD188" s="80">
        <v>0</v>
      </c>
      <c r="AE188" s="80">
        <v>0</v>
      </c>
      <c r="AF188" s="80">
        <v>0</v>
      </c>
      <c r="AG188" s="15"/>
      <c r="AH188" s="80">
        <f t="shared" si="5"/>
        <v>0</v>
      </c>
    </row>
    <row r="189" spans="1:66" s="4" customFormat="1" hidden="1" x14ac:dyDescent="0.2">
      <c r="A189" s="4">
        <v>213</v>
      </c>
      <c r="B189" s="4" t="s">
        <v>216</v>
      </c>
      <c r="D189" s="4" t="s">
        <v>23</v>
      </c>
      <c r="F189" s="80">
        <v>0</v>
      </c>
      <c r="G189" s="80">
        <v>0</v>
      </c>
      <c r="H189" s="80">
        <v>0</v>
      </c>
      <c r="I189" s="80">
        <v>0</v>
      </c>
      <c r="J189" s="80">
        <v>0</v>
      </c>
      <c r="K189" s="80">
        <v>0</v>
      </c>
      <c r="L189" s="80">
        <v>0</v>
      </c>
      <c r="M189" s="80">
        <v>0</v>
      </c>
      <c r="N189" s="80">
        <v>0</v>
      </c>
      <c r="O189" s="80">
        <v>0</v>
      </c>
      <c r="P189" s="80">
        <v>0</v>
      </c>
      <c r="Q189" s="80">
        <v>0</v>
      </c>
      <c r="R189" s="80">
        <v>0</v>
      </c>
      <c r="S189" s="80">
        <v>0</v>
      </c>
      <c r="T189" s="80">
        <v>0</v>
      </c>
      <c r="U189" s="80">
        <v>0</v>
      </c>
      <c r="V189" s="80">
        <v>0</v>
      </c>
      <c r="W189" s="80">
        <v>0</v>
      </c>
      <c r="X189" s="80">
        <v>0</v>
      </c>
      <c r="Y189" s="80">
        <v>0</v>
      </c>
      <c r="Z189" s="80">
        <v>0</v>
      </c>
      <c r="AA189" s="80">
        <v>0</v>
      </c>
      <c r="AB189" s="80">
        <v>0</v>
      </c>
      <c r="AC189" s="80">
        <v>0</v>
      </c>
      <c r="AD189" s="80">
        <v>0</v>
      </c>
      <c r="AE189" s="80">
        <v>0</v>
      </c>
      <c r="AF189" s="80">
        <v>0</v>
      </c>
      <c r="AH189" s="80">
        <f t="shared" si="5"/>
        <v>0</v>
      </c>
    </row>
    <row r="190" spans="1:66" s="4" customFormat="1" x14ac:dyDescent="0.2"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H190" s="94" t="s">
        <v>576</v>
      </c>
    </row>
    <row r="191" spans="1:66" s="4" customFormat="1" hidden="1" x14ac:dyDescent="0.2"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</row>
    <row r="192" spans="1:66" x14ac:dyDescent="0.2">
      <c r="B192" s="3" t="s">
        <v>515</v>
      </c>
    </row>
    <row r="193" spans="1:66" x14ac:dyDescent="0.2">
      <c r="B193" s="3" t="s">
        <v>632</v>
      </c>
    </row>
    <row r="194" spans="1:66" hidden="1" x14ac:dyDescent="0.2">
      <c r="B194" s="83" t="s">
        <v>5</v>
      </c>
    </row>
    <row r="195" spans="1:66" x14ac:dyDescent="0.2">
      <c r="B195" s="3" t="s">
        <v>5</v>
      </c>
    </row>
    <row r="196" spans="1:66" s="36" customFormat="1" x14ac:dyDescent="0.2">
      <c r="H196" s="36" t="s">
        <v>280</v>
      </c>
    </row>
    <row r="197" spans="1:66" s="36" customFormat="1" x14ac:dyDescent="0.2">
      <c r="F197" s="36" t="s">
        <v>29</v>
      </c>
      <c r="H197" s="36" t="s">
        <v>281</v>
      </c>
      <c r="P197" s="36" t="s">
        <v>27</v>
      </c>
      <c r="R197" s="36" t="s">
        <v>287</v>
      </c>
      <c r="X197" s="36" t="s">
        <v>292</v>
      </c>
      <c r="AD197" s="36" t="s">
        <v>0</v>
      </c>
    </row>
    <row r="198" spans="1:66" s="36" customFormat="1" ht="12" customHeight="1" x14ac:dyDescent="0.2">
      <c r="F198" s="36" t="s">
        <v>0</v>
      </c>
      <c r="H198" s="36" t="s">
        <v>282</v>
      </c>
      <c r="J198" s="36" t="s">
        <v>344</v>
      </c>
      <c r="L198" s="36" t="s">
        <v>284</v>
      </c>
      <c r="P198" s="36" t="s">
        <v>286</v>
      </c>
      <c r="R198" s="36" t="s">
        <v>288</v>
      </c>
      <c r="T198" s="36" t="s">
        <v>290</v>
      </c>
      <c r="X198" s="36" t="s">
        <v>293</v>
      </c>
      <c r="AD198" s="36" t="s">
        <v>294</v>
      </c>
      <c r="AF198" s="36" t="s">
        <v>630</v>
      </c>
    </row>
    <row r="199" spans="1:66" s="36" customFormat="1" ht="12" customHeight="1" x14ac:dyDescent="0.2">
      <c r="A199" s="36" t="s">
        <v>563</v>
      </c>
      <c r="B199" s="37"/>
      <c r="C199" s="44"/>
      <c r="D199" s="37" t="s">
        <v>4</v>
      </c>
      <c r="E199" s="44"/>
      <c r="F199" s="37" t="s">
        <v>279</v>
      </c>
      <c r="G199" s="44"/>
      <c r="H199" s="37" t="s">
        <v>283</v>
      </c>
      <c r="I199" s="44"/>
      <c r="J199" s="37" t="s">
        <v>345</v>
      </c>
      <c r="K199" s="44"/>
      <c r="L199" s="37" t="s">
        <v>285</v>
      </c>
      <c r="M199" s="44"/>
      <c r="N199" s="37" t="s">
        <v>546</v>
      </c>
      <c r="O199" s="44"/>
      <c r="P199" s="37" t="s">
        <v>548</v>
      </c>
      <c r="Q199" s="44"/>
      <c r="R199" s="37" t="s">
        <v>289</v>
      </c>
      <c r="S199" s="44"/>
      <c r="T199" s="37" t="s">
        <v>291</v>
      </c>
      <c r="U199" s="44"/>
      <c r="V199" s="37" t="s">
        <v>1</v>
      </c>
      <c r="W199" s="44"/>
      <c r="X199" s="37" t="s">
        <v>30</v>
      </c>
      <c r="Y199" s="44"/>
      <c r="Z199" s="37" t="s">
        <v>500</v>
      </c>
      <c r="AA199" s="44"/>
      <c r="AB199" s="37" t="s">
        <v>501</v>
      </c>
      <c r="AC199" s="44"/>
      <c r="AD199" s="37" t="s">
        <v>295</v>
      </c>
      <c r="AE199" s="44"/>
      <c r="AF199" s="37" t="s">
        <v>416</v>
      </c>
      <c r="AG199" s="44"/>
      <c r="AH199" s="45" t="s">
        <v>26</v>
      </c>
    </row>
    <row r="200" spans="1:66" s="36" customFormat="1" ht="12" customHeight="1" x14ac:dyDescent="0.2"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57"/>
    </row>
    <row r="201" spans="1:66" s="4" customFormat="1" x14ac:dyDescent="0.2">
      <c r="A201" s="4">
        <v>127</v>
      </c>
      <c r="B201" s="4" t="s">
        <v>203</v>
      </c>
      <c r="D201" s="4" t="s">
        <v>13</v>
      </c>
      <c r="F201" s="93">
        <v>1815347</v>
      </c>
      <c r="G201" s="93">
        <v>0</v>
      </c>
      <c r="H201" s="93">
        <v>1262490</v>
      </c>
      <c r="I201" s="93">
        <v>0</v>
      </c>
      <c r="J201" s="93">
        <v>307490</v>
      </c>
      <c r="K201" s="93">
        <v>0</v>
      </c>
      <c r="L201" s="93">
        <v>83766</v>
      </c>
      <c r="M201" s="93">
        <v>0</v>
      </c>
      <c r="N201" s="93">
        <v>0</v>
      </c>
      <c r="O201" s="93">
        <v>0</v>
      </c>
      <c r="P201" s="93">
        <v>0</v>
      </c>
      <c r="Q201" s="93">
        <v>0</v>
      </c>
      <c r="R201" s="93">
        <v>31925</v>
      </c>
      <c r="S201" s="93">
        <v>0</v>
      </c>
      <c r="T201" s="93">
        <v>160313</v>
      </c>
      <c r="U201" s="93">
        <v>0</v>
      </c>
      <c r="V201" s="93">
        <v>11651</v>
      </c>
      <c r="W201" s="93">
        <v>0</v>
      </c>
      <c r="X201" s="93">
        <v>0</v>
      </c>
      <c r="Y201" s="93">
        <v>0</v>
      </c>
      <c r="Z201" s="93">
        <v>6565406</v>
      </c>
      <c r="AA201" s="93">
        <v>0</v>
      </c>
      <c r="AB201" s="93">
        <v>0</v>
      </c>
      <c r="AC201" s="93">
        <v>0</v>
      </c>
      <c r="AD201" s="93">
        <f>6140000+421388</f>
        <v>6561388</v>
      </c>
      <c r="AE201" s="93">
        <v>0</v>
      </c>
      <c r="AF201" s="93">
        <v>0</v>
      </c>
      <c r="AG201" s="93"/>
      <c r="AH201" s="93">
        <f>SUM(F201:AF201)</f>
        <v>16799776</v>
      </c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</row>
    <row r="202" spans="1:66" s="4" customFormat="1" x14ac:dyDescent="0.2">
      <c r="A202" s="4">
        <v>122</v>
      </c>
      <c r="B202" s="4" t="s">
        <v>423</v>
      </c>
      <c r="D202" s="4" t="s">
        <v>14</v>
      </c>
      <c r="F202" s="43">
        <v>1063476</v>
      </c>
      <c r="G202" s="43">
        <v>0</v>
      </c>
      <c r="H202" s="43">
        <v>1231187</v>
      </c>
      <c r="I202" s="43">
        <v>0</v>
      </c>
      <c r="J202" s="43">
        <v>157042</v>
      </c>
      <c r="K202" s="43">
        <v>0</v>
      </c>
      <c r="L202" s="43">
        <v>32016</v>
      </c>
      <c r="M202" s="43">
        <v>0</v>
      </c>
      <c r="N202" s="43">
        <v>0</v>
      </c>
      <c r="O202" s="43">
        <v>0</v>
      </c>
      <c r="P202" s="43">
        <v>0</v>
      </c>
      <c r="Q202" s="43">
        <v>0</v>
      </c>
      <c r="R202" s="43">
        <v>51982</v>
      </c>
      <c r="S202" s="43">
        <v>0</v>
      </c>
      <c r="T202" s="43">
        <v>947</v>
      </c>
      <c r="U202" s="43">
        <v>0</v>
      </c>
      <c r="V202" s="43">
        <v>68968</v>
      </c>
      <c r="W202" s="43">
        <v>0</v>
      </c>
      <c r="X202" s="43">
        <v>0</v>
      </c>
      <c r="Y202" s="43">
        <v>0</v>
      </c>
      <c r="Z202" s="43">
        <v>200000</v>
      </c>
      <c r="AA202" s="43">
        <v>0</v>
      </c>
      <c r="AB202" s="43">
        <v>0</v>
      </c>
      <c r="AC202" s="43">
        <v>0</v>
      </c>
      <c r="AD202" s="43">
        <v>0</v>
      </c>
      <c r="AE202" s="43">
        <v>0</v>
      </c>
      <c r="AF202" s="43">
        <v>0</v>
      </c>
      <c r="AG202" s="43"/>
      <c r="AH202" s="43">
        <f>SUM(F202:AF202)</f>
        <v>2805618</v>
      </c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</row>
    <row r="203" spans="1:66" s="4" customFormat="1" x14ac:dyDescent="0.2">
      <c r="A203" s="4">
        <v>178</v>
      </c>
      <c r="B203" s="4" t="s">
        <v>589</v>
      </c>
      <c r="D203" s="4" t="s">
        <v>207</v>
      </c>
      <c r="F203" s="43">
        <v>1658673</v>
      </c>
      <c r="G203" s="43">
        <v>0</v>
      </c>
      <c r="H203" s="43">
        <v>0</v>
      </c>
      <c r="I203" s="43">
        <v>0</v>
      </c>
      <c r="J203" s="43">
        <v>2373877</v>
      </c>
      <c r="K203" s="43">
        <v>0</v>
      </c>
      <c r="L203" s="43">
        <v>84448</v>
      </c>
      <c r="M203" s="43">
        <v>0</v>
      </c>
      <c r="N203" s="43">
        <v>0</v>
      </c>
      <c r="O203" s="43">
        <v>0</v>
      </c>
      <c r="P203" s="43">
        <v>23434</v>
      </c>
      <c r="Q203" s="43">
        <v>0</v>
      </c>
      <c r="R203" s="43">
        <v>22109</v>
      </c>
      <c r="S203" s="43">
        <v>0</v>
      </c>
      <c r="T203" s="43">
        <v>54825</v>
      </c>
      <c r="U203" s="43">
        <v>0</v>
      </c>
      <c r="V203" s="43">
        <v>46630</v>
      </c>
      <c r="W203" s="43">
        <v>0</v>
      </c>
      <c r="X203" s="43">
        <v>0</v>
      </c>
      <c r="Y203" s="43">
        <v>0</v>
      </c>
      <c r="Z203" s="43">
        <v>0</v>
      </c>
      <c r="AA203" s="43">
        <v>0</v>
      </c>
      <c r="AB203" s="43">
        <v>0</v>
      </c>
      <c r="AC203" s="43">
        <v>0</v>
      </c>
      <c r="AD203" s="43">
        <v>0</v>
      </c>
      <c r="AE203" s="43">
        <v>0</v>
      </c>
      <c r="AF203" s="43">
        <v>0</v>
      </c>
      <c r="AG203" s="43"/>
      <c r="AH203" s="43">
        <f>SUM(F203:AF203)</f>
        <v>4263996</v>
      </c>
    </row>
    <row r="204" spans="1:66" s="4" customFormat="1" x14ac:dyDescent="0.2">
      <c r="A204" s="4">
        <v>112</v>
      </c>
      <c r="B204" s="42" t="s">
        <v>337</v>
      </c>
      <c r="C204" s="42"/>
      <c r="D204" s="42" t="s">
        <v>87</v>
      </c>
      <c r="E204" s="42"/>
      <c r="F204" s="88">
        <v>199447.92</v>
      </c>
      <c r="G204" s="88">
        <v>0</v>
      </c>
      <c r="H204" s="88">
        <v>3000</v>
      </c>
      <c r="I204" s="88">
        <v>0</v>
      </c>
      <c r="J204" s="88">
        <v>0</v>
      </c>
      <c r="K204" s="88">
        <v>0</v>
      </c>
      <c r="L204" s="88">
        <f>4239.29+4004.03</f>
        <v>8243.32</v>
      </c>
      <c r="M204" s="88">
        <v>0</v>
      </c>
      <c r="N204" s="88">
        <v>0</v>
      </c>
      <c r="O204" s="88">
        <v>0</v>
      </c>
      <c r="P204" s="88">
        <v>0</v>
      </c>
      <c r="Q204" s="88">
        <v>0</v>
      </c>
      <c r="R204" s="88">
        <v>1043.72</v>
      </c>
      <c r="S204" s="88">
        <v>0</v>
      </c>
      <c r="T204" s="88">
        <v>3479.64</v>
      </c>
      <c r="U204" s="88">
        <v>0</v>
      </c>
      <c r="V204" s="88">
        <v>75.510000000000005</v>
      </c>
      <c r="W204" s="88">
        <v>0</v>
      </c>
      <c r="X204" s="88">
        <v>0</v>
      </c>
      <c r="Y204" s="88">
        <v>0</v>
      </c>
      <c r="Z204" s="88">
        <v>6237.16</v>
      </c>
      <c r="AA204" s="88">
        <v>0</v>
      </c>
      <c r="AB204" s="88">
        <v>0</v>
      </c>
      <c r="AC204" s="88">
        <v>0</v>
      </c>
      <c r="AD204" s="88">
        <v>0</v>
      </c>
      <c r="AE204" s="88">
        <v>0</v>
      </c>
      <c r="AF204" s="88">
        <v>0</v>
      </c>
      <c r="AG204" s="88"/>
      <c r="AH204" s="88">
        <f>SUM(F204:AF204)</f>
        <v>221527.27000000005</v>
      </c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</row>
    <row r="205" spans="1:66" s="4" customFormat="1" hidden="1" x14ac:dyDescent="0.2">
      <c r="A205" s="4">
        <v>60</v>
      </c>
      <c r="B205" s="4" t="s">
        <v>209</v>
      </c>
      <c r="D205" s="4" t="s">
        <v>79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3">
        <v>0</v>
      </c>
      <c r="X205" s="43">
        <v>0</v>
      </c>
      <c r="Y205" s="43">
        <v>0</v>
      </c>
      <c r="Z205" s="43">
        <v>0</v>
      </c>
      <c r="AA205" s="43">
        <v>0</v>
      </c>
      <c r="AB205" s="43">
        <v>0</v>
      </c>
      <c r="AC205" s="43">
        <v>0</v>
      </c>
      <c r="AD205" s="43">
        <v>0</v>
      </c>
      <c r="AE205" s="43">
        <v>0</v>
      </c>
      <c r="AF205" s="43">
        <v>0</v>
      </c>
      <c r="AG205" s="43"/>
      <c r="AH205" s="43">
        <f>SUM(F205:AF205)</f>
        <v>0</v>
      </c>
    </row>
    <row r="206" spans="1:66" s="4" customFormat="1" hidden="1" x14ac:dyDescent="0.2">
      <c r="A206" s="4">
        <v>186</v>
      </c>
      <c r="B206" s="4" t="s">
        <v>454</v>
      </c>
      <c r="D206" s="4" t="s">
        <v>64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43">
        <v>0</v>
      </c>
      <c r="Z206" s="43">
        <v>0</v>
      </c>
      <c r="AA206" s="43">
        <v>0</v>
      </c>
      <c r="AB206" s="43">
        <v>0</v>
      </c>
      <c r="AC206" s="43">
        <v>0</v>
      </c>
      <c r="AD206" s="43">
        <v>0</v>
      </c>
      <c r="AE206" s="43">
        <v>0</v>
      </c>
      <c r="AF206" s="43">
        <v>0</v>
      </c>
      <c r="AG206" s="43"/>
      <c r="AH206" s="43">
        <f>SUM(F206:AF206)</f>
        <v>0</v>
      </c>
    </row>
    <row r="207" spans="1:66" s="4" customFormat="1" hidden="1" x14ac:dyDescent="0.2">
      <c r="A207" s="4">
        <v>235</v>
      </c>
      <c r="B207" s="4" t="s">
        <v>210</v>
      </c>
      <c r="D207" s="4" t="s">
        <v>24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3">
        <v>0</v>
      </c>
      <c r="X207" s="43">
        <v>0</v>
      </c>
      <c r="Y207" s="43">
        <v>0</v>
      </c>
      <c r="Z207" s="43">
        <v>0</v>
      </c>
      <c r="AA207" s="43">
        <v>0</v>
      </c>
      <c r="AB207" s="43">
        <v>0</v>
      </c>
      <c r="AC207" s="43">
        <v>0</v>
      </c>
      <c r="AD207" s="43">
        <v>0</v>
      </c>
      <c r="AE207" s="43">
        <v>0</v>
      </c>
      <c r="AF207" s="43">
        <v>0</v>
      </c>
      <c r="AG207" s="43"/>
      <c r="AH207" s="43">
        <f>SUM(F207:AF207)</f>
        <v>0</v>
      </c>
    </row>
    <row r="208" spans="1:66" s="4" customFormat="1" x14ac:dyDescent="0.2">
      <c r="A208" s="4">
        <v>229</v>
      </c>
      <c r="B208" s="4" t="s">
        <v>211</v>
      </c>
      <c r="D208" s="4" t="s">
        <v>54</v>
      </c>
      <c r="F208" s="43">
        <v>253675</v>
      </c>
      <c r="G208" s="43">
        <v>0</v>
      </c>
      <c r="H208" s="43">
        <v>481580</v>
      </c>
      <c r="I208" s="43">
        <v>0</v>
      </c>
      <c r="J208" s="43">
        <v>0</v>
      </c>
      <c r="K208" s="43">
        <v>0</v>
      </c>
      <c r="L208" s="43">
        <v>10285</v>
      </c>
      <c r="M208" s="43">
        <v>0</v>
      </c>
      <c r="N208" s="43">
        <v>0</v>
      </c>
      <c r="O208" s="43">
        <v>0</v>
      </c>
      <c r="P208" s="43">
        <v>0</v>
      </c>
      <c r="Q208" s="43">
        <v>0</v>
      </c>
      <c r="R208" s="43">
        <v>6455</v>
      </c>
      <c r="S208" s="43">
        <v>0</v>
      </c>
      <c r="T208" s="43">
        <v>2064</v>
      </c>
      <c r="U208" s="43">
        <v>0</v>
      </c>
      <c r="V208" s="43">
        <v>1901</v>
      </c>
      <c r="W208" s="43">
        <v>0</v>
      </c>
      <c r="X208" s="43">
        <v>0</v>
      </c>
      <c r="Y208" s="43">
        <v>0</v>
      </c>
      <c r="Z208" s="43">
        <v>0</v>
      </c>
      <c r="AA208" s="43">
        <v>0</v>
      </c>
      <c r="AB208" s="43">
        <v>0</v>
      </c>
      <c r="AC208" s="43">
        <v>0</v>
      </c>
      <c r="AD208" s="43">
        <v>0</v>
      </c>
      <c r="AE208" s="43">
        <v>0</v>
      </c>
      <c r="AF208" s="43">
        <v>0</v>
      </c>
      <c r="AG208" s="43"/>
      <c r="AH208" s="43">
        <f>SUM(F208:AF208)</f>
        <v>755960</v>
      </c>
    </row>
    <row r="209" spans="1:66" s="4" customFormat="1" x14ac:dyDescent="0.2">
      <c r="B209" s="3" t="s">
        <v>603</v>
      </c>
      <c r="C209" s="3"/>
      <c r="D209" s="3" t="s">
        <v>54</v>
      </c>
      <c r="F209" s="88">
        <v>0</v>
      </c>
      <c r="G209" s="88">
        <v>0</v>
      </c>
      <c r="H209" s="88">
        <v>0</v>
      </c>
      <c r="I209" s="88">
        <v>0</v>
      </c>
      <c r="J209" s="88">
        <v>688262</v>
      </c>
      <c r="K209" s="88">
        <v>0</v>
      </c>
      <c r="L209" s="88">
        <v>0</v>
      </c>
      <c r="M209" s="88">
        <v>0</v>
      </c>
      <c r="N209" s="88">
        <v>0</v>
      </c>
      <c r="O209" s="88">
        <v>0</v>
      </c>
      <c r="P209" s="88">
        <v>228312</v>
      </c>
      <c r="Q209" s="88">
        <v>0</v>
      </c>
      <c r="R209" s="88">
        <v>0</v>
      </c>
      <c r="S209" s="88">
        <v>0</v>
      </c>
      <c r="T209" s="88">
        <v>2055</v>
      </c>
      <c r="U209" s="88">
        <v>0</v>
      </c>
      <c r="V209" s="88">
        <v>88989</v>
      </c>
      <c r="W209" s="88">
        <v>0</v>
      </c>
      <c r="X209" s="88">
        <v>0</v>
      </c>
      <c r="Y209" s="88">
        <v>0</v>
      </c>
      <c r="Z209" s="88">
        <v>15865</v>
      </c>
      <c r="AA209" s="88">
        <v>0</v>
      </c>
      <c r="AB209" s="88">
        <v>0</v>
      </c>
      <c r="AC209" s="88">
        <v>0</v>
      </c>
      <c r="AD209" s="88">
        <v>0</v>
      </c>
      <c r="AE209" s="88">
        <v>0</v>
      </c>
      <c r="AF209" s="88">
        <v>0</v>
      </c>
      <c r="AG209" s="88"/>
      <c r="AH209" s="88">
        <f t="shared" si="5"/>
        <v>1023483</v>
      </c>
    </row>
    <row r="210" spans="1:66" s="4" customFormat="1" x14ac:dyDescent="0.2">
      <c r="A210" s="4">
        <v>251</v>
      </c>
      <c r="B210" s="4" t="s">
        <v>434</v>
      </c>
      <c r="D210" s="4" t="s">
        <v>63</v>
      </c>
      <c r="F210" s="43">
        <v>0</v>
      </c>
      <c r="G210" s="43">
        <v>0</v>
      </c>
      <c r="H210" s="43">
        <v>0</v>
      </c>
      <c r="I210" s="43">
        <v>0</v>
      </c>
      <c r="J210" s="43">
        <v>145617</v>
      </c>
      <c r="K210" s="43">
        <v>0</v>
      </c>
      <c r="L210" s="43">
        <v>0</v>
      </c>
      <c r="M210" s="43">
        <v>0</v>
      </c>
      <c r="N210" s="43">
        <v>0</v>
      </c>
      <c r="O210" s="43">
        <v>0</v>
      </c>
      <c r="P210" s="43">
        <v>1333456</v>
      </c>
      <c r="Q210" s="43">
        <v>0</v>
      </c>
      <c r="R210" s="43">
        <v>0</v>
      </c>
      <c r="S210" s="43">
        <v>0</v>
      </c>
      <c r="T210" s="43">
        <v>46</v>
      </c>
      <c r="U210" s="43">
        <v>0</v>
      </c>
      <c r="V210" s="43">
        <v>0</v>
      </c>
      <c r="W210" s="43">
        <v>0</v>
      </c>
      <c r="X210" s="43">
        <v>0</v>
      </c>
      <c r="Y210" s="43">
        <v>0</v>
      </c>
      <c r="Z210" s="43">
        <v>31336</v>
      </c>
      <c r="AA210" s="43">
        <v>0</v>
      </c>
      <c r="AB210" s="43">
        <v>0</v>
      </c>
      <c r="AC210" s="43">
        <v>0</v>
      </c>
      <c r="AD210" s="43">
        <v>0</v>
      </c>
      <c r="AE210" s="43">
        <v>0</v>
      </c>
      <c r="AF210" s="43">
        <v>0</v>
      </c>
      <c r="AG210" s="43"/>
      <c r="AH210" s="43">
        <f t="shared" si="5"/>
        <v>1510455</v>
      </c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</row>
    <row r="211" spans="1:66" s="4" customFormat="1" hidden="1" x14ac:dyDescent="0.2">
      <c r="A211" s="4">
        <v>113</v>
      </c>
      <c r="B211" s="4" t="s">
        <v>217</v>
      </c>
      <c r="D211" s="4" t="s">
        <v>87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>
        <v>0</v>
      </c>
      <c r="P211" s="43">
        <v>0</v>
      </c>
      <c r="Q211" s="43">
        <v>0</v>
      </c>
      <c r="R211" s="43">
        <v>0</v>
      </c>
      <c r="S211" s="43">
        <v>0</v>
      </c>
      <c r="T211" s="43">
        <v>0</v>
      </c>
      <c r="U211" s="43">
        <v>0</v>
      </c>
      <c r="V211" s="43">
        <v>0</v>
      </c>
      <c r="W211" s="43">
        <v>0</v>
      </c>
      <c r="X211" s="43">
        <v>0</v>
      </c>
      <c r="Y211" s="43">
        <v>0</v>
      </c>
      <c r="Z211" s="43">
        <v>0</v>
      </c>
      <c r="AA211" s="43">
        <v>0</v>
      </c>
      <c r="AB211" s="43">
        <v>0</v>
      </c>
      <c r="AC211" s="43">
        <v>0</v>
      </c>
      <c r="AD211" s="43">
        <v>0</v>
      </c>
      <c r="AE211" s="43">
        <v>0</v>
      </c>
      <c r="AF211" s="43">
        <v>0</v>
      </c>
      <c r="AG211" s="43"/>
      <c r="AH211" s="43">
        <f t="shared" si="5"/>
        <v>0</v>
      </c>
    </row>
    <row r="212" spans="1:66" s="4" customFormat="1" x14ac:dyDescent="0.2">
      <c r="A212" s="4">
        <v>183</v>
      </c>
      <c r="B212" s="4" t="s">
        <v>218</v>
      </c>
      <c r="D212" s="4" t="s">
        <v>156</v>
      </c>
      <c r="F212" s="43">
        <v>235626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10542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43">
        <v>15896</v>
      </c>
      <c r="S212" s="43">
        <v>0</v>
      </c>
      <c r="T212" s="43">
        <v>622</v>
      </c>
      <c r="U212" s="43">
        <v>0</v>
      </c>
      <c r="V212" s="43">
        <v>4211</v>
      </c>
      <c r="W212" s="43">
        <v>0</v>
      </c>
      <c r="X212" s="43">
        <v>0</v>
      </c>
      <c r="Y212" s="43">
        <v>0</v>
      </c>
      <c r="Z212" s="43">
        <v>0</v>
      </c>
      <c r="AA212" s="43">
        <v>0</v>
      </c>
      <c r="AB212" s="43">
        <v>0</v>
      </c>
      <c r="AC212" s="43">
        <v>0</v>
      </c>
      <c r="AD212" s="43">
        <v>0</v>
      </c>
      <c r="AE212" s="43">
        <v>0</v>
      </c>
      <c r="AF212" s="43">
        <v>0</v>
      </c>
      <c r="AG212" s="43"/>
      <c r="AH212" s="43">
        <f t="shared" si="5"/>
        <v>266897</v>
      </c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</row>
    <row r="213" spans="1:66" s="4" customFormat="1" x14ac:dyDescent="0.2">
      <c r="A213" s="4">
        <v>116</v>
      </c>
      <c r="B213" s="4" t="s">
        <v>219</v>
      </c>
      <c r="D213" s="4" t="s">
        <v>168</v>
      </c>
      <c r="F213" s="43">
        <v>0</v>
      </c>
      <c r="G213" s="43">
        <v>0</v>
      </c>
      <c r="H213" s="43">
        <v>199023</v>
      </c>
      <c r="I213" s="43">
        <v>0</v>
      </c>
      <c r="J213" s="43">
        <v>0</v>
      </c>
      <c r="K213" s="43">
        <v>0</v>
      </c>
      <c r="L213" s="43">
        <v>9188</v>
      </c>
      <c r="M213" s="43">
        <v>0</v>
      </c>
      <c r="N213" s="43">
        <v>0</v>
      </c>
      <c r="O213" s="43">
        <v>0</v>
      </c>
      <c r="P213" s="43">
        <v>0</v>
      </c>
      <c r="Q213" s="43">
        <v>0</v>
      </c>
      <c r="R213" s="43">
        <v>1818</v>
      </c>
      <c r="S213" s="43">
        <v>0</v>
      </c>
      <c r="T213" s="43">
        <v>9153</v>
      </c>
      <c r="U213" s="43">
        <v>0</v>
      </c>
      <c r="V213" s="43">
        <v>23774</v>
      </c>
      <c r="W213" s="43">
        <v>0</v>
      </c>
      <c r="X213" s="43">
        <v>0</v>
      </c>
      <c r="Y213" s="43">
        <v>0</v>
      </c>
      <c r="Z213" s="43">
        <v>0</v>
      </c>
      <c r="AA213" s="43">
        <v>0</v>
      </c>
      <c r="AB213" s="43">
        <v>0</v>
      </c>
      <c r="AC213" s="43">
        <v>0</v>
      </c>
      <c r="AD213" s="43">
        <v>0</v>
      </c>
      <c r="AE213" s="43">
        <v>0</v>
      </c>
      <c r="AF213" s="43">
        <v>0</v>
      </c>
      <c r="AG213" s="43"/>
      <c r="AH213" s="43">
        <f t="shared" si="5"/>
        <v>242956</v>
      </c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</row>
    <row r="214" spans="1:66" s="4" customFormat="1" hidden="1" x14ac:dyDescent="0.2">
      <c r="A214" s="4">
        <v>146</v>
      </c>
      <c r="B214" s="4" t="s">
        <v>455</v>
      </c>
      <c r="D214" s="4" t="s">
        <v>55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>
        <v>0</v>
      </c>
      <c r="P214" s="43">
        <v>0</v>
      </c>
      <c r="Q214" s="43">
        <v>0</v>
      </c>
      <c r="R214" s="43">
        <v>0</v>
      </c>
      <c r="S214" s="43">
        <v>0</v>
      </c>
      <c r="T214" s="43">
        <v>0</v>
      </c>
      <c r="U214" s="43">
        <v>0</v>
      </c>
      <c r="V214" s="43">
        <v>0</v>
      </c>
      <c r="W214" s="43">
        <v>0</v>
      </c>
      <c r="X214" s="43">
        <v>0</v>
      </c>
      <c r="Y214" s="43">
        <v>0</v>
      </c>
      <c r="Z214" s="43">
        <v>0</v>
      </c>
      <c r="AA214" s="43">
        <v>0</v>
      </c>
      <c r="AB214" s="43">
        <v>0</v>
      </c>
      <c r="AC214" s="43">
        <v>0</v>
      </c>
      <c r="AD214" s="43">
        <v>0</v>
      </c>
      <c r="AE214" s="43">
        <v>0</v>
      </c>
      <c r="AF214" s="43">
        <v>0</v>
      </c>
      <c r="AG214" s="43"/>
      <c r="AH214" s="43">
        <f t="shared" si="5"/>
        <v>0</v>
      </c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</row>
    <row r="215" spans="1:66" s="28" customFormat="1" x14ac:dyDescent="0.2">
      <c r="A215" s="4">
        <v>246</v>
      </c>
      <c r="B215" s="4" t="s">
        <v>222</v>
      </c>
      <c r="C215" s="4"/>
      <c r="D215" s="4" t="s">
        <v>223</v>
      </c>
      <c r="E215" s="4"/>
      <c r="F215" s="43">
        <v>331366</v>
      </c>
      <c r="G215" s="43">
        <v>0</v>
      </c>
      <c r="H215" s="43">
        <v>508123</v>
      </c>
      <c r="I215" s="43">
        <v>0</v>
      </c>
      <c r="J215" s="43">
        <v>28890</v>
      </c>
      <c r="K215" s="43">
        <v>0</v>
      </c>
      <c r="L215" s="43">
        <v>40776</v>
      </c>
      <c r="M215" s="43">
        <v>0</v>
      </c>
      <c r="N215" s="43">
        <v>0</v>
      </c>
      <c r="O215" s="43">
        <v>0</v>
      </c>
      <c r="P215" s="43">
        <v>0</v>
      </c>
      <c r="Q215" s="43">
        <v>0</v>
      </c>
      <c r="R215" s="43">
        <v>22125</v>
      </c>
      <c r="S215" s="43">
        <v>0</v>
      </c>
      <c r="T215" s="43">
        <v>5116</v>
      </c>
      <c r="U215" s="43">
        <v>0</v>
      </c>
      <c r="V215" s="43">
        <v>120</v>
      </c>
      <c r="W215" s="43">
        <v>0</v>
      </c>
      <c r="X215" s="43">
        <v>0</v>
      </c>
      <c r="Y215" s="43">
        <v>0</v>
      </c>
      <c r="Z215" s="43">
        <v>0</v>
      </c>
      <c r="AA215" s="43">
        <v>0</v>
      </c>
      <c r="AB215" s="43">
        <v>0</v>
      </c>
      <c r="AC215" s="43">
        <v>0</v>
      </c>
      <c r="AD215" s="43">
        <v>0</v>
      </c>
      <c r="AE215" s="43">
        <v>0</v>
      </c>
      <c r="AF215" s="43">
        <v>0</v>
      </c>
      <c r="AG215" s="43"/>
      <c r="AH215" s="43">
        <f t="shared" si="5"/>
        <v>936516</v>
      </c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</row>
    <row r="216" spans="1:66" s="4" customFormat="1" hidden="1" x14ac:dyDescent="0.2">
      <c r="A216" s="4">
        <v>136</v>
      </c>
      <c r="B216" s="4" t="s">
        <v>224</v>
      </c>
      <c r="D216" s="4" t="s">
        <v>39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0</v>
      </c>
      <c r="V216" s="43">
        <v>0</v>
      </c>
      <c r="W216" s="43">
        <v>0</v>
      </c>
      <c r="X216" s="43">
        <v>0</v>
      </c>
      <c r="Y216" s="43">
        <v>0</v>
      </c>
      <c r="Z216" s="43">
        <v>0</v>
      </c>
      <c r="AA216" s="43">
        <v>0</v>
      </c>
      <c r="AB216" s="43">
        <v>0</v>
      </c>
      <c r="AC216" s="43">
        <v>0</v>
      </c>
      <c r="AD216" s="43">
        <v>0</v>
      </c>
      <c r="AE216" s="43">
        <v>0</v>
      </c>
      <c r="AF216" s="43">
        <v>0</v>
      </c>
      <c r="AG216" s="43"/>
      <c r="AH216" s="43">
        <f t="shared" si="5"/>
        <v>0</v>
      </c>
    </row>
    <row r="217" spans="1:66" s="4" customFormat="1" hidden="1" x14ac:dyDescent="0.2">
      <c r="A217" s="4">
        <v>106</v>
      </c>
      <c r="B217" s="4" t="s">
        <v>456</v>
      </c>
      <c r="D217" s="4" t="s">
        <v>58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>
        <v>0</v>
      </c>
      <c r="P217" s="43">
        <v>0</v>
      </c>
      <c r="Q217" s="43">
        <v>0</v>
      </c>
      <c r="R217" s="43">
        <v>0</v>
      </c>
      <c r="S217" s="43">
        <v>0</v>
      </c>
      <c r="T217" s="43">
        <v>0</v>
      </c>
      <c r="U217" s="43">
        <v>0</v>
      </c>
      <c r="V217" s="43">
        <v>0</v>
      </c>
      <c r="W217" s="43">
        <v>0</v>
      </c>
      <c r="X217" s="43">
        <v>0</v>
      </c>
      <c r="Y217" s="43">
        <v>0</v>
      </c>
      <c r="Z217" s="43">
        <v>0</v>
      </c>
      <c r="AA217" s="43">
        <v>0</v>
      </c>
      <c r="AB217" s="43">
        <v>0</v>
      </c>
      <c r="AC217" s="43">
        <v>0</v>
      </c>
      <c r="AD217" s="43">
        <v>0</v>
      </c>
      <c r="AE217" s="43">
        <v>0</v>
      </c>
      <c r="AF217" s="43">
        <v>0</v>
      </c>
      <c r="AG217" s="43"/>
      <c r="AH217" s="43">
        <f t="shared" si="5"/>
        <v>0</v>
      </c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</row>
    <row r="218" spans="1:66" s="4" customFormat="1" hidden="1" x14ac:dyDescent="0.2">
      <c r="A218" s="4">
        <v>184</v>
      </c>
      <c r="B218" s="4" t="s">
        <v>226</v>
      </c>
      <c r="D218" s="4" t="s">
        <v>227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3">
        <v>0</v>
      </c>
      <c r="X218" s="43">
        <v>0</v>
      </c>
      <c r="Y218" s="43">
        <v>0</v>
      </c>
      <c r="Z218" s="43">
        <v>0</v>
      </c>
      <c r="AA218" s="43">
        <v>0</v>
      </c>
      <c r="AB218" s="43">
        <v>0</v>
      </c>
      <c r="AC218" s="43">
        <v>0</v>
      </c>
      <c r="AD218" s="43">
        <v>0</v>
      </c>
      <c r="AE218" s="43">
        <v>0</v>
      </c>
      <c r="AF218" s="43">
        <v>0</v>
      </c>
      <c r="AG218" s="43"/>
      <c r="AH218" s="43">
        <f t="shared" si="5"/>
        <v>0</v>
      </c>
    </row>
    <row r="219" spans="1:66" s="4" customFormat="1" hidden="1" x14ac:dyDescent="0.2">
      <c r="A219" s="4">
        <v>252</v>
      </c>
      <c r="B219" s="4" t="s">
        <v>229</v>
      </c>
      <c r="D219" s="4" t="s">
        <v>63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43">
        <v>0</v>
      </c>
      <c r="T219" s="43">
        <v>0</v>
      </c>
      <c r="U219" s="43">
        <v>0</v>
      </c>
      <c r="V219" s="43">
        <v>0</v>
      </c>
      <c r="W219" s="43">
        <v>0</v>
      </c>
      <c r="X219" s="43">
        <v>0</v>
      </c>
      <c r="Y219" s="43">
        <v>0</v>
      </c>
      <c r="Z219" s="43">
        <v>0</v>
      </c>
      <c r="AA219" s="43">
        <v>0</v>
      </c>
      <c r="AB219" s="43">
        <v>0</v>
      </c>
      <c r="AC219" s="43">
        <v>0</v>
      </c>
      <c r="AD219" s="43">
        <v>0</v>
      </c>
      <c r="AE219" s="43">
        <v>0</v>
      </c>
      <c r="AF219" s="43">
        <v>0</v>
      </c>
      <c r="AG219" s="43"/>
      <c r="AH219" s="43">
        <f t="shared" si="5"/>
        <v>0</v>
      </c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</row>
    <row r="220" spans="1:66" s="4" customFormat="1" hidden="1" x14ac:dyDescent="0.2">
      <c r="A220" s="4">
        <v>219</v>
      </c>
      <c r="B220" s="4" t="s">
        <v>230</v>
      </c>
      <c r="D220" s="4" t="s">
        <v>20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0</v>
      </c>
      <c r="W220" s="43">
        <v>0</v>
      </c>
      <c r="X220" s="43">
        <v>0</v>
      </c>
      <c r="Y220" s="43">
        <v>0</v>
      </c>
      <c r="Z220" s="43">
        <v>0</v>
      </c>
      <c r="AA220" s="43">
        <v>0</v>
      </c>
      <c r="AB220" s="43">
        <v>0</v>
      </c>
      <c r="AC220" s="43">
        <v>0</v>
      </c>
      <c r="AD220" s="43">
        <v>0</v>
      </c>
      <c r="AE220" s="43">
        <v>0</v>
      </c>
      <c r="AF220" s="43">
        <v>0</v>
      </c>
      <c r="AG220" s="43"/>
      <c r="AH220" s="43">
        <f t="shared" si="5"/>
        <v>0</v>
      </c>
    </row>
    <row r="221" spans="1:66" s="4" customFormat="1" hidden="1" x14ac:dyDescent="0.2">
      <c r="A221" s="4">
        <v>187</v>
      </c>
      <c r="B221" s="4" t="s">
        <v>590</v>
      </c>
      <c r="D221" s="4" t="s">
        <v>64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0</v>
      </c>
      <c r="S221" s="43">
        <v>0</v>
      </c>
      <c r="T221" s="43">
        <v>0</v>
      </c>
      <c r="U221" s="43">
        <v>0</v>
      </c>
      <c r="V221" s="43">
        <v>0</v>
      </c>
      <c r="W221" s="43">
        <v>0</v>
      </c>
      <c r="X221" s="43">
        <v>0</v>
      </c>
      <c r="Y221" s="43">
        <v>0</v>
      </c>
      <c r="Z221" s="43">
        <v>0</v>
      </c>
      <c r="AA221" s="43">
        <v>0</v>
      </c>
      <c r="AB221" s="43">
        <v>0</v>
      </c>
      <c r="AC221" s="43">
        <v>0</v>
      </c>
      <c r="AD221" s="43">
        <v>0</v>
      </c>
      <c r="AE221" s="43">
        <v>0</v>
      </c>
      <c r="AF221" s="43">
        <v>0</v>
      </c>
      <c r="AG221" s="43"/>
      <c r="AH221" s="43">
        <f t="shared" si="5"/>
        <v>0</v>
      </c>
    </row>
    <row r="222" spans="1:66" s="4" customFormat="1" x14ac:dyDescent="0.2">
      <c r="A222" s="4">
        <v>176</v>
      </c>
      <c r="B222" s="4" t="s">
        <v>231</v>
      </c>
      <c r="D222" s="4" t="s">
        <v>66</v>
      </c>
      <c r="F222" s="43">
        <v>0</v>
      </c>
      <c r="G222" s="43">
        <v>0</v>
      </c>
      <c r="H222" s="43">
        <v>206482</v>
      </c>
      <c r="I222" s="43">
        <v>0</v>
      </c>
      <c r="J222" s="43">
        <v>0</v>
      </c>
      <c r="K222" s="43">
        <v>0</v>
      </c>
      <c r="L222" s="43">
        <v>1931</v>
      </c>
      <c r="M222" s="43">
        <v>0</v>
      </c>
      <c r="N222" s="43">
        <v>0</v>
      </c>
      <c r="O222" s="43">
        <v>0</v>
      </c>
      <c r="P222" s="43">
        <v>0</v>
      </c>
      <c r="Q222" s="43">
        <v>0</v>
      </c>
      <c r="R222" s="43">
        <v>20</v>
      </c>
      <c r="S222" s="43">
        <v>0</v>
      </c>
      <c r="T222" s="43">
        <v>393</v>
      </c>
      <c r="U222" s="43">
        <v>0</v>
      </c>
      <c r="V222" s="43">
        <v>121</v>
      </c>
      <c r="W222" s="43">
        <v>0</v>
      </c>
      <c r="X222" s="43">
        <v>0</v>
      </c>
      <c r="Y222" s="43">
        <v>0</v>
      </c>
      <c r="Z222" s="43">
        <v>0</v>
      </c>
      <c r="AA222" s="43">
        <v>0</v>
      </c>
      <c r="AB222" s="43">
        <v>0</v>
      </c>
      <c r="AC222" s="43">
        <v>0</v>
      </c>
      <c r="AD222" s="43">
        <v>0</v>
      </c>
      <c r="AE222" s="43">
        <v>0</v>
      </c>
      <c r="AF222" s="43">
        <v>0</v>
      </c>
      <c r="AG222" s="43"/>
      <c r="AH222" s="43">
        <f t="shared" si="5"/>
        <v>208947</v>
      </c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</row>
    <row r="223" spans="1:66" s="4" customFormat="1" x14ac:dyDescent="0.2">
      <c r="A223" s="4">
        <v>128</v>
      </c>
      <c r="B223" s="4" t="s">
        <v>232</v>
      </c>
      <c r="D223" s="4" t="s">
        <v>13</v>
      </c>
      <c r="F223" s="43">
        <v>882638.22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>
        <v>0</v>
      </c>
      <c r="P223" s="43">
        <v>0</v>
      </c>
      <c r="Q223" s="43">
        <v>0</v>
      </c>
      <c r="R223" s="43">
        <v>0</v>
      </c>
      <c r="S223" s="43">
        <v>0</v>
      </c>
      <c r="T223" s="43">
        <v>0</v>
      </c>
      <c r="U223" s="43">
        <v>0</v>
      </c>
      <c r="V223" s="43">
        <v>0</v>
      </c>
      <c r="W223" s="43">
        <v>0</v>
      </c>
      <c r="X223" s="43">
        <v>0</v>
      </c>
      <c r="Y223" s="43">
        <v>0</v>
      </c>
      <c r="Z223" s="43">
        <v>0</v>
      </c>
      <c r="AA223" s="43">
        <v>0</v>
      </c>
      <c r="AB223" s="43">
        <v>0</v>
      </c>
      <c r="AC223" s="43">
        <v>0</v>
      </c>
      <c r="AD223" s="43">
        <v>0</v>
      </c>
      <c r="AE223" s="43">
        <v>0</v>
      </c>
      <c r="AF223" s="43">
        <v>0</v>
      </c>
      <c r="AG223" s="43"/>
      <c r="AH223" s="43">
        <f t="shared" si="5"/>
        <v>882638.22</v>
      </c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</row>
    <row r="224" spans="1:66" s="4" customFormat="1" x14ac:dyDescent="0.2">
      <c r="A224" s="4">
        <v>188</v>
      </c>
      <c r="B224" s="4" t="s">
        <v>233</v>
      </c>
      <c r="D224" s="4" t="s">
        <v>234</v>
      </c>
      <c r="F224" s="43">
        <v>0</v>
      </c>
      <c r="G224" s="43">
        <v>0</v>
      </c>
      <c r="H224" s="43">
        <v>0</v>
      </c>
      <c r="I224" s="43">
        <v>0</v>
      </c>
      <c r="J224" s="43">
        <v>1410767</v>
      </c>
      <c r="K224" s="43">
        <v>0</v>
      </c>
      <c r="L224" s="43">
        <v>59934</v>
      </c>
      <c r="M224" s="43">
        <v>0</v>
      </c>
      <c r="N224" s="43">
        <v>0</v>
      </c>
      <c r="O224" s="43">
        <v>0</v>
      </c>
      <c r="P224" s="43">
        <v>0</v>
      </c>
      <c r="Q224" s="43">
        <v>0</v>
      </c>
      <c r="R224" s="43">
        <v>15831</v>
      </c>
      <c r="S224" s="43">
        <v>0</v>
      </c>
      <c r="T224" s="43">
        <v>45691</v>
      </c>
      <c r="U224" s="43">
        <v>0</v>
      </c>
      <c r="V224" s="43">
        <v>9737</v>
      </c>
      <c r="W224" s="43">
        <v>0</v>
      </c>
      <c r="X224" s="43">
        <v>0</v>
      </c>
      <c r="Y224" s="43">
        <v>0</v>
      </c>
      <c r="Z224" s="43">
        <v>0</v>
      </c>
      <c r="AA224" s="43">
        <v>0</v>
      </c>
      <c r="AB224" s="43">
        <v>0</v>
      </c>
      <c r="AC224" s="43">
        <v>0</v>
      </c>
      <c r="AD224" s="43">
        <v>0</v>
      </c>
      <c r="AE224" s="43">
        <v>0</v>
      </c>
      <c r="AF224" s="43">
        <v>0</v>
      </c>
      <c r="AG224" s="43"/>
      <c r="AH224" s="43">
        <f t="shared" si="5"/>
        <v>1541960</v>
      </c>
    </row>
    <row r="225" spans="1:66" s="4" customFormat="1" hidden="1" x14ac:dyDescent="0.2">
      <c r="A225" s="4">
        <v>72</v>
      </c>
      <c r="B225" s="4" t="s">
        <v>310</v>
      </c>
      <c r="D225" s="4" t="s">
        <v>65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3">
        <v>0</v>
      </c>
      <c r="R225" s="43">
        <v>0</v>
      </c>
      <c r="S225" s="43">
        <v>0</v>
      </c>
      <c r="T225" s="43">
        <v>0</v>
      </c>
      <c r="U225" s="43">
        <v>0</v>
      </c>
      <c r="V225" s="43">
        <v>0</v>
      </c>
      <c r="W225" s="43">
        <v>0</v>
      </c>
      <c r="X225" s="43">
        <v>0</v>
      </c>
      <c r="Y225" s="43">
        <v>0</v>
      </c>
      <c r="Z225" s="43">
        <v>0</v>
      </c>
      <c r="AA225" s="43">
        <v>0</v>
      </c>
      <c r="AB225" s="43">
        <v>0</v>
      </c>
      <c r="AC225" s="43">
        <v>0</v>
      </c>
      <c r="AD225" s="43">
        <v>0</v>
      </c>
      <c r="AE225" s="43">
        <v>0</v>
      </c>
      <c r="AF225" s="43">
        <v>0</v>
      </c>
      <c r="AG225" s="43"/>
      <c r="AH225" s="43">
        <f t="shared" si="5"/>
        <v>0</v>
      </c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</row>
    <row r="226" spans="1:66" s="4" customFormat="1" hidden="1" x14ac:dyDescent="0.2">
      <c r="A226" s="4">
        <v>163</v>
      </c>
      <c r="B226" s="4" t="s">
        <v>570</v>
      </c>
      <c r="D226" s="4" t="s">
        <v>51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0</v>
      </c>
      <c r="O226" s="43">
        <v>0</v>
      </c>
      <c r="P226" s="43">
        <v>0</v>
      </c>
      <c r="Q226" s="43">
        <v>0</v>
      </c>
      <c r="R226" s="43">
        <v>0</v>
      </c>
      <c r="S226" s="43">
        <v>0</v>
      </c>
      <c r="T226" s="43">
        <v>0</v>
      </c>
      <c r="U226" s="43">
        <v>0</v>
      </c>
      <c r="V226" s="43">
        <v>0</v>
      </c>
      <c r="W226" s="43">
        <v>0</v>
      </c>
      <c r="X226" s="43">
        <v>0</v>
      </c>
      <c r="Y226" s="43">
        <v>0</v>
      </c>
      <c r="Z226" s="43">
        <v>0</v>
      </c>
      <c r="AA226" s="43">
        <v>0</v>
      </c>
      <c r="AB226" s="43">
        <v>0</v>
      </c>
      <c r="AC226" s="43">
        <v>0</v>
      </c>
      <c r="AD226" s="43">
        <v>0</v>
      </c>
      <c r="AE226" s="43">
        <v>0</v>
      </c>
      <c r="AF226" s="43">
        <v>0</v>
      </c>
      <c r="AG226" s="43"/>
      <c r="AH226" s="43">
        <f t="shared" si="5"/>
        <v>0</v>
      </c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</row>
    <row r="227" spans="1:66" s="4" customFormat="1" hidden="1" x14ac:dyDescent="0.2">
      <c r="A227" s="4">
        <v>151</v>
      </c>
      <c r="B227" s="4" t="s">
        <v>235</v>
      </c>
      <c r="D227" s="4" t="s">
        <v>10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0</v>
      </c>
      <c r="P227" s="43">
        <v>0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43">
        <v>0</v>
      </c>
      <c r="W227" s="43">
        <v>0</v>
      </c>
      <c r="X227" s="43">
        <v>0</v>
      </c>
      <c r="Y227" s="43">
        <v>0</v>
      </c>
      <c r="Z227" s="43">
        <v>0</v>
      </c>
      <c r="AA227" s="43">
        <v>0</v>
      </c>
      <c r="AB227" s="43">
        <v>0</v>
      </c>
      <c r="AC227" s="43">
        <v>0</v>
      </c>
      <c r="AD227" s="43">
        <v>0</v>
      </c>
      <c r="AE227" s="43">
        <v>0</v>
      </c>
      <c r="AF227" s="43">
        <v>0</v>
      </c>
      <c r="AG227" s="43"/>
      <c r="AH227" s="43">
        <f t="shared" si="5"/>
        <v>0</v>
      </c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</row>
    <row r="228" spans="1:66" s="4" customFormat="1" x14ac:dyDescent="0.2">
      <c r="A228" s="4">
        <v>192</v>
      </c>
      <c r="B228" s="4" t="s">
        <v>591</v>
      </c>
      <c r="D228" s="4" t="s">
        <v>171</v>
      </c>
      <c r="F228" s="43">
        <v>0</v>
      </c>
      <c r="G228" s="43">
        <v>0</v>
      </c>
      <c r="H228" s="43">
        <v>1942374</v>
      </c>
      <c r="I228" s="43">
        <v>0</v>
      </c>
      <c r="J228" s="43">
        <v>2784</v>
      </c>
      <c r="K228" s="43">
        <v>0</v>
      </c>
      <c r="L228" s="43">
        <v>32102</v>
      </c>
      <c r="M228" s="43">
        <v>0</v>
      </c>
      <c r="N228" s="43">
        <v>0</v>
      </c>
      <c r="O228" s="43">
        <v>0</v>
      </c>
      <c r="P228" s="43">
        <v>18927</v>
      </c>
      <c r="Q228" s="43">
        <v>0</v>
      </c>
      <c r="R228" s="43">
        <v>19412</v>
      </c>
      <c r="S228" s="43">
        <v>0</v>
      </c>
      <c r="T228" s="43">
        <v>3382</v>
      </c>
      <c r="U228" s="43">
        <v>0</v>
      </c>
      <c r="V228" s="43">
        <v>25407</v>
      </c>
      <c r="W228" s="43">
        <v>0</v>
      </c>
      <c r="X228" s="43">
        <v>0</v>
      </c>
      <c r="Y228" s="43">
        <v>0</v>
      </c>
      <c r="Z228" s="43">
        <v>110000</v>
      </c>
      <c r="AA228" s="43">
        <v>0</v>
      </c>
      <c r="AB228" s="43">
        <v>0</v>
      </c>
      <c r="AC228" s="43">
        <v>0</v>
      </c>
      <c r="AD228" s="43">
        <v>0</v>
      </c>
      <c r="AE228" s="43">
        <v>0</v>
      </c>
      <c r="AF228" s="43">
        <v>0</v>
      </c>
      <c r="AG228" s="43"/>
      <c r="AH228" s="43">
        <f t="shared" si="5"/>
        <v>2154388</v>
      </c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</row>
    <row r="229" spans="1:66" s="4" customFormat="1" hidden="1" x14ac:dyDescent="0.2">
      <c r="B229" s="4" t="s">
        <v>604</v>
      </c>
      <c r="D229" s="4" t="s">
        <v>156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v>0</v>
      </c>
      <c r="O229" s="43">
        <v>0</v>
      </c>
      <c r="P229" s="43">
        <v>0</v>
      </c>
      <c r="Q229" s="43">
        <v>0</v>
      </c>
      <c r="R229" s="43">
        <v>0</v>
      </c>
      <c r="S229" s="43">
        <v>0</v>
      </c>
      <c r="T229" s="43">
        <v>0</v>
      </c>
      <c r="U229" s="43">
        <v>0</v>
      </c>
      <c r="V229" s="43">
        <v>0</v>
      </c>
      <c r="W229" s="43">
        <v>0</v>
      </c>
      <c r="X229" s="43">
        <v>0</v>
      </c>
      <c r="Y229" s="43">
        <v>0</v>
      </c>
      <c r="Z229" s="43">
        <v>0</v>
      </c>
      <c r="AA229" s="43">
        <v>0</v>
      </c>
      <c r="AB229" s="43">
        <v>0</v>
      </c>
      <c r="AC229" s="43">
        <v>0</v>
      </c>
      <c r="AD229" s="43">
        <v>0</v>
      </c>
      <c r="AE229" s="43">
        <v>0</v>
      </c>
      <c r="AF229" s="43">
        <v>0</v>
      </c>
      <c r="AG229" s="43"/>
      <c r="AH229" s="43">
        <f t="shared" si="5"/>
        <v>0</v>
      </c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</row>
    <row r="230" spans="1:66" s="4" customFormat="1" x14ac:dyDescent="0.2">
      <c r="A230" s="4">
        <v>55</v>
      </c>
      <c r="B230" s="4" t="s">
        <v>436</v>
      </c>
      <c r="D230" s="4" t="s">
        <v>17</v>
      </c>
      <c r="F230" s="43">
        <v>3325662</v>
      </c>
      <c r="G230" s="43">
        <v>0</v>
      </c>
      <c r="H230" s="43">
        <v>1032295</v>
      </c>
      <c r="I230" s="43">
        <v>0</v>
      </c>
      <c r="J230" s="43">
        <v>389915</v>
      </c>
      <c r="K230" s="43">
        <v>0</v>
      </c>
      <c r="L230" s="43">
        <v>90727</v>
      </c>
      <c r="M230" s="43">
        <v>0</v>
      </c>
      <c r="N230" s="43">
        <v>0</v>
      </c>
      <c r="O230" s="43">
        <v>0</v>
      </c>
      <c r="P230" s="43">
        <v>0</v>
      </c>
      <c r="Q230" s="43">
        <v>0</v>
      </c>
      <c r="R230" s="43">
        <v>61523</v>
      </c>
      <c r="S230" s="43">
        <v>0</v>
      </c>
      <c r="T230" s="43">
        <v>14187</v>
      </c>
      <c r="U230" s="43">
        <v>0</v>
      </c>
      <c r="V230" s="43">
        <v>27196</v>
      </c>
      <c r="W230" s="43">
        <v>0</v>
      </c>
      <c r="X230" s="43">
        <v>0</v>
      </c>
      <c r="Y230" s="43">
        <v>0</v>
      </c>
      <c r="Z230" s="43">
        <v>237273</v>
      </c>
      <c r="AA230" s="43">
        <v>0</v>
      </c>
      <c r="AB230" s="43">
        <v>0</v>
      </c>
      <c r="AC230" s="43">
        <v>0</v>
      </c>
      <c r="AD230" s="43">
        <v>0</v>
      </c>
      <c r="AE230" s="43">
        <v>0</v>
      </c>
      <c r="AF230" s="43">
        <v>0</v>
      </c>
      <c r="AG230" s="43"/>
      <c r="AH230" s="43">
        <f t="shared" si="5"/>
        <v>5178778</v>
      </c>
    </row>
    <row r="231" spans="1:66" s="4" customFormat="1" x14ac:dyDescent="0.2">
      <c r="A231" s="4">
        <v>202</v>
      </c>
      <c r="B231" s="4" t="s">
        <v>21</v>
      </c>
      <c r="D231" s="4" t="s">
        <v>22</v>
      </c>
      <c r="F231" s="43">
        <v>914870</v>
      </c>
      <c r="G231" s="43">
        <v>0</v>
      </c>
      <c r="H231" s="43">
        <v>0</v>
      </c>
      <c r="I231" s="43">
        <v>0</v>
      </c>
      <c r="J231" s="43">
        <v>2251512</v>
      </c>
      <c r="K231" s="43">
        <v>0</v>
      </c>
      <c r="L231" s="43">
        <v>51835</v>
      </c>
      <c r="M231" s="43">
        <v>0</v>
      </c>
      <c r="N231" s="43">
        <v>0</v>
      </c>
      <c r="O231" s="43">
        <v>0</v>
      </c>
      <c r="P231" s="43">
        <v>0</v>
      </c>
      <c r="Q231" s="43">
        <v>0</v>
      </c>
      <c r="R231" s="43">
        <v>45979</v>
      </c>
      <c r="S231" s="43">
        <v>0</v>
      </c>
      <c r="T231" s="43">
        <v>1264</v>
      </c>
      <c r="U231" s="43">
        <v>0</v>
      </c>
      <c r="V231" s="43">
        <v>39287</v>
      </c>
      <c r="W231" s="43">
        <v>0</v>
      </c>
      <c r="X231" s="43">
        <v>0</v>
      </c>
      <c r="Y231" s="43">
        <v>0</v>
      </c>
      <c r="Z231" s="43">
        <v>0</v>
      </c>
      <c r="AA231" s="43">
        <v>0</v>
      </c>
      <c r="AB231" s="43">
        <v>0</v>
      </c>
      <c r="AC231" s="43">
        <v>0</v>
      </c>
      <c r="AD231" s="43">
        <v>0</v>
      </c>
      <c r="AE231" s="43">
        <v>0</v>
      </c>
      <c r="AF231" s="43">
        <v>0</v>
      </c>
      <c r="AG231" s="43"/>
      <c r="AH231" s="43">
        <f t="shared" si="5"/>
        <v>3304747</v>
      </c>
    </row>
    <row r="232" spans="1:66" s="4" customFormat="1" x14ac:dyDescent="0.2">
      <c r="A232" s="4">
        <v>196</v>
      </c>
      <c r="B232" s="4" t="s">
        <v>592</v>
      </c>
      <c r="D232" s="4" t="s">
        <v>100</v>
      </c>
      <c r="F232" s="43">
        <v>751586</v>
      </c>
      <c r="G232" s="43">
        <v>0</v>
      </c>
      <c r="H232" s="43">
        <v>0</v>
      </c>
      <c r="I232" s="43">
        <v>0</v>
      </c>
      <c r="J232" s="43">
        <v>1016141</v>
      </c>
      <c r="K232" s="43">
        <v>0</v>
      </c>
      <c r="L232" s="43">
        <v>13401</v>
      </c>
      <c r="M232" s="43">
        <v>0</v>
      </c>
      <c r="N232" s="43">
        <v>0</v>
      </c>
      <c r="O232" s="43">
        <v>0</v>
      </c>
      <c r="P232" s="43">
        <v>0</v>
      </c>
      <c r="Q232" s="43">
        <v>0</v>
      </c>
      <c r="R232" s="43">
        <v>1913</v>
      </c>
      <c r="S232" s="43">
        <v>0</v>
      </c>
      <c r="T232" s="43">
        <v>1110</v>
      </c>
      <c r="U232" s="43">
        <v>0</v>
      </c>
      <c r="V232" s="43">
        <f>17555+14209</f>
        <v>31764</v>
      </c>
      <c r="W232" s="43">
        <v>0</v>
      </c>
      <c r="X232" s="43">
        <v>0</v>
      </c>
      <c r="Y232" s="43">
        <v>0</v>
      </c>
      <c r="Z232" s="43">
        <v>0</v>
      </c>
      <c r="AA232" s="43">
        <v>0</v>
      </c>
      <c r="AB232" s="43">
        <v>0</v>
      </c>
      <c r="AC232" s="43">
        <v>0</v>
      </c>
      <c r="AD232" s="43">
        <v>0</v>
      </c>
      <c r="AE232" s="43">
        <v>0</v>
      </c>
      <c r="AF232" s="43">
        <v>0</v>
      </c>
      <c r="AG232" s="43"/>
      <c r="AH232" s="43">
        <f t="shared" si="5"/>
        <v>1815915</v>
      </c>
    </row>
    <row r="233" spans="1:66" s="4" customFormat="1" x14ac:dyDescent="0.2">
      <c r="B233" s="4" t="s">
        <v>605</v>
      </c>
      <c r="C233" s="15"/>
      <c r="D233" s="15" t="s">
        <v>565</v>
      </c>
      <c r="F233" s="43">
        <v>15948657</v>
      </c>
      <c r="G233" s="43">
        <v>0</v>
      </c>
      <c r="H233" s="43">
        <v>0</v>
      </c>
      <c r="I233" s="43">
        <v>0</v>
      </c>
      <c r="J233" s="43">
        <v>37445155</v>
      </c>
      <c r="K233" s="43">
        <v>0</v>
      </c>
      <c r="L233" s="43">
        <v>1836534</v>
      </c>
      <c r="M233" s="43">
        <v>0</v>
      </c>
      <c r="N233" s="43">
        <v>0</v>
      </c>
      <c r="O233" s="43">
        <v>0</v>
      </c>
      <c r="P233" s="43">
        <v>270</v>
      </c>
      <c r="Q233" s="43">
        <v>0</v>
      </c>
      <c r="R233" s="43">
        <v>276749</v>
      </c>
      <c r="S233" s="43">
        <v>0</v>
      </c>
      <c r="T233" s="43">
        <v>144720</v>
      </c>
      <c r="U233" s="43">
        <v>0</v>
      </c>
      <c r="V233" s="43">
        <v>1120893</v>
      </c>
      <c r="W233" s="43">
        <v>0</v>
      </c>
      <c r="X233" s="43">
        <v>320000</v>
      </c>
      <c r="Y233" s="43">
        <v>0</v>
      </c>
      <c r="Z233" s="43">
        <v>2500000</v>
      </c>
      <c r="AA233" s="43">
        <v>0</v>
      </c>
      <c r="AB233" s="43">
        <v>0</v>
      </c>
      <c r="AC233" s="43">
        <v>0</v>
      </c>
      <c r="AD233" s="43">
        <v>0</v>
      </c>
      <c r="AE233" s="43">
        <v>0</v>
      </c>
      <c r="AF233" s="43">
        <v>0</v>
      </c>
      <c r="AG233" s="43"/>
      <c r="AH233" s="43">
        <f t="shared" si="5"/>
        <v>59592978</v>
      </c>
    </row>
    <row r="234" spans="1:66" s="4" customFormat="1" hidden="1" x14ac:dyDescent="0.2">
      <c r="A234" s="4">
        <v>102</v>
      </c>
      <c r="B234" s="4" t="s">
        <v>236</v>
      </c>
      <c r="D234" s="4" t="s">
        <v>44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v>0</v>
      </c>
      <c r="O234" s="43">
        <v>0</v>
      </c>
      <c r="P234" s="43">
        <v>0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43">
        <v>0</v>
      </c>
      <c r="W234" s="43">
        <v>0</v>
      </c>
      <c r="X234" s="43">
        <v>0</v>
      </c>
      <c r="Y234" s="43">
        <v>0</v>
      </c>
      <c r="Z234" s="43">
        <v>0</v>
      </c>
      <c r="AA234" s="43">
        <v>0</v>
      </c>
      <c r="AB234" s="43">
        <v>0</v>
      </c>
      <c r="AC234" s="43">
        <v>0</v>
      </c>
      <c r="AD234" s="43">
        <v>0</v>
      </c>
      <c r="AE234" s="43">
        <v>0</v>
      </c>
      <c r="AF234" s="43">
        <v>0</v>
      </c>
      <c r="AG234" s="43"/>
      <c r="AH234" s="43">
        <f t="shared" si="5"/>
        <v>0</v>
      </c>
    </row>
    <row r="235" spans="1:66" s="4" customFormat="1" hidden="1" x14ac:dyDescent="0.2">
      <c r="A235" s="39">
        <v>197.1</v>
      </c>
      <c r="B235" s="3" t="s">
        <v>568</v>
      </c>
      <c r="C235" s="3"/>
      <c r="D235" s="3" t="s">
        <v>569</v>
      </c>
      <c r="E235" s="3"/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3">
        <v>0</v>
      </c>
      <c r="Q235" s="43">
        <v>0</v>
      </c>
      <c r="R235" s="43">
        <v>0</v>
      </c>
      <c r="S235" s="43">
        <v>0</v>
      </c>
      <c r="T235" s="43">
        <v>0</v>
      </c>
      <c r="U235" s="43">
        <v>0</v>
      </c>
      <c r="V235" s="43">
        <v>0</v>
      </c>
      <c r="W235" s="43">
        <v>0</v>
      </c>
      <c r="X235" s="43">
        <v>0</v>
      </c>
      <c r="Y235" s="43">
        <v>0</v>
      </c>
      <c r="Z235" s="43">
        <v>0</v>
      </c>
      <c r="AA235" s="43">
        <v>0</v>
      </c>
      <c r="AB235" s="43">
        <v>0</v>
      </c>
      <c r="AC235" s="43">
        <v>0</v>
      </c>
      <c r="AD235" s="43">
        <v>0</v>
      </c>
      <c r="AE235" s="43">
        <v>0</v>
      </c>
      <c r="AF235" s="43">
        <v>0</v>
      </c>
      <c r="AG235" s="43"/>
      <c r="AH235" s="43">
        <f t="shared" si="5"/>
        <v>0</v>
      </c>
    </row>
    <row r="236" spans="1:66" s="4" customFormat="1" hidden="1" x14ac:dyDescent="0.2">
      <c r="A236" s="4">
        <v>193</v>
      </c>
      <c r="B236" s="4" t="s">
        <v>237</v>
      </c>
      <c r="D236" s="4" t="s">
        <v>171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3">
        <v>0</v>
      </c>
      <c r="Q236" s="43">
        <v>0</v>
      </c>
      <c r="R236" s="43">
        <v>0</v>
      </c>
      <c r="S236" s="43">
        <v>0</v>
      </c>
      <c r="T236" s="43">
        <v>0</v>
      </c>
      <c r="U236" s="43">
        <v>0</v>
      </c>
      <c r="V236" s="43">
        <v>0</v>
      </c>
      <c r="W236" s="43">
        <v>0</v>
      </c>
      <c r="X236" s="43">
        <v>0</v>
      </c>
      <c r="Y236" s="43">
        <v>0</v>
      </c>
      <c r="Z236" s="43">
        <v>0</v>
      </c>
      <c r="AA236" s="43">
        <v>0</v>
      </c>
      <c r="AB236" s="43">
        <v>0</v>
      </c>
      <c r="AC236" s="43">
        <v>0</v>
      </c>
      <c r="AD236" s="43">
        <v>0</v>
      </c>
      <c r="AE236" s="43">
        <v>0</v>
      </c>
      <c r="AF236" s="43">
        <v>0</v>
      </c>
      <c r="AG236" s="43"/>
      <c r="AH236" s="43">
        <f t="shared" si="5"/>
        <v>0</v>
      </c>
    </row>
    <row r="237" spans="1:66" s="4" customFormat="1" x14ac:dyDescent="0.2">
      <c r="A237" s="4">
        <v>153</v>
      </c>
      <c r="B237" s="4" t="s">
        <v>238</v>
      </c>
      <c r="D237" s="4" t="s">
        <v>213</v>
      </c>
      <c r="F237" s="43">
        <v>10566490</v>
      </c>
      <c r="G237" s="43">
        <v>0</v>
      </c>
      <c r="H237" s="43">
        <v>7409066</v>
      </c>
      <c r="I237" s="43">
        <v>0</v>
      </c>
      <c r="J237" s="43">
        <v>103715</v>
      </c>
      <c r="K237" s="43">
        <v>0</v>
      </c>
      <c r="L237" s="43">
        <v>225512</v>
      </c>
      <c r="M237" s="43">
        <v>0</v>
      </c>
      <c r="N237" s="43">
        <v>0</v>
      </c>
      <c r="O237" s="43">
        <v>0</v>
      </c>
      <c r="P237" s="43">
        <v>0</v>
      </c>
      <c r="Q237" s="43">
        <v>0</v>
      </c>
      <c r="R237" s="43">
        <v>8426</v>
      </c>
      <c r="S237" s="43">
        <v>0</v>
      </c>
      <c r="T237" s="43">
        <v>86570</v>
      </c>
      <c r="U237" s="43">
        <v>0</v>
      </c>
      <c r="V237" s="43">
        <v>84893</v>
      </c>
      <c r="W237" s="43">
        <v>0</v>
      </c>
      <c r="X237" s="43">
        <v>0</v>
      </c>
      <c r="Y237" s="43">
        <v>0</v>
      </c>
      <c r="Z237" s="43">
        <v>6450000</v>
      </c>
      <c r="AA237" s="43">
        <v>0</v>
      </c>
      <c r="AB237" s="43">
        <v>0</v>
      </c>
      <c r="AC237" s="43">
        <v>0</v>
      </c>
      <c r="AD237" s="43">
        <v>0</v>
      </c>
      <c r="AE237" s="43">
        <v>0</v>
      </c>
      <c r="AF237" s="43">
        <v>0</v>
      </c>
      <c r="AG237" s="43"/>
      <c r="AH237" s="43">
        <f t="shared" si="5"/>
        <v>24934672</v>
      </c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</row>
    <row r="238" spans="1:66" s="7" customFormat="1" x14ac:dyDescent="0.2">
      <c r="A238" s="7">
        <v>238</v>
      </c>
      <c r="B238" s="7" t="s">
        <v>239</v>
      </c>
      <c r="D238" s="7" t="s">
        <v>191</v>
      </c>
      <c r="F238" s="43">
        <v>0</v>
      </c>
      <c r="G238" s="43">
        <v>0</v>
      </c>
      <c r="H238" s="43">
        <v>273062.27</v>
      </c>
      <c r="I238" s="43">
        <v>0</v>
      </c>
      <c r="J238" s="43">
        <v>0</v>
      </c>
      <c r="K238" s="43">
        <v>0</v>
      </c>
      <c r="L238" s="43">
        <v>4966.1000000000004</v>
      </c>
      <c r="M238" s="43">
        <v>0</v>
      </c>
      <c r="N238" s="43">
        <v>0</v>
      </c>
      <c r="O238" s="43">
        <v>0</v>
      </c>
      <c r="P238" s="43">
        <v>0</v>
      </c>
      <c r="Q238" s="43">
        <v>0</v>
      </c>
      <c r="R238" s="43">
        <v>575</v>
      </c>
      <c r="S238" s="43">
        <v>0</v>
      </c>
      <c r="T238" s="43">
        <v>292.41000000000003</v>
      </c>
      <c r="U238" s="43">
        <v>0</v>
      </c>
      <c r="V238" s="43">
        <v>12385.87</v>
      </c>
      <c r="W238" s="43">
        <v>0</v>
      </c>
      <c r="X238" s="43">
        <v>0</v>
      </c>
      <c r="Y238" s="43">
        <v>0</v>
      </c>
      <c r="Z238" s="43">
        <v>0</v>
      </c>
      <c r="AA238" s="43">
        <v>0</v>
      </c>
      <c r="AB238" s="43">
        <v>0</v>
      </c>
      <c r="AC238" s="43">
        <v>0</v>
      </c>
      <c r="AD238" s="43">
        <v>0</v>
      </c>
      <c r="AE238" s="43">
        <v>0</v>
      </c>
      <c r="AF238" s="43">
        <v>0</v>
      </c>
      <c r="AG238" s="43"/>
      <c r="AH238" s="43">
        <f t="shared" si="5"/>
        <v>291281.64999999997</v>
      </c>
    </row>
    <row r="239" spans="1:66" s="4" customFormat="1" hidden="1" x14ac:dyDescent="0.2">
      <c r="A239" s="4">
        <v>100</v>
      </c>
      <c r="B239" s="4" t="s">
        <v>312</v>
      </c>
      <c r="D239" s="4" t="s">
        <v>59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  <c r="Q239" s="43">
        <v>0</v>
      </c>
      <c r="R239" s="43">
        <v>0</v>
      </c>
      <c r="S239" s="43">
        <v>0</v>
      </c>
      <c r="T239" s="43">
        <v>0</v>
      </c>
      <c r="U239" s="43">
        <v>0</v>
      </c>
      <c r="V239" s="43">
        <v>0</v>
      </c>
      <c r="W239" s="43">
        <v>0</v>
      </c>
      <c r="X239" s="43">
        <v>0</v>
      </c>
      <c r="Y239" s="43">
        <v>0</v>
      </c>
      <c r="Z239" s="43">
        <v>0</v>
      </c>
      <c r="AA239" s="43">
        <v>0</v>
      </c>
      <c r="AB239" s="43">
        <v>0</v>
      </c>
      <c r="AC239" s="43">
        <v>0</v>
      </c>
      <c r="AD239" s="43">
        <v>0</v>
      </c>
      <c r="AE239" s="43">
        <v>0</v>
      </c>
      <c r="AF239" s="43">
        <v>0</v>
      </c>
      <c r="AG239" s="43"/>
      <c r="AH239" s="43">
        <f t="shared" si="5"/>
        <v>0</v>
      </c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</row>
    <row r="240" spans="1:66" s="4" customFormat="1" hidden="1" x14ac:dyDescent="0.2">
      <c r="A240" s="4">
        <v>68</v>
      </c>
      <c r="B240" s="4" t="s">
        <v>458</v>
      </c>
      <c r="D240" s="4" t="s">
        <v>165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</v>
      </c>
      <c r="Q240" s="43">
        <v>0</v>
      </c>
      <c r="R240" s="43">
        <v>0</v>
      </c>
      <c r="S240" s="43">
        <v>0</v>
      </c>
      <c r="T240" s="43">
        <v>0</v>
      </c>
      <c r="U240" s="43">
        <v>0</v>
      </c>
      <c r="V240" s="43">
        <v>0</v>
      </c>
      <c r="W240" s="43">
        <v>0</v>
      </c>
      <c r="X240" s="43">
        <v>0</v>
      </c>
      <c r="Y240" s="43">
        <v>0</v>
      </c>
      <c r="Z240" s="43">
        <v>0</v>
      </c>
      <c r="AA240" s="43">
        <v>0</v>
      </c>
      <c r="AB240" s="43">
        <v>0</v>
      </c>
      <c r="AC240" s="43">
        <v>0</v>
      </c>
      <c r="AD240" s="43">
        <v>0</v>
      </c>
      <c r="AE240" s="43">
        <v>0</v>
      </c>
      <c r="AF240" s="43">
        <v>0</v>
      </c>
      <c r="AG240" s="43"/>
      <c r="AH240" s="43">
        <f t="shared" si="5"/>
        <v>0</v>
      </c>
    </row>
    <row r="241" spans="1:66" s="4" customFormat="1" hidden="1" x14ac:dyDescent="0.2">
      <c r="A241" s="4">
        <v>15</v>
      </c>
      <c r="B241" s="4" t="s">
        <v>241</v>
      </c>
      <c r="D241" s="4" t="s">
        <v>41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3">
        <v>0</v>
      </c>
      <c r="Q241" s="43">
        <v>0</v>
      </c>
      <c r="R241" s="43">
        <v>0</v>
      </c>
      <c r="S241" s="43">
        <v>0</v>
      </c>
      <c r="T241" s="43">
        <v>0</v>
      </c>
      <c r="U241" s="43">
        <v>0</v>
      </c>
      <c r="V241" s="43">
        <v>0</v>
      </c>
      <c r="W241" s="43">
        <v>0</v>
      </c>
      <c r="X241" s="43">
        <v>0</v>
      </c>
      <c r="Y241" s="43">
        <v>0</v>
      </c>
      <c r="Z241" s="43">
        <v>0</v>
      </c>
      <c r="AA241" s="43">
        <v>0</v>
      </c>
      <c r="AB241" s="43">
        <v>0</v>
      </c>
      <c r="AC241" s="43">
        <v>0</v>
      </c>
      <c r="AD241" s="43">
        <v>0</v>
      </c>
      <c r="AE241" s="43">
        <v>0</v>
      </c>
      <c r="AF241" s="43">
        <v>0</v>
      </c>
      <c r="AG241" s="43"/>
      <c r="AH241" s="43">
        <f t="shared" si="5"/>
        <v>0</v>
      </c>
    </row>
    <row r="242" spans="1:66" s="4" customFormat="1" hidden="1" x14ac:dyDescent="0.2">
      <c r="A242" s="4">
        <v>161</v>
      </c>
      <c r="B242" s="4" t="s">
        <v>339</v>
      </c>
      <c r="D242" s="4" t="s">
        <v>48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3">
        <v>0</v>
      </c>
      <c r="R242" s="43">
        <v>0</v>
      </c>
      <c r="S242" s="43">
        <v>0</v>
      </c>
      <c r="T242" s="43">
        <v>0</v>
      </c>
      <c r="U242" s="43">
        <v>0</v>
      </c>
      <c r="V242" s="43">
        <v>0</v>
      </c>
      <c r="W242" s="43">
        <v>0</v>
      </c>
      <c r="X242" s="43">
        <v>0</v>
      </c>
      <c r="Y242" s="43">
        <v>0</v>
      </c>
      <c r="Z242" s="43">
        <v>0</v>
      </c>
      <c r="AA242" s="43">
        <v>0</v>
      </c>
      <c r="AB242" s="43">
        <v>0</v>
      </c>
      <c r="AC242" s="43">
        <v>0</v>
      </c>
      <c r="AD242" s="43">
        <v>0</v>
      </c>
      <c r="AE242" s="43">
        <v>0</v>
      </c>
      <c r="AF242" s="43">
        <v>0</v>
      </c>
      <c r="AG242" s="43"/>
      <c r="AH242" s="43">
        <f t="shared" si="5"/>
        <v>0</v>
      </c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</row>
    <row r="243" spans="1:66" s="4" customFormat="1" x14ac:dyDescent="0.2">
      <c r="A243" s="4">
        <v>56</v>
      </c>
      <c r="B243" s="4" t="s">
        <v>242</v>
      </c>
      <c r="D243" s="4" t="s">
        <v>17</v>
      </c>
      <c r="F243" s="43">
        <v>3144400</v>
      </c>
      <c r="G243" s="43">
        <v>0</v>
      </c>
      <c r="H243" s="43">
        <v>602441</v>
      </c>
      <c r="I243" s="43">
        <v>0</v>
      </c>
      <c r="J243" s="43">
        <v>471703</v>
      </c>
      <c r="K243" s="43">
        <v>0</v>
      </c>
      <c r="L243" s="43">
        <v>70815</v>
      </c>
      <c r="M243" s="43">
        <v>0</v>
      </c>
      <c r="N243" s="43">
        <v>0</v>
      </c>
      <c r="O243" s="43">
        <v>0</v>
      </c>
      <c r="P243" s="43">
        <v>0</v>
      </c>
      <c r="Q243" s="43">
        <v>0</v>
      </c>
      <c r="R243" s="43">
        <v>21270</v>
      </c>
      <c r="S243" s="43">
        <v>0</v>
      </c>
      <c r="T243" s="43">
        <v>5943</v>
      </c>
      <c r="U243" s="43">
        <v>0</v>
      </c>
      <c r="V243" s="43">
        <v>6402</v>
      </c>
      <c r="W243" s="43">
        <v>0</v>
      </c>
      <c r="X243" s="43">
        <v>0</v>
      </c>
      <c r="Y243" s="43">
        <v>0</v>
      </c>
      <c r="Z243" s="43">
        <v>208000</v>
      </c>
      <c r="AA243" s="43">
        <v>0</v>
      </c>
      <c r="AB243" s="43">
        <v>0</v>
      </c>
      <c r="AC243" s="43">
        <v>0</v>
      </c>
      <c r="AD243" s="43">
        <v>0</v>
      </c>
      <c r="AE243" s="43">
        <v>0</v>
      </c>
      <c r="AF243" s="43">
        <v>0</v>
      </c>
      <c r="AG243" s="43"/>
      <c r="AH243" s="43">
        <f t="shared" si="5"/>
        <v>4530974</v>
      </c>
    </row>
    <row r="244" spans="1:66" s="74" customFormat="1" hidden="1" x14ac:dyDescent="0.2">
      <c r="A244" s="74">
        <v>214</v>
      </c>
      <c r="B244" s="74" t="s">
        <v>243</v>
      </c>
      <c r="D244" s="74" t="s">
        <v>23</v>
      </c>
      <c r="F244" s="43">
        <f>1217523+844464</f>
        <v>2061987</v>
      </c>
      <c r="G244" s="43">
        <v>0</v>
      </c>
      <c r="H244" s="43">
        <f>6500</f>
        <v>6500</v>
      </c>
      <c r="I244" s="43">
        <v>0</v>
      </c>
      <c r="J244" s="43">
        <v>0</v>
      </c>
      <c r="K244" s="43">
        <v>0</v>
      </c>
      <c r="L244" s="43">
        <v>27371</v>
      </c>
      <c r="M244" s="43">
        <v>0</v>
      </c>
      <c r="N244" s="43">
        <v>0</v>
      </c>
      <c r="O244" s="43">
        <v>0</v>
      </c>
      <c r="P244" s="43">
        <v>0</v>
      </c>
      <c r="Q244" s="43">
        <v>0</v>
      </c>
      <c r="R244" s="43">
        <v>19801</v>
      </c>
      <c r="S244" s="43">
        <v>0</v>
      </c>
      <c r="T244" s="43">
        <v>1705</v>
      </c>
      <c r="U244" s="43">
        <v>0</v>
      </c>
      <c r="V244" s="43">
        <f>100+642+31265</f>
        <v>32007</v>
      </c>
      <c r="W244" s="43">
        <v>0</v>
      </c>
      <c r="X244" s="43">
        <v>0</v>
      </c>
      <c r="Y244" s="43">
        <v>0</v>
      </c>
      <c r="Z244" s="43">
        <v>0</v>
      </c>
      <c r="AA244" s="43">
        <v>0</v>
      </c>
      <c r="AB244" s="43">
        <v>0</v>
      </c>
      <c r="AC244" s="43">
        <v>0</v>
      </c>
      <c r="AD244" s="43">
        <v>0</v>
      </c>
      <c r="AE244" s="43">
        <v>0</v>
      </c>
      <c r="AF244" s="43">
        <v>0</v>
      </c>
      <c r="AG244" s="43"/>
      <c r="AH244" s="43">
        <f t="shared" si="5"/>
        <v>2149371</v>
      </c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</row>
    <row r="245" spans="1:66" s="4" customFormat="1" x14ac:dyDescent="0.2">
      <c r="A245" s="4">
        <v>253</v>
      </c>
      <c r="B245" s="4" t="s">
        <v>244</v>
      </c>
      <c r="D245" s="4" t="s">
        <v>63</v>
      </c>
      <c r="F245" s="43">
        <v>294279</v>
      </c>
      <c r="G245" s="43">
        <v>0</v>
      </c>
      <c r="H245" s="43">
        <v>471732</v>
      </c>
      <c r="I245" s="43">
        <v>0</v>
      </c>
      <c r="J245" s="43">
        <v>118349</v>
      </c>
      <c r="K245" s="43">
        <v>0</v>
      </c>
      <c r="L245" s="43">
        <v>23935</v>
      </c>
      <c r="M245" s="43">
        <v>0</v>
      </c>
      <c r="N245" s="43">
        <v>0</v>
      </c>
      <c r="O245" s="43">
        <v>0</v>
      </c>
      <c r="P245" s="43">
        <v>0</v>
      </c>
      <c r="Q245" s="43">
        <v>0</v>
      </c>
      <c r="R245" s="43">
        <v>6042</v>
      </c>
      <c r="S245" s="43">
        <v>0</v>
      </c>
      <c r="T245" s="43">
        <v>2626</v>
      </c>
      <c r="U245" s="43">
        <v>0</v>
      </c>
      <c r="V245" s="43">
        <v>9376</v>
      </c>
      <c r="W245" s="43">
        <v>0</v>
      </c>
      <c r="X245" s="43">
        <v>0</v>
      </c>
      <c r="Y245" s="43">
        <v>0</v>
      </c>
      <c r="Z245" s="43">
        <v>0</v>
      </c>
      <c r="AA245" s="43">
        <v>0</v>
      </c>
      <c r="AB245" s="43">
        <v>0</v>
      </c>
      <c r="AC245" s="43">
        <v>0</v>
      </c>
      <c r="AD245" s="43">
        <v>0</v>
      </c>
      <c r="AE245" s="43">
        <v>0</v>
      </c>
      <c r="AF245" s="43">
        <v>0</v>
      </c>
      <c r="AG245" s="43"/>
      <c r="AH245" s="43">
        <f t="shared" si="5"/>
        <v>926339</v>
      </c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</row>
    <row r="246" spans="1:66" s="4" customFormat="1" hidden="1" x14ac:dyDescent="0.2">
      <c r="A246" s="4">
        <v>36</v>
      </c>
      <c r="B246" s="4" t="s">
        <v>245</v>
      </c>
      <c r="D246" s="4" t="s">
        <v>67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43">
        <v>0</v>
      </c>
      <c r="P246" s="43">
        <v>0</v>
      </c>
      <c r="Q246" s="43">
        <v>0</v>
      </c>
      <c r="R246" s="43">
        <v>0</v>
      </c>
      <c r="S246" s="43">
        <v>0</v>
      </c>
      <c r="T246" s="43">
        <v>0</v>
      </c>
      <c r="U246" s="43">
        <v>0</v>
      </c>
      <c r="V246" s="43">
        <v>0</v>
      </c>
      <c r="W246" s="43">
        <v>0</v>
      </c>
      <c r="X246" s="43">
        <v>0</v>
      </c>
      <c r="Y246" s="43">
        <v>0</v>
      </c>
      <c r="Z246" s="43">
        <v>0</v>
      </c>
      <c r="AA246" s="43">
        <v>0</v>
      </c>
      <c r="AB246" s="43">
        <v>0</v>
      </c>
      <c r="AC246" s="43">
        <v>0</v>
      </c>
      <c r="AD246" s="43">
        <v>0</v>
      </c>
      <c r="AE246" s="43">
        <v>0</v>
      </c>
      <c r="AF246" s="43">
        <v>0</v>
      </c>
      <c r="AG246" s="43"/>
      <c r="AH246" s="43">
        <f t="shared" si="5"/>
        <v>0</v>
      </c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</row>
    <row r="247" spans="1:66" s="4" customFormat="1" hidden="1" x14ac:dyDescent="0.2">
      <c r="A247" s="4">
        <v>30</v>
      </c>
      <c r="B247" s="4" t="s">
        <v>343</v>
      </c>
      <c r="D247" s="4" t="s">
        <v>60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3">
        <v>0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43">
        <v>0</v>
      </c>
      <c r="W247" s="43">
        <v>0</v>
      </c>
      <c r="X247" s="43">
        <v>0</v>
      </c>
      <c r="Y247" s="43">
        <v>0</v>
      </c>
      <c r="Z247" s="43">
        <v>0</v>
      </c>
      <c r="AA247" s="43">
        <v>0</v>
      </c>
      <c r="AB247" s="43">
        <v>0</v>
      </c>
      <c r="AC247" s="43">
        <v>0</v>
      </c>
      <c r="AD247" s="43">
        <v>0</v>
      </c>
      <c r="AE247" s="43">
        <v>0</v>
      </c>
      <c r="AF247" s="43">
        <v>0</v>
      </c>
      <c r="AG247" s="43"/>
      <c r="AH247" s="43">
        <f t="shared" si="5"/>
        <v>0</v>
      </c>
    </row>
    <row r="248" spans="1:66" s="4" customFormat="1" x14ac:dyDescent="0.2">
      <c r="A248" s="4">
        <v>43</v>
      </c>
      <c r="B248" s="4" t="s">
        <v>246</v>
      </c>
      <c r="D248" s="4" t="s">
        <v>49</v>
      </c>
      <c r="F248" s="43">
        <v>327302</v>
      </c>
      <c r="G248" s="43">
        <v>0</v>
      </c>
      <c r="H248" s="43">
        <v>696724</v>
      </c>
      <c r="I248" s="43">
        <v>0</v>
      </c>
      <c r="J248" s="43">
        <v>52207</v>
      </c>
      <c r="K248" s="43">
        <v>0</v>
      </c>
      <c r="L248" s="43">
        <v>32747</v>
      </c>
      <c r="M248" s="43">
        <v>0</v>
      </c>
      <c r="N248" s="43">
        <v>0</v>
      </c>
      <c r="O248" s="43">
        <v>0</v>
      </c>
      <c r="P248" s="43">
        <v>0</v>
      </c>
      <c r="Q248" s="43">
        <v>0</v>
      </c>
      <c r="R248" s="43">
        <v>23336</v>
      </c>
      <c r="S248" s="43">
        <v>0</v>
      </c>
      <c r="T248" s="43">
        <v>1340</v>
      </c>
      <c r="U248" s="43">
        <v>0</v>
      </c>
      <c r="V248" s="43">
        <v>569</v>
      </c>
      <c r="W248" s="43">
        <v>0</v>
      </c>
      <c r="X248" s="43">
        <v>0</v>
      </c>
      <c r="Y248" s="43">
        <v>0</v>
      </c>
      <c r="Z248" s="43">
        <v>201241</v>
      </c>
      <c r="AA248" s="43">
        <v>0</v>
      </c>
      <c r="AB248" s="43">
        <v>0</v>
      </c>
      <c r="AC248" s="43">
        <v>0</v>
      </c>
      <c r="AD248" s="43">
        <v>0</v>
      </c>
      <c r="AE248" s="43">
        <v>0</v>
      </c>
      <c r="AF248" s="43">
        <v>0</v>
      </c>
      <c r="AG248" s="43"/>
      <c r="AH248" s="43">
        <f t="shared" si="5"/>
        <v>1335466</v>
      </c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</row>
    <row r="249" spans="1:66" s="4" customFormat="1" x14ac:dyDescent="0.2">
      <c r="A249" s="4">
        <v>244</v>
      </c>
      <c r="B249" s="4" t="s">
        <v>247</v>
      </c>
      <c r="D249" s="4" t="s">
        <v>52</v>
      </c>
      <c r="F249" s="43">
        <v>479771</v>
      </c>
      <c r="G249" s="43">
        <v>0</v>
      </c>
      <c r="H249" s="43">
        <v>538207</v>
      </c>
      <c r="I249" s="43">
        <v>0</v>
      </c>
      <c r="J249" s="43">
        <v>0</v>
      </c>
      <c r="K249" s="43">
        <v>0</v>
      </c>
      <c r="L249" s="43">
        <v>7077</v>
      </c>
      <c r="M249" s="43">
        <v>0</v>
      </c>
      <c r="N249" s="43">
        <v>0</v>
      </c>
      <c r="O249" s="43">
        <v>0</v>
      </c>
      <c r="P249" s="43">
        <v>0</v>
      </c>
      <c r="Q249" s="43">
        <v>0</v>
      </c>
      <c r="R249" s="43">
        <v>3831</v>
      </c>
      <c r="S249" s="43">
        <v>0</v>
      </c>
      <c r="T249" s="43">
        <f>2560+455</f>
        <v>3015</v>
      </c>
      <c r="U249" s="43">
        <v>0</v>
      </c>
      <c r="V249" s="43">
        <v>15</v>
      </c>
      <c r="W249" s="43">
        <v>0</v>
      </c>
      <c r="X249" s="43">
        <v>0</v>
      </c>
      <c r="Y249" s="43">
        <v>0</v>
      </c>
      <c r="Z249" s="43">
        <v>0</v>
      </c>
      <c r="AA249" s="43">
        <v>0</v>
      </c>
      <c r="AB249" s="43">
        <v>0</v>
      </c>
      <c r="AC249" s="43">
        <v>0</v>
      </c>
      <c r="AD249" s="43">
        <v>0</v>
      </c>
      <c r="AE249" s="43">
        <v>0</v>
      </c>
      <c r="AF249" s="43">
        <v>0</v>
      </c>
      <c r="AG249" s="43"/>
      <c r="AH249" s="43">
        <f t="shared" si="5"/>
        <v>1031916</v>
      </c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</row>
    <row r="250" spans="1:66" s="4" customFormat="1" x14ac:dyDescent="0.2">
      <c r="A250" s="4">
        <v>69</v>
      </c>
      <c r="B250" s="4" t="s">
        <v>313</v>
      </c>
      <c r="D250" s="4" t="s">
        <v>165</v>
      </c>
      <c r="F250" s="43">
        <v>1360678</v>
      </c>
      <c r="G250" s="43">
        <v>0</v>
      </c>
      <c r="H250" s="43">
        <v>1376369</v>
      </c>
      <c r="I250" s="43">
        <v>0</v>
      </c>
      <c r="J250" s="43">
        <v>176711</v>
      </c>
      <c r="K250" s="43">
        <v>0</v>
      </c>
      <c r="L250" s="43">
        <v>60281</v>
      </c>
      <c r="M250" s="43">
        <v>0</v>
      </c>
      <c r="N250" s="43">
        <v>0</v>
      </c>
      <c r="O250" s="43">
        <v>0</v>
      </c>
      <c r="P250" s="43">
        <v>74</v>
      </c>
      <c r="Q250" s="43">
        <v>0</v>
      </c>
      <c r="R250" s="43">
        <v>72158</v>
      </c>
      <c r="S250" s="43">
        <v>0</v>
      </c>
      <c r="T250" s="43">
        <v>124950</v>
      </c>
      <c r="U250" s="43">
        <v>0</v>
      </c>
      <c r="V250" s="43">
        <v>46841</v>
      </c>
      <c r="W250" s="43">
        <v>0</v>
      </c>
      <c r="X250" s="43">
        <v>0</v>
      </c>
      <c r="Y250" s="43">
        <v>0</v>
      </c>
      <c r="Z250" s="43">
        <v>0</v>
      </c>
      <c r="AA250" s="43">
        <v>0</v>
      </c>
      <c r="AB250" s="43">
        <v>0</v>
      </c>
      <c r="AC250" s="43">
        <v>0</v>
      </c>
      <c r="AD250" s="43">
        <v>0</v>
      </c>
      <c r="AE250" s="43">
        <v>0</v>
      </c>
      <c r="AF250" s="43">
        <v>0</v>
      </c>
      <c r="AG250" s="43"/>
      <c r="AH250" s="43">
        <f t="shared" si="5"/>
        <v>3218062</v>
      </c>
    </row>
    <row r="251" spans="1:66" s="4" customFormat="1" hidden="1" x14ac:dyDescent="0.2">
      <c r="A251" s="4">
        <v>177</v>
      </c>
      <c r="B251" s="4" t="s">
        <v>248</v>
      </c>
      <c r="D251" s="4" t="s">
        <v>66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v>0</v>
      </c>
      <c r="O251" s="43">
        <v>0</v>
      </c>
      <c r="P251" s="43">
        <v>0</v>
      </c>
      <c r="Q251" s="43">
        <v>0</v>
      </c>
      <c r="R251" s="43">
        <v>0</v>
      </c>
      <c r="S251" s="43">
        <v>0</v>
      </c>
      <c r="T251" s="43">
        <v>0</v>
      </c>
      <c r="U251" s="43">
        <v>0</v>
      </c>
      <c r="V251" s="43">
        <v>0</v>
      </c>
      <c r="W251" s="43">
        <v>0</v>
      </c>
      <c r="X251" s="43">
        <v>0</v>
      </c>
      <c r="Y251" s="43">
        <v>0</v>
      </c>
      <c r="Z251" s="43">
        <v>0</v>
      </c>
      <c r="AA251" s="43">
        <v>0</v>
      </c>
      <c r="AB251" s="43">
        <v>0</v>
      </c>
      <c r="AC251" s="43">
        <v>0</v>
      </c>
      <c r="AD251" s="43">
        <v>0</v>
      </c>
      <c r="AE251" s="43">
        <v>0</v>
      </c>
      <c r="AF251" s="43">
        <v>0</v>
      </c>
      <c r="AG251" s="43"/>
      <c r="AH251" s="43">
        <f t="shared" si="5"/>
        <v>0</v>
      </c>
    </row>
    <row r="252" spans="1:66" s="4" customFormat="1" hidden="1" x14ac:dyDescent="0.2">
      <c r="A252" s="4">
        <v>206</v>
      </c>
      <c r="B252" s="4" t="s">
        <v>249</v>
      </c>
      <c r="D252" s="4" t="s">
        <v>43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3">
        <v>0</v>
      </c>
      <c r="Q252" s="43">
        <v>0</v>
      </c>
      <c r="R252" s="43">
        <v>0</v>
      </c>
      <c r="S252" s="43">
        <v>0</v>
      </c>
      <c r="T252" s="43">
        <v>0</v>
      </c>
      <c r="U252" s="43">
        <v>0</v>
      </c>
      <c r="V252" s="43">
        <v>0</v>
      </c>
      <c r="W252" s="43">
        <v>0</v>
      </c>
      <c r="X252" s="43">
        <v>0</v>
      </c>
      <c r="Y252" s="43">
        <v>0</v>
      </c>
      <c r="Z252" s="43">
        <v>0</v>
      </c>
      <c r="AA252" s="43">
        <v>0</v>
      </c>
      <c r="AB252" s="43">
        <v>0</v>
      </c>
      <c r="AC252" s="43">
        <v>0</v>
      </c>
      <c r="AD252" s="43">
        <v>0</v>
      </c>
      <c r="AE252" s="43">
        <v>0</v>
      </c>
      <c r="AF252" s="43">
        <v>0</v>
      </c>
      <c r="AG252" s="43"/>
      <c r="AH252" s="43">
        <f t="shared" si="5"/>
        <v>0</v>
      </c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</row>
    <row r="253" spans="1:66" s="4" customFormat="1" hidden="1" x14ac:dyDescent="0.2">
      <c r="A253" s="4">
        <v>57</v>
      </c>
      <c r="B253" s="4" t="s">
        <v>250</v>
      </c>
      <c r="D253" s="4" t="s">
        <v>17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3">
        <v>0</v>
      </c>
      <c r="Q253" s="43">
        <v>0</v>
      </c>
      <c r="R253" s="43">
        <v>0</v>
      </c>
      <c r="S253" s="43">
        <v>0</v>
      </c>
      <c r="T253" s="43">
        <v>0</v>
      </c>
      <c r="U253" s="43">
        <v>0</v>
      </c>
      <c r="V253" s="43">
        <v>0</v>
      </c>
      <c r="W253" s="43">
        <v>0</v>
      </c>
      <c r="X253" s="43">
        <v>0</v>
      </c>
      <c r="Y253" s="43">
        <v>0</v>
      </c>
      <c r="Z253" s="43">
        <v>0</v>
      </c>
      <c r="AA253" s="43">
        <v>0</v>
      </c>
      <c r="AB253" s="43">
        <v>0</v>
      </c>
      <c r="AC253" s="43">
        <v>0</v>
      </c>
      <c r="AD253" s="43">
        <v>0</v>
      </c>
      <c r="AE253" s="43">
        <v>0</v>
      </c>
      <c r="AF253" s="43">
        <v>0</v>
      </c>
      <c r="AG253" s="43"/>
      <c r="AH253" s="43">
        <f t="shared" si="5"/>
        <v>0</v>
      </c>
    </row>
    <row r="254" spans="1:66" s="4" customFormat="1" x14ac:dyDescent="0.2">
      <c r="A254" s="4">
        <v>77</v>
      </c>
      <c r="B254" s="4" t="s">
        <v>650</v>
      </c>
      <c r="D254" s="4" t="s">
        <v>76</v>
      </c>
      <c r="F254" s="43">
        <v>0</v>
      </c>
      <c r="G254" s="43">
        <v>0</v>
      </c>
      <c r="H254" s="43">
        <v>1345613</v>
      </c>
      <c r="I254" s="43">
        <v>0</v>
      </c>
      <c r="J254" s="43">
        <v>0</v>
      </c>
      <c r="K254" s="43">
        <v>0</v>
      </c>
      <c r="L254" s="43">
        <v>30780</v>
      </c>
      <c r="M254" s="43">
        <v>0</v>
      </c>
      <c r="N254" s="43">
        <v>0</v>
      </c>
      <c r="O254" s="43">
        <v>0</v>
      </c>
      <c r="P254" s="43">
        <v>0</v>
      </c>
      <c r="Q254" s="43">
        <v>0</v>
      </c>
      <c r="R254" s="43">
        <v>15514</v>
      </c>
      <c r="S254" s="43">
        <v>0</v>
      </c>
      <c r="T254" s="43">
        <v>1869</v>
      </c>
      <c r="U254" s="43">
        <v>0</v>
      </c>
      <c r="V254" s="43">
        <v>16059</v>
      </c>
      <c r="W254" s="43">
        <v>0</v>
      </c>
      <c r="X254" s="43">
        <v>0</v>
      </c>
      <c r="Y254" s="43">
        <v>0</v>
      </c>
      <c r="Z254" s="43">
        <v>645715</v>
      </c>
      <c r="AA254" s="43">
        <v>0</v>
      </c>
      <c r="AB254" s="43">
        <v>0</v>
      </c>
      <c r="AC254" s="43">
        <v>0</v>
      </c>
      <c r="AD254" s="43">
        <v>0</v>
      </c>
      <c r="AE254" s="43">
        <v>0</v>
      </c>
      <c r="AF254" s="43">
        <v>0</v>
      </c>
      <c r="AG254" s="43"/>
      <c r="AH254" s="43">
        <f t="shared" ref="AH254" si="6">SUM(F254:AF254)</f>
        <v>2055550</v>
      </c>
    </row>
    <row r="255" spans="1:66" s="4" customFormat="1" x14ac:dyDescent="0.2">
      <c r="A255" s="4">
        <v>118</v>
      </c>
      <c r="B255" s="4" t="s">
        <v>438</v>
      </c>
      <c r="D255" s="4" t="s">
        <v>168</v>
      </c>
      <c r="F255" s="43">
        <v>0</v>
      </c>
      <c r="G255" s="43">
        <v>0</v>
      </c>
      <c r="H255" s="43">
        <v>0</v>
      </c>
      <c r="I255" s="43">
        <v>0</v>
      </c>
      <c r="J255" s="43">
        <v>161598</v>
      </c>
      <c r="K255" s="43">
        <v>0</v>
      </c>
      <c r="L255" s="43">
        <v>3205</v>
      </c>
      <c r="M255" s="43">
        <v>0</v>
      </c>
      <c r="N255" s="43">
        <v>0</v>
      </c>
      <c r="O255" s="43">
        <v>0</v>
      </c>
      <c r="P255" s="43">
        <v>5563</v>
      </c>
      <c r="Q255" s="43">
        <v>0</v>
      </c>
      <c r="R255" s="43">
        <v>0</v>
      </c>
      <c r="S255" s="43">
        <v>0</v>
      </c>
      <c r="T255" s="43">
        <v>675</v>
      </c>
      <c r="U255" s="43">
        <v>0</v>
      </c>
      <c r="V255" s="43">
        <v>363</v>
      </c>
      <c r="W255" s="43">
        <v>0</v>
      </c>
      <c r="X255" s="43">
        <v>0</v>
      </c>
      <c r="Y255" s="43">
        <v>0</v>
      </c>
      <c r="Z255" s="43">
        <v>0</v>
      </c>
      <c r="AA255" s="43">
        <v>0</v>
      </c>
      <c r="AB255" s="43">
        <v>0</v>
      </c>
      <c r="AC255" s="43">
        <v>0</v>
      </c>
      <c r="AD255" s="43">
        <v>0</v>
      </c>
      <c r="AE255" s="43">
        <v>0</v>
      </c>
      <c r="AF255" s="43">
        <v>0</v>
      </c>
      <c r="AG255" s="43"/>
      <c r="AH255" s="43">
        <f t="shared" si="5"/>
        <v>171404</v>
      </c>
    </row>
    <row r="256" spans="1:66" s="4" customFormat="1" x14ac:dyDescent="0.2">
      <c r="A256" s="4">
        <v>79</v>
      </c>
      <c r="B256" s="4" t="s">
        <v>252</v>
      </c>
      <c r="D256" s="4" t="s">
        <v>90</v>
      </c>
      <c r="F256" s="43">
        <v>2076962</v>
      </c>
      <c r="G256" s="43">
        <v>0</v>
      </c>
      <c r="H256" s="43">
        <v>3131258</v>
      </c>
      <c r="I256" s="43">
        <v>0</v>
      </c>
      <c r="J256" s="43">
        <v>251017</v>
      </c>
      <c r="K256" s="43">
        <v>0</v>
      </c>
      <c r="L256" s="43">
        <v>138583</v>
      </c>
      <c r="M256" s="43">
        <v>0</v>
      </c>
      <c r="N256" s="43">
        <v>0</v>
      </c>
      <c r="O256" s="43">
        <v>0</v>
      </c>
      <c r="P256" s="43">
        <v>0</v>
      </c>
      <c r="Q256" s="43">
        <v>0</v>
      </c>
      <c r="R256" s="43">
        <v>8831</v>
      </c>
      <c r="S256" s="43">
        <v>0</v>
      </c>
      <c r="T256" s="43">
        <v>764</v>
      </c>
      <c r="U256" s="43">
        <v>0</v>
      </c>
      <c r="V256" s="43">
        <v>50709</v>
      </c>
      <c r="W256" s="43">
        <v>0</v>
      </c>
      <c r="X256" s="43">
        <v>0</v>
      </c>
      <c r="Y256" s="43">
        <v>0</v>
      </c>
      <c r="Z256" s="43">
        <v>500000</v>
      </c>
      <c r="AA256" s="43">
        <v>0</v>
      </c>
      <c r="AB256" s="43">
        <v>0</v>
      </c>
      <c r="AC256" s="43">
        <v>0</v>
      </c>
      <c r="AD256" s="43">
        <v>0</v>
      </c>
      <c r="AE256" s="43">
        <v>0</v>
      </c>
      <c r="AF256" s="43">
        <v>0</v>
      </c>
      <c r="AG256" s="43"/>
      <c r="AH256" s="43">
        <f t="shared" si="5"/>
        <v>6158124</v>
      </c>
    </row>
    <row r="257" spans="1:66" s="4" customFormat="1" hidden="1" x14ac:dyDescent="0.2">
      <c r="A257" s="4">
        <v>22</v>
      </c>
      <c r="B257" s="4" t="s">
        <v>314</v>
      </c>
      <c r="D257" s="4" t="s">
        <v>11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3">
        <v>0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43">
        <v>0</v>
      </c>
      <c r="W257" s="43">
        <v>0</v>
      </c>
      <c r="X257" s="43">
        <v>0</v>
      </c>
      <c r="Y257" s="43">
        <v>0</v>
      </c>
      <c r="Z257" s="43">
        <v>0</v>
      </c>
      <c r="AA257" s="43">
        <v>0</v>
      </c>
      <c r="AB257" s="43">
        <v>0</v>
      </c>
      <c r="AC257" s="43">
        <v>0</v>
      </c>
      <c r="AD257" s="43">
        <v>0</v>
      </c>
      <c r="AE257" s="43">
        <v>0</v>
      </c>
      <c r="AF257" s="43">
        <v>0</v>
      </c>
      <c r="AG257" s="43"/>
      <c r="AH257" s="43">
        <f t="shared" si="5"/>
        <v>0</v>
      </c>
    </row>
    <row r="258" spans="1:66" s="4" customFormat="1" hidden="1" x14ac:dyDescent="0.2">
      <c r="A258" s="4">
        <v>18</v>
      </c>
      <c r="B258" s="4" t="s">
        <v>340</v>
      </c>
      <c r="D258" s="4" t="s">
        <v>42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43">
        <v>0</v>
      </c>
      <c r="S258" s="43">
        <v>0</v>
      </c>
      <c r="T258" s="43">
        <v>0</v>
      </c>
      <c r="U258" s="43">
        <v>0</v>
      </c>
      <c r="V258" s="43">
        <v>0</v>
      </c>
      <c r="W258" s="43">
        <v>0</v>
      </c>
      <c r="X258" s="43">
        <v>0</v>
      </c>
      <c r="Y258" s="43">
        <v>0</v>
      </c>
      <c r="Z258" s="43">
        <v>0</v>
      </c>
      <c r="AA258" s="43">
        <v>0</v>
      </c>
      <c r="AB258" s="43">
        <v>0</v>
      </c>
      <c r="AC258" s="43">
        <v>0</v>
      </c>
      <c r="AD258" s="43">
        <v>0</v>
      </c>
      <c r="AE258" s="43">
        <v>0</v>
      </c>
      <c r="AF258" s="43">
        <v>0</v>
      </c>
      <c r="AG258" s="43"/>
      <c r="AH258" s="43">
        <f t="shared" si="5"/>
        <v>0</v>
      </c>
    </row>
    <row r="259" spans="1:66" s="4" customFormat="1" x14ac:dyDescent="0.2">
      <c r="A259" s="4">
        <v>215</v>
      </c>
      <c r="B259" s="4" t="s">
        <v>577</v>
      </c>
      <c r="D259" s="4" t="s">
        <v>23</v>
      </c>
      <c r="F259" s="43">
        <v>4163743</v>
      </c>
      <c r="G259" s="43">
        <v>0</v>
      </c>
      <c r="H259" s="43">
        <v>6283639</v>
      </c>
      <c r="I259" s="43">
        <v>0</v>
      </c>
      <c r="J259" s="43">
        <v>1021042</v>
      </c>
      <c r="K259" s="43">
        <v>0</v>
      </c>
      <c r="L259" s="43">
        <v>233915</v>
      </c>
      <c r="M259" s="43">
        <v>0</v>
      </c>
      <c r="N259" s="43">
        <v>0</v>
      </c>
      <c r="O259" s="43">
        <v>0</v>
      </c>
      <c r="P259" s="43">
        <v>52493</v>
      </c>
      <c r="Q259" s="43">
        <v>0</v>
      </c>
      <c r="R259" s="43">
        <v>34446</v>
      </c>
      <c r="S259" s="43">
        <v>0</v>
      </c>
      <c r="T259" s="43">
        <v>4544</v>
      </c>
      <c r="U259" s="43">
        <v>0</v>
      </c>
      <c r="V259" s="43">
        <v>87142</v>
      </c>
      <c r="W259" s="43">
        <v>0</v>
      </c>
      <c r="X259" s="43">
        <v>0</v>
      </c>
      <c r="Y259" s="43">
        <v>0</v>
      </c>
      <c r="Z259" s="43">
        <v>0</v>
      </c>
      <c r="AA259" s="43">
        <v>0</v>
      </c>
      <c r="AB259" s="43">
        <v>0</v>
      </c>
      <c r="AC259" s="43">
        <v>0</v>
      </c>
      <c r="AD259" s="43">
        <v>0</v>
      </c>
      <c r="AE259" s="43">
        <v>0</v>
      </c>
      <c r="AF259" s="43">
        <v>0</v>
      </c>
      <c r="AG259" s="43"/>
      <c r="AH259" s="43">
        <f t="shared" si="5"/>
        <v>11880964</v>
      </c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</row>
    <row r="260" spans="1:66" s="4" customFormat="1" hidden="1" x14ac:dyDescent="0.2">
      <c r="A260" s="4">
        <v>120</v>
      </c>
      <c r="B260" s="4" t="s">
        <v>254</v>
      </c>
      <c r="D260" s="4" t="s">
        <v>255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v>0</v>
      </c>
      <c r="O260" s="43">
        <v>0</v>
      </c>
      <c r="P260" s="43">
        <v>0</v>
      </c>
      <c r="Q260" s="43">
        <v>0</v>
      </c>
      <c r="R260" s="43">
        <v>0</v>
      </c>
      <c r="S260" s="43">
        <v>0</v>
      </c>
      <c r="T260" s="43">
        <v>0</v>
      </c>
      <c r="U260" s="43">
        <v>0</v>
      </c>
      <c r="V260" s="43">
        <v>0</v>
      </c>
      <c r="W260" s="43">
        <v>0</v>
      </c>
      <c r="X260" s="43">
        <v>0</v>
      </c>
      <c r="Y260" s="43">
        <v>0</v>
      </c>
      <c r="Z260" s="43">
        <v>0</v>
      </c>
      <c r="AA260" s="43">
        <v>0</v>
      </c>
      <c r="AB260" s="43">
        <v>0</v>
      </c>
      <c r="AC260" s="43">
        <v>0</v>
      </c>
      <c r="AD260" s="43">
        <v>0</v>
      </c>
      <c r="AE260" s="43">
        <v>0</v>
      </c>
      <c r="AF260" s="43">
        <v>0</v>
      </c>
      <c r="AG260" s="43"/>
      <c r="AH260" s="43">
        <f t="shared" si="5"/>
        <v>0</v>
      </c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</row>
    <row r="261" spans="1:66" s="4" customFormat="1" x14ac:dyDescent="0.2">
      <c r="A261" s="4">
        <v>220</v>
      </c>
      <c r="B261" s="4" t="s">
        <v>256</v>
      </c>
      <c r="D261" s="4" t="s">
        <v>20</v>
      </c>
      <c r="F261" s="43">
        <v>1587842</v>
      </c>
      <c r="G261" s="43">
        <v>0</v>
      </c>
      <c r="H261" s="43">
        <v>0</v>
      </c>
      <c r="I261" s="43">
        <v>0</v>
      </c>
      <c r="J261" s="43">
        <v>1189705</v>
      </c>
      <c r="K261" s="43">
        <v>0</v>
      </c>
      <c r="L261" s="43">
        <v>114173</v>
      </c>
      <c r="M261" s="43">
        <v>0</v>
      </c>
      <c r="N261" s="43">
        <v>0</v>
      </c>
      <c r="O261" s="43">
        <v>0</v>
      </c>
      <c r="P261" s="43">
        <v>0</v>
      </c>
      <c r="Q261" s="43">
        <v>0</v>
      </c>
      <c r="R261" s="43">
        <v>4591</v>
      </c>
      <c r="S261" s="43">
        <v>0</v>
      </c>
      <c r="T261" s="43">
        <v>700</v>
      </c>
      <c r="U261" s="43">
        <v>0</v>
      </c>
      <c r="V261" s="43">
        <v>7967</v>
      </c>
      <c r="W261" s="43">
        <v>0</v>
      </c>
      <c r="X261" s="43">
        <v>0</v>
      </c>
      <c r="Y261" s="43">
        <v>0</v>
      </c>
      <c r="Z261" s="43">
        <v>0</v>
      </c>
      <c r="AA261" s="43">
        <v>0</v>
      </c>
      <c r="AB261" s="43">
        <v>0</v>
      </c>
      <c r="AC261" s="43">
        <v>0</v>
      </c>
      <c r="AD261" s="43">
        <v>0</v>
      </c>
      <c r="AE261" s="43">
        <v>0</v>
      </c>
      <c r="AF261" s="43">
        <v>0</v>
      </c>
      <c r="AG261" s="43"/>
      <c r="AH261" s="43">
        <f t="shared" ref="AH261:AH296" si="7">SUM(F261:AF261)</f>
        <v>2904978</v>
      </c>
    </row>
    <row r="262" spans="1:66" s="4" customFormat="1" hidden="1" x14ac:dyDescent="0.2">
      <c r="A262" s="4">
        <v>86</v>
      </c>
      <c r="B262" s="4" t="s">
        <v>257</v>
      </c>
      <c r="D262" s="4" t="s">
        <v>40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3">
        <v>0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3">
        <v>0</v>
      </c>
      <c r="X262" s="43">
        <v>0</v>
      </c>
      <c r="Y262" s="43">
        <v>0</v>
      </c>
      <c r="Z262" s="43">
        <v>0</v>
      </c>
      <c r="AA262" s="43">
        <v>0</v>
      </c>
      <c r="AB262" s="43">
        <v>0</v>
      </c>
      <c r="AC262" s="43">
        <v>0</v>
      </c>
      <c r="AD262" s="43">
        <v>0</v>
      </c>
      <c r="AE262" s="43">
        <v>0</v>
      </c>
      <c r="AF262" s="43">
        <v>0</v>
      </c>
      <c r="AG262" s="43"/>
      <c r="AH262" s="43">
        <f t="shared" si="7"/>
        <v>0</v>
      </c>
    </row>
    <row r="263" spans="1:66" s="4" customFormat="1" hidden="1" x14ac:dyDescent="0.2">
      <c r="A263" s="4">
        <v>119</v>
      </c>
      <c r="B263" s="4" t="s">
        <v>258</v>
      </c>
      <c r="D263" s="4" t="s">
        <v>168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3">
        <v>0</v>
      </c>
      <c r="X263" s="43">
        <v>0</v>
      </c>
      <c r="Y263" s="43">
        <v>0</v>
      </c>
      <c r="Z263" s="43">
        <v>0</v>
      </c>
      <c r="AA263" s="43">
        <v>0</v>
      </c>
      <c r="AB263" s="43">
        <v>0</v>
      </c>
      <c r="AC263" s="43">
        <v>0</v>
      </c>
      <c r="AD263" s="43">
        <v>0</v>
      </c>
      <c r="AE263" s="43">
        <v>0</v>
      </c>
      <c r="AF263" s="43">
        <v>0</v>
      </c>
      <c r="AG263" s="43"/>
      <c r="AH263" s="43">
        <f t="shared" si="7"/>
        <v>0</v>
      </c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</row>
    <row r="264" spans="1:66" s="4" customFormat="1" hidden="1" x14ac:dyDescent="0.2">
      <c r="A264" s="4">
        <v>221</v>
      </c>
      <c r="B264" s="4" t="s">
        <v>259</v>
      </c>
      <c r="D264" s="4" t="s">
        <v>20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v>0</v>
      </c>
      <c r="P264" s="43">
        <v>0</v>
      </c>
      <c r="Q264" s="43">
        <v>0</v>
      </c>
      <c r="R264" s="43">
        <v>0</v>
      </c>
      <c r="S264" s="43">
        <v>0</v>
      </c>
      <c r="T264" s="43">
        <v>0</v>
      </c>
      <c r="U264" s="43">
        <v>0</v>
      </c>
      <c r="V264" s="43">
        <v>0</v>
      </c>
      <c r="W264" s="43">
        <v>0</v>
      </c>
      <c r="X264" s="43">
        <v>0</v>
      </c>
      <c r="Y264" s="43">
        <v>0</v>
      </c>
      <c r="Z264" s="43">
        <v>0</v>
      </c>
      <c r="AA264" s="43">
        <v>0</v>
      </c>
      <c r="AB264" s="43">
        <v>0</v>
      </c>
      <c r="AC264" s="43">
        <v>0</v>
      </c>
      <c r="AD264" s="43">
        <v>0</v>
      </c>
      <c r="AE264" s="43">
        <v>0</v>
      </c>
      <c r="AF264" s="43">
        <v>0</v>
      </c>
      <c r="AG264" s="43"/>
      <c r="AH264" s="43">
        <f t="shared" si="7"/>
        <v>0</v>
      </c>
    </row>
    <row r="265" spans="1:66" s="4" customFormat="1" hidden="1" x14ac:dyDescent="0.2">
      <c r="A265" s="39">
        <v>92.1</v>
      </c>
      <c r="B265" s="4" t="s">
        <v>564</v>
      </c>
      <c r="C265" s="3"/>
      <c r="D265" s="3" t="s">
        <v>565</v>
      </c>
      <c r="E265" s="3"/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0</v>
      </c>
      <c r="T265" s="43">
        <v>0</v>
      </c>
      <c r="U265" s="43">
        <v>0</v>
      </c>
      <c r="V265" s="43">
        <v>0</v>
      </c>
      <c r="W265" s="43">
        <v>0</v>
      </c>
      <c r="X265" s="43">
        <v>0</v>
      </c>
      <c r="Y265" s="43">
        <v>0</v>
      </c>
      <c r="Z265" s="43">
        <v>0</v>
      </c>
      <c r="AA265" s="43">
        <v>0</v>
      </c>
      <c r="AB265" s="43">
        <v>0</v>
      </c>
      <c r="AC265" s="43">
        <v>0</v>
      </c>
      <c r="AD265" s="43">
        <v>0</v>
      </c>
      <c r="AE265" s="43">
        <v>0</v>
      </c>
      <c r="AF265" s="43">
        <v>0</v>
      </c>
      <c r="AG265" s="43"/>
      <c r="AH265" s="43">
        <f t="shared" si="7"/>
        <v>0</v>
      </c>
    </row>
    <row r="266" spans="1:66" s="4" customFormat="1" hidden="1" x14ac:dyDescent="0.2">
      <c r="A266" s="4">
        <v>71</v>
      </c>
      <c r="B266" s="4" t="s">
        <v>561</v>
      </c>
      <c r="D266" s="4" t="s">
        <v>65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43">
        <v>0</v>
      </c>
      <c r="Q266" s="43">
        <v>0</v>
      </c>
      <c r="R266" s="43">
        <v>0</v>
      </c>
      <c r="S266" s="43">
        <v>0</v>
      </c>
      <c r="T266" s="43">
        <v>0</v>
      </c>
      <c r="U266" s="43">
        <v>0</v>
      </c>
      <c r="V266" s="43">
        <v>0</v>
      </c>
      <c r="W266" s="43">
        <v>0</v>
      </c>
      <c r="X266" s="43">
        <v>0</v>
      </c>
      <c r="Y266" s="43">
        <v>0</v>
      </c>
      <c r="Z266" s="43">
        <v>0</v>
      </c>
      <c r="AA266" s="43">
        <v>0</v>
      </c>
      <c r="AB266" s="43">
        <v>0</v>
      </c>
      <c r="AC266" s="43">
        <v>0</v>
      </c>
      <c r="AD266" s="43">
        <v>0</v>
      </c>
      <c r="AE266" s="43">
        <v>0</v>
      </c>
      <c r="AF266" s="43">
        <v>0</v>
      </c>
      <c r="AG266" s="43"/>
      <c r="AH266" s="43">
        <f t="shared" si="7"/>
        <v>0</v>
      </c>
    </row>
    <row r="267" spans="1:66" s="7" customFormat="1" hidden="1" x14ac:dyDescent="0.2">
      <c r="A267" s="4">
        <v>207</v>
      </c>
      <c r="B267" s="4" t="s">
        <v>260</v>
      </c>
      <c r="C267" s="4"/>
      <c r="D267" s="4" t="s">
        <v>43</v>
      </c>
      <c r="E267" s="4"/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43">
        <v>0</v>
      </c>
      <c r="S267" s="43">
        <v>0</v>
      </c>
      <c r="T267" s="43">
        <v>0</v>
      </c>
      <c r="U267" s="43">
        <v>0</v>
      </c>
      <c r="V267" s="43">
        <v>0</v>
      </c>
      <c r="W267" s="43">
        <v>0</v>
      </c>
      <c r="X267" s="43">
        <v>0</v>
      </c>
      <c r="Y267" s="43">
        <v>0</v>
      </c>
      <c r="Z267" s="43">
        <v>0</v>
      </c>
      <c r="AA267" s="43">
        <v>0</v>
      </c>
      <c r="AB267" s="43">
        <v>0</v>
      </c>
      <c r="AC267" s="43">
        <v>0</v>
      </c>
      <c r="AD267" s="43">
        <v>0</v>
      </c>
      <c r="AE267" s="43">
        <v>0</v>
      </c>
      <c r="AF267" s="43">
        <v>0</v>
      </c>
      <c r="AG267" s="43"/>
      <c r="AH267" s="43">
        <f t="shared" si="7"/>
        <v>0</v>
      </c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</row>
    <row r="268" spans="1:66" s="4" customFormat="1" x14ac:dyDescent="0.2">
      <c r="A268" s="4">
        <v>166</v>
      </c>
      <c r="B268" s="4" t="s">
        <v>439</v>
      </c>
      <c r="D268" s="4" t="s">
        <v>51</v>
      </c>
      <c r="F268" s="43">
        <v>437565</v>
      </c>
      <c r="G268" s="43">
        <v>0</v>
      </c>
      <c r="H268" s="43">
        <v>290807</v>
      </c>
      <c r="I268" s="43">
        <v>0</v>
      </c>
      <c r="J268" s="43">
        <v>0</v>
      </c>
      <c r="K268" s="43">
        <v>0</v>
      </c>
      <c r="L268" s="43">
        <v>11630</v>
      </c>
      <c r="M268" s="43">
        <v>0</v>
      </c>
      <c r="N268" s="43">
        <v>0</v>
      </c>
      <c r="O268" s="43">
        <v>0</v>
      </c>
      <c r="P268" s="43">
        <v>0</v>
      </c>
      <c r="Q268" s="43">
        <v>0</v>
      </c>
      <c r="R268" s="43">
        <v>16108</v>
      </c>
      <c r="S268" s="43">
        <v>0</v>
      </c>
      <c r="T268" s="43">
        <v>1677</v>
      </c>
      <c r="U268" s="43">
        <v>0</v>
      </c>
      <c r="V268" s="43">
        <v>11410</v>
      </c>
      <c r="W268" s="43">
        <v>0</v>
      </c>
      <c r="X268" s="43">
        <v>0</v>
      </c>
      <c r="Y268" s="43">
        <v>0</v>
      </c>
      <c r="Z268" s="43">
        <v>40000</v>
      </c>
      <c r="AA268" s="43">
        <v>0</v>
      </c>
      <c r="AB268" s="43">
        <v>0</v>
      </c>
      <c r="AC268" s="43">
        <v>0</v>
      </c>
      <c r="AD268" s="43">
        <v>0</v>
      </c>
      <c r="AE268" s="43">
        <v>0</v>
      </c>
      <c r="AF268" s="43">
        <v>0</v>
      </c>
      <c r="AG268" s="43"/>
      <c r="AH268" s="43">
        <f t="shared" si="7"/>
        <v>809197</v>
      </c>
    </row>
    <row r="269" spans="1:66" s="4" customFormat="1" x14ac:dyDescent="0.2">
      <c r="A269" s="4">
        <v>147</v>
      </c>
      <c r="B269" s="4" t="s">
        <v>593</v>
      </c>
      <c r="D269" s="4" t="s">
        <v>262</v>
      </c>
      <c r="F269" s="43">
        <v>13435450</v>
      </c>
      <c r="G269" s="43">
        <v>0</v>
      </c>
      <c r="H269" s="43">
        <v>0</v>
      </c>
      <c r="I269" s="43">
        <v>0</v>
      </c>
      <c r="J269" s="43">
        <v>16835433</v>
      </c>
      <c r="K269" s="43">
        <v>0</v>
      </c>
      <c r="L269" s="43">
        <v>774210</v>
      </c>
      <c r="M269" s="43">
        <v>0</v>
      </c>
      <c r="N269" s="43">
        <v>0</v>
      </c>
      <c r="O269" s="43">
        <v>0</v>
      </c>
      <c r="P269" s="43">
        <v>85377</v>
      </c>
      <c r="Q269" s="43">
        <v>0</v>
      </c>
      <c r="R269" s="43">
        <v>18296</v>
      </c>
      <c r="S269" s="43">
        <v>0</v>
      </c>
      <c r="T269" s="43">
        <v>32878</v>
      </c>
      <c r="U269" s="43">
        <v>0</v>
      </c>
      <c r="V269" s="43">
        <v>270015</v>
      </c>
      <c r="W269" s="43">
        <v>0</v>
      </c>
      <c r="X269" s="43">
        <v>0</v>
      </c>
      <c r="Y269" s="43">
        <v>0</v>
      </c>
      <c r="Z269" s="43">
        <v>2000000</v>
      </c>
      <c r="AA269" s="43">
        <v>0</v>
      </c>
      <c r="AB269" s="43">
        <v>0</v>
      </c>
      <c r="AC269" s="43">
        <v>0</v>
      </c>
      <c r="AD269" s="43">
        <v>0</v>
      </c>
      <c r="AE269" s="43">
        <v>0</v>
      </c>
      <c r="AF269" s="43">
        <v>0</v>
      </c>
      <c r="AG269" s="43"/>
      <c r="AH269" s="43">
        <f t="shared" si="7"/>
        <v>33451659</v>
      </c>
    </row>
    <row r="270" spans="1:66" s="4" customFormat="1" x14ac:dyDescent="0.2">
      <c r="A270" s="4">
        <v>167</v>
      </c>
      <c r="B270" s="4" t="s">
        <v>594</v>
      </c>
      <c r="D270" s="4" t="s">
        <v>51</v>
      </c>
      <c r="F270" s="43">
        <v>633633</v>
      </c>
      <c r="G270" s="43">
        <v>0</v>
      </c>
      <c r="H270" s="43">
        <v>1162928</v>
      </c>
      <c r="I270" s="43">
        <v>0</v>
      </c>
      <c r="J270" s="43">
        <v>0</v>
      </c>
      <c r="K270" s="43">
        <v>0</v>
      </c>
      <c r="L270" s="43">
        <v>41304</v>
      </c>
      <c r="M270" s="43">
        <v>0</v>
      </c>
      <c r="N270" s="43">
        <v>0</v>
      </c>
      <c r="O270" s="43">
        <v>0</v>
      </c>
      <c r="P270" s="43">
        <v>0</v>
      </c>
      <c r="Q270" s="43">
        <v>0</v>
      </c>
      <c r="R270" s="43">
        <v>52977</v>
      </c>
      <c r="S270" s="43">
        <v>0</v>
      </c>
      <c r="T270" s="43">
        <v>14178</v>
      </c>
      <c r="U270" s="43">
        <v>0</v>
      </c>
      <c r="V270" s="43">
        <v>28388</v>
      </c>
      <c r="W270" s="43">
        <v>0</v>
      </c>
      <c r="X270" s="43">
        <v>0</v>
      </c>
      <c r="Y270" s="43">
        <v>0</v>
      </c>
      <c r="Z270" s="43">
        <v>110000</v>
      </c>
      <c r="AA270" s="43">
        <v>0</v>
      </c>
      <c r="AB270" s="43">
        <v>0</v>
      </c>
      <c r="AC270" s="43">
        <v>0</v>
      </c>
      <c r="AD270" s="43">
        <v>0</v>
      </c>
      <c r="AE270" s="43">
        <v>0</v>
      </c>
      <c r="AF270" s="43">
        <v>0</v>
      </c>
      <c r="AG270" s="43"/>
      <c r="AH270" s="43">
        <f t="shared" si="7"/>
        <v>2043408</v>
      </c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</row>
    <row r="271" spans="1:66" s="4" customFormat="1" x14ac:dyDescent="0.2">
      <c r="A271" s="4">
        <v>236</v>
      </c>
      <c r="B271" s="4" t="s">
        <v>595</v>
      </c>
      <c r="D271" s="4" t="s">
        <v>24</v>
      </c>
      <c r="F271" s="43">
        <v>520098</v>
      </c>
      <c r="G271" s="43">
        <v>0</v>
      </c>
      <c r="H271" s="43">
        <v>0</v>
      </c>
      <c r="I271" s="43">
        <v>0</v>
      </c>
      <c r="J271" s="43">
        <v>1359345</v>
      </c>
      <c r="K271" s="43">
        <v>0</v>
      </c>
      <c r="L271" s="43">
        <v>56573</v>
      </c>
      <c r="M271" s="43">
        <v>0</v>
      </c>
      <c r="N271" s="43">
        <v>0</v>
      </c>
      <c r="O271" s="43">
        <v>0</v>
      </c>
      <c r="P271" s="43">
        <v>0</v>
      </c>
      <c r="Q271" s="43">
        <v>0</v>
      </c>
      <c r="R271" s="43">
        <v>25927</v>
      </c>
      <c r="S271" s="43">
        <v>0</v>
      </c>
      <c r="T271" s="43">
        <v>1230</v>
      </c>
      <c r="U271" s="43">
        <v>0</v>
      </c>
      <c r="V271" s="43">
        <v>0</v>
      </c>
      <c r="W271" s="43">
        <v>0</v>
      </c>
      <c r="X271" s="43">
        <v>0</v>
      </c>
      <c r="Y271" s="43">
        <v>0</v>
      </c>
      <c r="Z271" s="43">
        <v>72341</v>
      </c>
      <c r="AA271" s="43">
        <v>0</v>
      </c>
      <c r="AB271" s="43">
        <v>7400</v>
      </c>
      <c r="AC271" s="43">
        <v>0</v>
      </c>
      <c r="AD271" s="43">
        <v>0</v>
      </c>
      <c r="AE271" s="43">
        <v>0</v>
      </c>
      <c r="AF271" s="43">
        <v>0</v>
      </c>
      <c r="AG271" s="43"/>
      <c r="AH271" s="43">
        <f t="shared" si="7"/>
        <v>2042914</v>
      </c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</row>
    <row r="272" spans="1:66" s="4" customFormat="1" x14ac:dyDescent="0.2">
      <c r="A272" s="4">
        <v>222</v>
      </c>
      <c r="B272" s="4" t="s">
        <v>317</v>
      </c>
      <c r="D272" s="4" t="s">
        <v>20</v>
      </c>
      <c r="F272" s="43">
        <v>1338406</v>
      </c>
      <c r="G272" s="43">
        <v>0</v>
      </c>
      <c r="H272" s="43">
        <v>1003097</v>
      </c>
      <c r="I272" s="43">
        <v>0</v>
      </c>
      <c r="J272" s="43">
        <v>254595</v>
      </c>
      <c r="K272" s="43">
        <v>0</v>
      </c>
      <c r="L272" s="43">
        <v>78030</v>
      </c>
      <c r="M272" s="43">
        <v>0</v>
      </c>
      <c r="N272" s="43">
        <v>0</v>
      </c>
      <c r="O272" s="43">
        <v>0</v>
      </c>
      <c r="P272" s="43">
        <v>0</v>
      </c>
      <c r="Q272" s="43">
        <v>0</v>
      </c>
      <c r="R272" s="43">
        <v>18000</v>
      </c>
      <c r="S272" s="43">
        <v>0</v>
      </c>
      <c r="T272" s="43">
        <v>1362</v>
      </c>
      <c r="U272" s="43">
        <v>0</v>
      </c>
      <c r="V272" s="43">
        <v>11142</v>
      </c>
      <c r="W272" s="43">
        <v>0</v>
      </c>
      <c r="X272" s="43">
        <v>0</v>
      </c>
      <c r="Y272" s="43">
        <v>0</v>
      </c>
      <c r="Z272" s="43">
        <v>0</v>
      </c>
      <c r="AA272" s="43">
        <v>0</v>
      </c>
      <c r="AB272" s="43">
        <v>0</v>
      </c>
      <c r="AC272" s="43">
        <v>0</v>
      </c>
      <c r="AD272" s="43">
        <v>0</v>
      </c>
      <c r="AE272" s="43">
        <v>0</v>
      </c>
      <c r="AF272" s="43">
        <v>0</v>
      </c>
      <c r="AG272" s="43"/>
      <c r="AH272" s="43">
        <f t="shared" si="7"/>
        <v>2704632</v>
      </c>
    </row>
    <row r="273" spans="1:66" s="4" customFormat="1" x14ac:dyDescent="0.2">
      <c r="A273" s="4">
        <v>24</v>
      </c>
      <c r="B273" s="4" t="s">
        <v>264</v>
      </c>
      <c r="D273" s="4" t="s">
        <v>45</v>
      </c>
      <c r="F273" s="43">
        <v>165879</v>
      </c>
      <c r="G273" s="43">
        <v>0</v>
      </c>
      <c r="H273" s="43">
        <v>407262</v>
      </c>
      <c r="I273" s="43">
        <v>0</v>
      </c>
      <c r="J273" s="43">
        <v>0</v>
      </c>
      <c r="K273" s="43">
        <v>0</v>
      </c>
      <c r="L273" s="43">
        <v>11419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2502</v>
      </c>
      <c r="S273" s="43">
        <v>0</v>
      </c>
      <c r="T273" s="43">
        <v>195</v>
      </c>
      <c r="U273" s="43">
        <v>0</v>
      </c>
      <c r="V273" s="43">
        <f>22608-20</f>
        <v>22588</v>
      </c>
      <c r="W273" s="43">
        <v>0</v>
      </c>
      <c r="X273" s="43">
        <v>0</v>
      </c>
      <c r="Y273" s="43">
        <v>0</v>
      </c>
      <c r="Z273" s="43">
        <v>0</v>
      </c>
      <c r="AA273" s="43">
        <v>0</v>
      </c>
      <c r="AB273" s="43">
        <v>0</v>
      </c>
      <c r="AC273" s="43">
        <v>0</v>
      </c>
      <c r="AD273" s="43">
        <v>0</v>
      </c>
      <c r="AE273" s="43">
        <v>0</v>
      </c>
      <c r="AF273" s="43">
        <v>0</v>
      </c>
      <c r="AG273" s="43"/>
      <c r="AH273" s="43">
        <f t="shared" si="7"/>
        <v>609845</v>
      </c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</row>
    <row r="274" spans="1:66" s="4" customFormat="1" x14ac:dyDescent="0.2">
      <c r="B274" s="4" t="s">
        <v>265</v>
      </c>
      <c r="D274" s="4" t="s">
        <v>90</v>
      </c>
      <c r="F274" s="43">
        <v>2671311</v>
      </c>
      <c r="G274" s="43">
        <v>0</v>
      </c>
      <c r="H274" s="43">
        <v>2389118</v>
      </c>
      <c r="I274" s="43">
        <v>0</v>
      </c>
      <c r="J274" s="43">
        <v>394847</v>
      </c>
      <c r="K274" s="43">
        <v>0</v>
      </c>
      <c r="L274" s="43">
        <v>169641</v>
      </c>
      <c r="M274" s="43">
        <v>0</v>
      </c>
      <c r="N274" s="43">
        <v>0</v>
      </c>
      <c r="O274" s="43">
        <v>0</v>
      </c>
      <c r="P274" s="43">
        <v>0</v>
      </c>
      <c r="Q274" s="43">
        <v>0</v>
      </c>
      <c r="R274" s="43">
        <v>76288</v>
      </c>
      <c r="S274" s="43">
        <v>0</v>
      </c>
      <c r="T274" s="43">
        <v>13780</v>
      </c>
      <c r="U274" s="43">
        <v>0</v>
      </c>
      <c r="V274" s="43">
        <v>25659</v>
      </c>
      <c r="W274" s="43">
        <v>0</v>
      </c>
      <c r="X274" s="43">
        <v>0</v>
      </c>
      <c r="Y274" s="43">
        <v>0</v>
      </c>
      <c r="Z274" s="43">
        <v>13000000</v>
      </c>
      <c r="AA274" s="43">
        <v>0</v>
      </c>
      <c r="AB274" s="43">
        <v>0</v>
      </c>
      <c r="AC274" s="43">
        <v>0</v>
      </c>
      <c r="AD274" s="43">
        <v>0</v>
      </c>
      <c r="AE274" s="43">
        <v>0</v>
      </c>
      <c r="AF274" s="43">
        <v>0</v>
      </c>
      <c r="AG274" s="43"/>
      <c r="AH274" s="43">
        <f t="shared" si="7"/>
        <v>18740644</v>
      </c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</row>
    <row r="275" spans="1:66" s="4" customFormat="1" hidden="1" x14ac:dyDescent="0.2">
      <c r="A275" s="4">
        <v>260</v>
      </c>
      <c r="B275" s="4" t="s">
        <v>266</v>
      </c>
      <c r="D275" s="4" t="s">
        <v>61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3">
        <v>0</v>
      </c>
      <c r="Q275" s="43">
        <v>0</v>
      </c>
      <c r="R275" s="43">
        <v>0</v>
      </c>
      <c r="S275" s="43">
        <v>0</v>
      </c>
      <c r="T275" s="43">
        <v>0</v>
      </c>
      <c r="U275" s="43">
        <v>0</v>
      </c>
      <c r="V275" s="43">
        <v>0</v>
      </c>
      <c r="W275" s="43">
        <v>0</v>
      </c>
      <c r="X275" s="43">
        <v>0</v>
      </c>
      <c r="Y275" s="43">
        <v>0</v>
      </c>
      <c r="Z275" s="43">
        <v>0</v>
      </c>
      <c r="AA275" s="43">
        <v>0</v>
      </c>
      <c r="AB275" s="43">
        <v>0</v>
      </c>
      <c r="AC275" s="43">
        <v>0</v>
      </c>
      <c r="AD275" s="43">
        <v>0</v>
      </c>
      <c r="AE275" s="43">
        <v>0</v>
      </c>
      <c r="AF275" s="43">
        <v>0</v>
      </c>
      <c r="AG275" s="43"/>
      <c r="AH275" s="43">
        <f t="shared" si="7"/>
        <v>0</v>
      </c>
    </row>
    <row r="276" spans="1:66" s="4" customFormat="1" x14ac:dyDescent="0.2">
      <c r="B276" s="4" t="s">
        <v>606</v>
      </c>
      <c r="D276" s="4" t="s">
        <v>65</v>
      </c>
      <c r="F276" s="43">
        <v>0</v>
      </c>
      <c r="G276" s="43">
        <v>0</v>
      </c>
      <c r="H276" s="43">
        <v>274071</v>
      </c>
      <c r="I276" s="43">
        <v>0</v>
      </c>
      <c r="J276" s="43">
        <v>0</v>
      </c>
      <c r="K276" s="43">
        <v>0</v>
      </c>
      <c r="L276" s="43">
        <v>28436</v>
      </c>
      <c r="M276" s="43">
        <v>0</v>
      </c>
      <c r="N276" s="43">
        <v>0</v>
      </c>
      <c r="O276" s="43">
        <v>0</v>
      </c>
      <c r="P276" s="43">
        <v>0</v>
      </c>
      <c r="Q276" s="43">
        <v>0</v>
      </c>
      <c r="R276" s="43">
        <v>7080</v>
      </c>
      <c r="S276" s="43">
        <v>0</v>
      </c>
      <c r="T276" s="43">
        <v>251</v>
      </c>
      <c r="U276" s="43">
        <v>0</v>
      </c>
      <c r="V276" s="43">
        <v>887</v>
      </c>
      <c r="W276" s="43">
        <v>0</v>
      </c>
      <c r="X276" s="43">
        <v>0</v>
      </c>
      <c r="Y276" s="43">
        <v>0</v>
      </c>
      <c r="Z276" s="43">
        <v>0</v>
      </c>
      <c r="AA276" s="43">
        <v>0</v>
      </c>
      <c r="AB276" s="43">
        <v>0</v>
      </c>
      <c r="AC276" s="43">
        <v>0</v>
      </c>
      <c r="AD276" s="43">
        <v>0</v>
      </c>
      <c r="AE276" s="43">
        <v>0</v>
      </c>
      <c r="AF276" s="43">
        <v>0</v>
      </c>
      <c r="AG276" s="43"/>
      <c r="AH276" s="43">
        <f t="shared" si="7"/>
        <v>310725</v>
      </c>
    </row>
    <row r="277" spans="1:66" s="4" customFormat="1" x14ac:dyDescent="0.2">
      <c r="A277" s="4">
        <v>230</v>
      </c>
      <c r="B277" s="4" t="s">
        <v>596</v>
      </c>
      <c r="D277" s="4" t="s">
        <v>54</v>
      </c>
      <c r="F277" s="43">
        <v>2128118</v>
      </c>
      <c r="G277" s="43">
        <v>0</v>
      </c>
      <c r="H277" s="43">
        <v>3242964</v>
      </c>
      <c r="I277" s="43">
        <v>0</v>
      </c>
      <c r="J277" s="43">
        <v>9000</v>
      </c>
      <c r="K277" s="43">
        <v>0</v>
      </c>
      <c r="L277" s="43">
        <v>141788</v>
      </c>
      <c r="M277" s="43">
        <v>0</v>
      </c>
      <c r="N277" s="43">
        <v>0</v>
      </c>
      <c r="O277" s="43">
        <v>0</v>
      </c>
      <c r="P277" s="43">
        <v>400</v>
      </c>
      <c r="Q277" s="43">
        <v>0</v>
      </c>
      <c r="R277" s="43">
        <v>400652</v>
      </c>
      <c r="S277" s="43">
        <v>0</v>
      </c>
      <c r="T277" s="43">
        <v>14136</v>
      </c>
      <c r="U277" s="43">
        <v>0</v>
      </c>
      <c r="V277" s="43">
        <v>75442</v>
      </c>
      <c r="W277" s="43">
        <v>0</v>
      </c>
      <c r="X277" s="43">
        <v>0</v>
      </c>
      <c r="Y277" s="43">
        <v>0</v>
      </c>
      <c r="Z277" s="43">
        <v>0</v>
      </c>
      <c r="AA277" s="43">
        <v>0</v>
      </c>
      <c r="AB277" s="43">
        <v>0</v>
      </c>
      <c r="AC277" s="43">
        <v>0</v>
      </c>
      <c r="AD277" s="43">
        <v>0</v>
      </c>
      <c r="AE277" s="43">
        <v>0</v>
      </c>
      <c r="AF277" s="43">
        <v>0</v>
      </c>
      <c r="AG277" s="43"/>
      <c r="AH277" s="43">
        <f t="shared" si="7"/>
        <v>6012500</v>
      </c>
    </row>
    <row r="278" spans="1:66" s="4" customFormat="1" x14ac:dyDescent="0.2">
      <c r="A278" s="4">
        <v>245</v>
      </c>
      <c r="B278" s="4" t="s">
        <v>597</v>
      </c>
      <c r="D278" s="4" t="s">
        <v>25</v>
      </c>
      <c r="F278" s="43">
        <v>950324</v>
      </c>
      <c r="G278" s="43">
        <v>0</v>
      </c>
      <c r="H278" s="43">
        <v>1906909</v>
      </c>
      <c r="I278" s="43">
        <v>0</v>
      </c>
      <c r="J278" s="43">
        <v>0</v>
      </c>
      <c r="K278" s="43">
        <v>0</v>
      </c>
      <c r="L278" s="43">
        <v>70834</v>
      </c>
      <c r="M278" s="43">
        <v>0</v>
      </c>
      <c r="N278" s="43">
        <v>0</v>
      </c>
      <c r="O278" s="43">
        <v>0</v>
      </c>
      <c r="P278" s="43">
        <v>0</v>
      </c>
      <c r="Q278" s="43">
        <v>0</v>
      </c>
      <c r="R278" s="43">
        <v>11072</v>
      </c>
      <c r="S278" s="43">
        <v>0</v>
      </c>
      <c r="T278" s="43">
        <v>3912</v>
      </c>
      <c r="U278" s="43">
        <v>0</v>
      </c>
      <c r="V278" s="43">
        <v>13866</v>
      </c>
      <c r="W278" s="43">
        <v>0</v>
      </c>
      <c r="X278" s="43">
        <v>0</v>
      </c>
      <c r="Y278" s="43">
        <v>0</v>
      </c>
      <c r="Z278" s="43">
        <v>500000</v>
      </c>
      <c r="AA278" s="43">
        <v>0</v>
      </c>
      <c r="AB278" s="43">
        <v>0</v>
      </c>
      <c r="AC278" s="43">
        <v>0</v>
      </c>
      <c r="AD278" s="43">
        <v>6</v>
      </c>
      <c r="AE278" s="43">
        <v>0</v>
      </c>
      <c r="AF278" s="43">
        <v>0</v>
      </c>
      <c r="AG278" s="43"/>
      <c r="AH278" s="43">
        <f t="shared" si="7"/>
        <v>3456923</v>
      </c>
    </row>
    <row r="279" spans="1:66" s="4" customFormat="1" x14ac:dyDescent="0.2">
      <c r="A279" s="4">
        <v>171</v>
      </c>
      <c r="B279" s="4" t="s">
        <v>267</v>
      </c>
      <c r="D279" s="4" t="s">
        <v>53</v>
      </c>
      <c r="F279" s="43">
        <v>3327664</v>
      </c>
      <c r="G279" s="43">
        <v>0</v>
      </c>
      <c r="H279" s="43">
        <v>2007293</v>
      </c>
      <c r="I279" s="43">
        <v>0</v>
      </c>
      <c r="J279" s="43">
        <v>505499</v>
      </c>
      <c r="K279" s="43">
        <v>0</v>
      </c>
      <c r="L279" s="43">
        <v>297376</v>
      </c>
      <c r="M279" s="43">
        <v>0</v>
      </c>
      <c r="N279" s="43">
        <v>0</v>
      </c>
      <c r="O279" s="43">
        <v>0</v>
      </c>
      <c r="P279" s="43">
        <v>0</v>
      </c>
      <c r="Q279" s="43">
        <v>0</v>
      </c>
      <c r="R279" s="43">
        <v>24761</v>
      </c>
      <c r="S279" s="43">
        <v>0</v>
      </c>
      <c r="T279" s="43">
        <v>74856</v>
      </c>
      <c r="U279" s="43">
        <v>0</v>
      </c>
      <c r="V279" s="43">
        <v>29897</v>
      </c>
      <c r="W279" s="43">
        <v>0</v>
      </c>
      <c r="X279" s="43">
        <v>0</v>
      </c>
      <c r="Y279" s="43">
        <v>0</v>
      </c>
      <c r="Z279" s="43">
        <v>0</v>
      </c>
      <c r="AA279" s="43">
        <v>0</v>
      </c>
      <c r="AB279" s="43">
        <v>0</v>
      </c>
      <c r="AC279" s="43">
        <v>0</v>
      </c>
      <c r="AD279" s="43">
        <v>0</v>
      </c>
      <c r="AE279" s="43">
        <v>0</v>
      </c>
      <c r="AF279" s="43">
        <v>0</v>
      </c>
      <c r="AG279" s="43"/>
      <c r="AH279" s="43">
        <f t="shared" si="7"/>
        <v>6267346</v>
      </c>
    </row>
    <row r="280" spans="1:66" s="4" customFormat="1" hidden="1" x14ac:dyDescent="0.2">
      <c r="A280" s="4">
        <v>87</v>
      </c>
      <c r="B280" s="4" t="s">
        <v>459</v>
      </c>
      <c r="D280" s="4" t="s">
        <v>40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0</v>
      </c>
      <c r="S280" s="43">
        <v>0</v>
      </c>
      <c r="T280" s="43">
        <v>0</v>
      </c>
      <c r="U280" s="43">
        <v>0</v>
      </c>
      <c r="V280" s="43">
        <v>0</v>
      </c>
      <c r="W280" s="43">
        <v>0</v>
      </c>
      <c r="X280" s="43">
        <v>0</v>
      </c>
      <c r="Y280" s="43">
        <v>0</v>
      </c>
      <c r="Z280" s="43">
        <v>0</v>
      </c>
      <c r="AA280" s="43">
        <v>0</v>
      </c>
      <c r="AB280" s="43">
        <v>0</v>
      </c>
      <c r="AC280" s="43">
        <v>0</v>
      </c>
      <c r="AD280" s="43">
        <v>0</v>
      </c>
      <c r="AE280" s="43">
        <v>0</v>
      </c>
      <c r="AF280" s="43">
        <v>0</v>
      </c>
      <c r="AG280" s="43"/>
      <c r="AH280" s="43">
        <f t="shared" si="7"/>
        <v>0</v>
      </c>
    </row>
    <row r="281" spans="1:66" s="4" customFormat="1" x14ac:dyDescent="0.2">
      <c r="A281" s="4">
        <v>247</v>
      </c>
      <c r="B281" s="4" t="s">
        <v>598</v>
      </c>
      <c r="D281" s="4" t="s">
        <v>223</v>
      </c>
      <c r="F281" s="43">
        <v>2219938</v>
      </c>
      <c r="G281" s="43">
        <v>0</v>
      </c>
      <c r="H281" s="43">
        <v>0</v>
      </c>
      <c r="I281" s="43">
        <v>0</v>
      </c>
      <c r="J281" s="43">
        <v>2994634</v>
      </c>
      <c r="K281" s="43">
        <v>0</v>
      </c>
      <c r="L281" s="43">
        <v>166945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30608</v>
      </c>
      <c r="S281" s="43">
        <v>0</v>
      </c>
      <c r="T281" s="43">
        <v>15619</v>
      </c>
      <c r="U281" s="43">
        <v>0</v>
      </c>
      <c r="V281" s="43">
        <v>46046</v>
      </c>
      <c r="W281" s="43">
        <v>0</v>
      </c>
      <c r="X281" s="43">
        <v>0</v>
      </c>
      <c r="Y281" s="43">
        <v>0</v>
      </c>
      <c r="Z281" s="43">
        <v>450000</v>
      </c>
      <c r="AA281" s="43">
        <v>0</v>
      </c>
      <c r="AB281" s="43">
        <v>0</v>
      </c>
      <c r="AC281" s="43">
        <v>0</v>
      </c>
      <c r="AD281" s="43">
        <v>0</v>
      </c>
      <c r="AE281" s="43">
        <v>0</v>
      </c>
      <c r="AF281" s="43">
        <v>0</v>
      </c>
      <c r="AG281" s="43"/>
      <c r="AH281" s="43">
        <f t="shared" si="7"/>
        <v>5923790</v>
      </c>
    </row>
    <row r="282" spans="1:66" s="4" customFormat="1" hidden="1" x14ac:dyDescent="0.2">
      <c r="A282" s="4">
        <v>254</v>
      </c>
      <c r="B282" s="4" t="s">
        <v>269</v>
      </c>
      <c r="D282" s="4" t="s">
        <v>63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3">
        <v>0</v>
      </c>
      <c r="Q282" s="43">
        <v>0</v>
      </c>
      <c r="R282" s="43">
        <v>0</v>
      </c>
      <c r="S282" s="43">
        <v>0</v>
      </c>
      <c r="T282" s="43">
        <v>0</v>
      </c>
      <c r="U282" s="43">
        <v>0</v>
      </c>
      <c r="V282" s="43">
        <v>0</v>
      </c>
      <c r="W282" s="43">
        <v>0</v>
      </c>
      <c r="X282" s="43">
        <v>0</v>
      </c>
      <c r="Y282" s="43">
        <v>0</v>
      </c>
      <c r="Z282" s="43">
        <v>0</v>
      </c>
      <c r="AA282" s="43">
        <v>0</v>
      </c>
      <c r="AB282" s="43">
        <v>0</v>
      </c>
      <c r="AC282" s="43">
        <v>0</v>
      </c>
      <c r="AD282" s="43">
        <v>0</v>
      </c>
      <c r="AE282" s="43">
        <v>0</v>
      </c>
      <c r="AF282" s="43">
        <v>0</v>
      </c>
      <c r="AG282" s="43"/>
      <c r="AH282" s="43">
        <f t="shared" si="7"/>
        <v>0</v>
      </c>
    </row>
    <row r="283" spans="1:66" s="4" customFormat="1" hidden="1" x14ac:dyDescent="0.2">
      <c r="A283" s="4">
        <v>255</v>
      </c>
      <c r="B283" s="4" t="s">
        <v>270</v>
      </c>
      <c r="D283" s="4" t="s">
        <v>63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43">
        <v>0</v>
      </c>
      <c r="X283" s="43">
        <v>0</v>
      </c>
      <c r="Y283" s="43">
        <v>0</v>
      </c>
      <c r="Z283" s="43">
        <v>0</v>
      </c>
      <c r="AA283" s="43">
        <v>0</v>
      </c>
      <c r="AB283" s="43">
        <v>0</v>
      </c>
      <c r="AC283" s="43">
        <v>0</v>
      </c>
      <c r="AD283" s="43">
        <v>0</v>
      </c>
      <c r="AE283" s="43">
        <v>0</v>
      </c>
      <c r="AF283" s="43">
        <v>0</v>
      </c>
      <c r="AG283" s="43"/>
      <c r="AH283" s="43">
        <f t="shared" si="7"/>
        <v>0</v>
      </c>
    </row>
    <row r="284" spans="1:66" s="4" customFormat="1" hidden="1" x14ac:dyDescent="0.2">
      <c r="A284" s="4">
        <v>44</v>
      </c>
      <c r="B284" s="4" t="s">
        <v>271</v>
      </c>
      <c r="D284" s="4" t="s">
        <v>49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3">
        <v>0</v>
      </c>
      <c r="X284" s="43">
        <v>0</v>
      </c>
      <c r="Y284" s="43">
        <v>0</v>
      </c>
      <c r="Z284" s="43">
        <v>0</v>
      </c>
      <c r="AA284" s="43">
        <v>0</v>
      </c>
      <c r="AB284" s="43">
        <v>0</v>
      </c>
      <c r="AC284" s="43">
        <v>0</v>
      </c>
      <c r="AD284" s="43">
        <v>0</v>
      </c>
      <c r="AE284" s="43">
        <v>0</v>
      </c>
      <c r="AF284" s="43">
        <v>0</v>
      </c>
      <c r="AG284" s="43"/>
      <c r="AH284" s="43">
        <f t="shared" si="7"/>
        <v>0</v>
      </c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</row>
    <row r="285" spans="1:66" s="4" customFormat="1" hidden="1" x14ac:dyDescent="0.2">
      <c r="A285" s="4">
        <v>78</v>
      </c>
      <c r="B285" s="4" t="s">
        <v>560</v>
      </c>
      <c r="D285" s="4" t="s">
        <v>90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43">
        <v>0</v>
      </c>
      <c r="X285" s="43">
        <v>0</v>
      </c>
      <c r="Y285" s="43">
        <v>0</v>
      </c>
      <c r="Z285" s="43">
        <v>0</v>
      </c>
      <c r="AA285" s="43">
        <v>0</v>
      </c>
      <c r="AB285" s="43">
        <v>0</v>
      </c>
      <c r="AC285" s="43">
        <v>0</v>
      </c>
      <c r="AD285" s="43">
        <v>0</v>
      </c>
      <c r="AE285" s="43">
        <v>0</v>
      </c>
      <c r="AF285" s="43">
        <v>0</v>
      </c>
      <c r="AG285" s="43"/>
      <c r="AH285" s="43">
        <f t="shared" si="7"/>
        <v>0</v>
      </c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</row>
    <row r="286" spans="1:66" s="4" customFormat="1" hidden="1" x14ac:dyDescent="0.2">
      <c r="A286" s="4">
        <v>256</v>
      </c>
      <c r="B286" s="4" t="s">
        <v>272</v>
      </c>
      <c r="D286" s="4" t="s">
        <v>63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0</v>
      </c>
      <c r="R286" s="43">
        <v>0</v>
      </c>
      <c r="S286" s="43">
        <v>0</v>
      </c>
      <c r="T286" s="43">
        <v>0</v>
      </c>
      <c r="U286" s="43">
        <v>0</v>
      </c>
      <c r="V286" s="43">
        <v>0</v>
      </c>
      <c r="W286" s="43">
        <v>0</v>
      </c>
      <c r="X286" s="43">
        <v>0</v>
      </c>
      <c r="Y286" s="43">
        <v>0</v>
      </c>
      <c r="Z286" s="43">
        <v>0</v>
      </c>
      <c r="AA286" s="43">
        <v>0</v>
      </c>
      <c r="AB286" s="43">
        <v>0</v>
      </c>
      <c r="AC286" s="43">
        <v>0</v>
      </c>
      <c r="AD286" s="43">
        <v>0</v>
      </c>
      <c r="AE286" s="43">
        <v>0</v>
      </c>
      <c r="AF286" s="43">
        <v>0</v>
      </c>
      <c r="AG286" s="43"/>
      <c r="AH286" s="43">
        <f t="shared" si="7"/>
        <v>0</v>
      </c>
    </row>
    <row r="287" spans="1:66" s="4" customFormat="1" hidden="1" x14ac:dyDescent="0.2">
      <c r="A287" s="4">
        <v>129</v>
      </c>
      <c r="B287" s="4" t="s">
        <v>460</v>
      </c>
      <c r="D287" s="4" t="s">
        <v>13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3">
        <v>0</v>
      </c>
      <c r="R287" s="43">
        <v>0</v>
      </c>
      <c r="S287" s="43">
        <v>0</v>
      </c>
      <c r="T287" s="43">
        <v>0</v>
      </c>
      <c r="U287" s="43">
        <v>0</v>
      </c>
      <c r="V287" s="43">
        <v>0</v>
      </c>
      <c r="W287" s="43">
        <v>0</v>
      </c>
      <c r="X287" s="43">
        <v>0</v>
      </c>
      <c r="Y287" s="43">
        <v>0</v>
      </c>
      <c r="Z287" s="43">
        <v>0</v>
      </c>
      <c r="AA287" s="43">
        <v>0</v>
      </c>
      <c r="AB287" s="43">
        <v>0</v>
      </c>
      <c r="AC287" s="43">
        <v>0</v>
      </c>
      <c r="AD287" s="43">
        <v>0</v>
      </c>
      <c r="AE287" s="43">
        <v>0</v>
      </c>
      <c r="AF287" s="43">
        <v>0</v>
      </c>
      <c r="AG287" s="43"/>
      <c r="AH287" s="43">
        <f t="shared" si="7"/>
        <v>0</v>
      </c>
    </row>
    <row r="288" spans="1:66" s="4" customFormat="1" hidden="1" x14ac:dyDescent="0.2">
      <c r="A288" s="4">
        <v>114</v>
      </c>
      <c r="B288" s="4" t="s">
        <v>273</v>
      </c>
      <c r="D288" s="4" t="s">
        <v>87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>
        <v>0</v>
      </c>
      <c r="N288" s="43">
        <v>0</v>
      </c>
      <c r="O288" s="43">
        <v>0</v>
      </c>
      <c r="P288" s="43">
        <v>0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43">
        <v>0</v>
      </c>
      <c r="W288" s="43">
        <v>0</v>
      </c>
      <c r="X288" s="43">
        <v>0</v>
      </c>
      <c r="Y288" s="43">
        <v>0</v>
      </c>
      <c r="Z288" s="43">
        <v>0</v>
      </c>
      <c r="AA288" s="43">
        <v>0</v>
      </c>
      <c r="AB288" s="43">
        <v>0</v>
      </c>
      <c r="AC288" s="43">
        <v>0</v>
      </c>
      <c r="AD288" s="43">
        <v>0</v>
      </c>
      <c r="AE288" s="43">
        <v>0</v>
      </c>
      <c r="AF288" s="43">
        <v>0</v>
      </c>
      <c r="AG288" s="43"/>
      <c r="AH288" s="43">
        <f t="shared" si="7"/>
        <v>0</v>
      </c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</row>
    <row r="289" spans="1:66" s="4" customFormat="1" hidden="1" x14ac:dyDescent="0.2">
      <c r="A289" s="4">
        <v>249</v>
      </c>
      <c r="B289" s="4" t="s">
        <v>599</v>
      </c>
      <c r="D289" s="4" t="s">
        <v>202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3">
        <v>0</v>
      </c>
      <c r="Q289" s="43">
        <v>0</v>
      </c>
      <c r="R289" s="43">
        <v>0</v>
      </c>
      <c r="S289" s="43">
        <v>0</v>
      </c>
      <c r="T289" s="43">
        <v>0</v>
      </c>
      <c r="U289" s="43">
        <v>0</v>
      </c>
      <c r="V289" s="43">
        <v>0</v>
      </c>
      <c r="W289" s="43">
        <v>0</v>
      </c>
      <c r="X289" s="43">
        <v>0</v>
      </c>
      <c r="Y289" s="43">
        <v>0</v>
      </c>
      <c r="Z289" s="43">
        <v>0</v>
      </c>
      <c r="AA289" s="43">
        <v>0</v>
      </c>
      <c r="AB289" s="43">
        <v>0</v>
      </c>
      <c r="AC289" s="43">
        <v>0</v>
      </c>
      <c r="AD289" s="43">
        <v>0</v>
      </c>
      <c r="AE289" s="43">
        <v>0</v>
      </c>
      <c r="AF289" s="43">
        <v>0</v>
      </c>
      <c r="AG289" s="43"/>
      <c r="AH289" s="43">
        <f t="shared" si="7"/>
        <v>0</v>
      </c>
    </row>
    <row r="290" spans="1:66" s="4" customFormat="1" x14ac:dyDescent="0.2">
      <c r="A290" s="4">
        <v>130</v>
      </c>
      <c r="B290" s="4" t="s">
        <v>274</v>
      </c>
      <c r="D290" s="4" t="s">
        <v>13</v>
      </c>
      <c r="F290" s="43">
        <v>3205120</v>
      </c>
      <c r="G290" s="43">
        <v>0</v>
      </c>
      <c r="H290" s="43">
        <v>1691593</v>
      </c>
      <c r="I290" s="43">
        <v>0</v>
      </c>
      <c r="J290" s="43">
        <v>437400</v>
      </c>
      <c r="K290" s="43">
        <v>0</v>
      </c>
      <c r="L290" s="43">
        <v>119348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32182</v>
      </c>
      <c r="S290" s="43">
        <v>0</v>
      </c>
      <c r="T290" s="43">
        <v>12847</v>
      </c>
      <c r="U290" s="43">
        <v>0</v>
      </c>
      <c r="V290" s="43">
        <v>36393</v>
      </c>
      <c r="W290" s="43">
        <v>0</v>
      </c>
      <c r="X290" s="43">
        <v>0</v>
      </c>
      <c r="Y290" s="43">
        <v>0</v>
      </c>
      <c r="Z290" s="43">
        <v>103723</v>
      </c>
      <c r="AA290" s="43">
        <v>0</v>
      </c>
      <c r="AB290" s="43">
        <v>0</v>
      </c>
      <c r="AC290" s="43">
        <v>0</v>
      </c>
      <c r="AD290" s="43">
        <v>0</v>
      </c>
      <c r="AE290" s="43">
        <v>0</v>
      </c>
      <c r="AF290" s="43">
        <v>0</v>
      </c>
      <c r="AG290" s="43"/>
      <c r="AH290" s="43">
        <f t="shared" si="7"/>
        <v>5638606</v>
      </c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</row>
    <row r="291" spans="1:66" s="4" customFormat="1" hidden="1" x14ac:dyDescent="0.2">
      <c r="A291" s="4">
        <v>37</v>
      </c>
      <c r="B291" s="4" t="s">
        <v>275</v>
      </c>
      <c r="D291" s="4" t="s">
        <v>67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43">
        <v>0</v>
      </c>
      <c r="X291" s="43">
        <v>0</v>
      </c>
      <c r="Y291" s="43">
        <v>0</v>
      </c>
      <c r="Z291" s="43">
        <v>0</v>
      </c>
      <c r="AA291" s="43">
        <v>0</v>
      </c>
      <c r="AB291" s="43">
        <v>0</v>
      </c>
      <c r="AC291" s="43">
        <v>0</v>
      </c>
      <c r="AD291" s="43">
        <v>0</v>
      </c>
      <c r="AE291" s="43">
        <v>0</v>
      </c>
      <c r="AF291" s="43">
        <v>0</v>
      </c>
      <c r="AG291" s="43"/>
      <c r="AH291" s="43">
        <f t="shared" si="7"/>
        <v>0</v>
      </c>
    </row>
    <row r="292" spans="1:66" s="4" customFormat="1" x14ac:dyDescent="0.2">
      <c r="A292" s="4">
        <v>257</v>
      </c>
      <c r="B292" s="4" t="s">
        <v>600</v>
      </c>
      <c r="D292" s="4" t="s">
        <v>63</v>
      </c>
      <c r="F292" s="43">
        <v>867340</v>
      </c>
      <c r="G292" s="43">
        <v>0</v>
      </c>
      <c r="H292" s="43">
        <v>1229830</v>
      </c>
      <c r="I292" s="43">
        <v>0</v>
      </c>
      <c r="J292" s="43">
        <v>106774</v>
      </c>
      <c r="K292" s="43">
        <v>0</v>
      </c>
      <c r="L292" s="43">
        <v>48552</v>
      </c>
      <c r="M292" s="43">
        <v>0</v>
      </c>
      <c r="N292" s="43">
        <v>0</v>
      </c>
      <c r="O292" s="43">
        <v>0</v>
      </c>
      <c r="P292" s="43">
        <v>2000</v>
      </c>
      <c r="Q292" s="43">
        <v>0</v>
      </c>
      <c r="R292" s="43">
        <v>122214</v>
      </c>
      <c r="S292" s="43">
        <v>0</v>
      </c>
      <c r="T292" s="43">
        <v>5872</v>
      </c>
      <c r="U292" s="43">
        <v>0</v>
      </c>
      <c r="V292" s="43">
        <v>6829</v>
      </c>
      <c r="W292" s="43">
        <v>0</v>
      </c>
      <c r="X292" s="43">
        <v>0</v>
      </c>
      <c r="Y292" s="43">
        <v>0</v>
      </c>
      <c r="Z292" s="43">
        <v>0</v>
      </c>
      <c r="AA292" s="43">
        <v>0</v>
      </c>
      <c r="AB292" s="43">
        <v>0</v>
      </c>
      <c r="AC292" s="43">
        <v>0</v>
      </c>
      <c r="AD292" s="43">
        <v>0</v>
      </c>
      <c r="AE292" s="43">
        <v>0</v>
      </c>
      <c r="AF292" s="43">
        <v>0</v>
      </c>
      <c r="AG292" s="43"/>
      <c r="AH292" s="43">
        <f t="shared" si="7"/>
        <v>2389411</v>
      </c>
    </row>
    <row r="293" spans="1:66" s="4" customFormat="1" hidden="1" x14ac:dyDescent="0.2">
      <c r="A293" s="4">
        <v>61</v>
      </c>
      <c r="B293" s="4" t="s">
        <v>276</v>
      </c>
      <c r="D293" s="4" t="s">
        <v>79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0</v>
      </c>
      <c r="N293" s="43">
        <v>0</v>
      </c>
      <c r="O293" s="43">
        <v>0</v>
      </c>
      <c r="P293" s="43">
        <v>0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0</v>
      </c>
      <c r="W293" s="43">
        <v>0</v>
      </c>
      <c r="X293" s="43">
        <v>0</v>
      </c>
      <c r="Y293" s="43">
        <v>0</v>
      </c>
      <c r="Z293" s="43">
        <v>0</v>
      </c>
      <c r="AA293" s="43">
        <v>0</v>
      </c>
      <c r="AB293" s="43">
        <v>0</v>
      </c>
      <c r="AC293" s="43">
        <v>0</v>
      </c>
      <c r="AD293" s="43">
        <v>0</v>
      </c>
      <c r="AE293" s="43">
        <v>0</v>
      </c>
      <c r="AF293" s="43">
        <v>0</v>
      </c>
      <c r="AG293" s="43"/>
      <c r="AH293" s="43">
        <f t="shared" si="7"/>
        <v>0</v>
      </c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</row>
    <row r="294" spans="1:66" s="4" customFormat="1" hidden="1" x14ac:dyDescent="0.2">
      <c r="A294" s="4">
        <v>65</v>
      </c>
      <c r="B294" s="4" t="s">
        <v>318</v>
      </c>
      <c r="D294" s="4" t="s">
        <v>68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>
        <v>0</v>
      </c>
      <c r="N294" s="43">
        <v>0</v>
      </c>
      <c r="O294" s="43">
        <v>0</v>
      </c>
      <c r="P294" s="43">
        <v>0</v>
      </c>
      <c r="Q294" s="43">
        <v>0</v>
      </c>
      <c r="R294" s="43">
        <v>0</v>
      </c>
      <c r="S294" s="43">
        <v>0</v>
      </c>
      <c r="T294" s="43">
        <v>0</v>
      </c>
      <c r="U294" s="43">
        <v>0</v>
      </c>
      <c r="V294" s="43">
        <v>0</v>
      </c>
      <c r="W294" s="43">
        <v>0</v>
      </c>
      <c r="X294" s="43">
        <v>0</v>
      </c>
      <c r="Y294" s="43">
        <v>0</v>
      </c>
      <c r="Z294" s="43">
        <v>0</v>
      </c>
      <c r="AA294" s="43">
        <v>0</v>
      </c>
      <c r="AB294" s="43">
        <v>0</v>
      </c>
      <c r="AC294" s="43">
        <v>0</v>
      </c>
      <c r="AD294" s="43">
        <v>0</v>
      </c>
      <c r="AE294" s="43">
        <v>0</v>
      </c>
      <c r="AF294" s="43">
        <v>0</v>
      </c>
      <c r="AG294" s="43"/>
      <c r="AH294" s="43">
        <f t="shared" si="7"/>
        <v>0</v>
      </c>
    </row>
    <row r="295" spans="1:66" s="4" customFormat="1" x14ac:dyDescent="0.2">
      <c r="A295" s="4">
        <v>81</v>
      </c>
      <c r="B295" s="4" t="s">
        <v>277</v>
      </c>
      <c r="D295" s="4" t="s">
        <v>90</v>
      </c>
      <c r="F295" s="43">
        <v>6114780</v>
      </c>
      <c r="G295" s="43">
        <v>0</v>
      </c>
      <c r="H295" s="43">
        <v>2782995</v>
      </c>
      <c r="I295" s="43">
        <v>0</v>
      </c>
      <c r="J295" s="43">
        <v>0</v>
      </c>
      <c r="K295" s="43">
        <v>0</v>
      </c>
      <c r="L295" s="43">
        <v>262858</v>
      </c>
      <c r="M295" s="43">
        <v>0</v>
      </c>
      <c r="N295" s="43">
        <v>0</v>
      </c>
      <c r="O295" s="43">
        <v>0</v>
      </c>
      <c r="P295" s="43">
        <v>1019623</v>
      </c>
      <c r="Q295" s="43">
        <v>0</v>
      </c>
      <c r="R295" s="43">
        <v>74140</v>
      </c>
      <c r="S295" s="43">
        <v>0</v>
      </c>
      <c r="T295" s="43">
        <v>23717</v>
      </c>
      <c r="U295" s="43">
        <v>0</v>
      </c>
      <c r="V295" s="43">
        <v>7907</v>
      </c>
      <c r="W295" s="43">
        <v>0</v>
      </c>
      <c r="X295" s="43">
        <v>0</v>
      </c>
      <c r="Y295" s="43">
        <v>0</v>
      </c>
      <c r="Z295" s="43">
        <v>237915</v>
      </c>
      <c r="AA295" s="43">
        <v>0</v>
      </c>
      <c r="AB295" s="43">
        <v>0</v>
      </c>
      <c r="AC295" s="43">
        <v>0</v>
      </c>
      <c r="AD295" s="43">
        <v>0</v>
      </c>
      <c r="AE295" s="43">
        <v>0</v>
      </c>
      <c r="AF295" s="43">
        <v>0</v>
      </c>
      <c r="AG295" s="43"/>
      <c r="AH295" s="43">
        <f t="shared" si="7"/>
        <v>10523935</v>
      </c>
    </row>
    <row r="296" spans="1:66" s="4" customFormat="1" hidden="1" x14ac:dyDescent="0.2">
      <c r="A296" s="4">
        <v>172</v>
      </c>
      <c r="B296" s="4" t="s">
        <v>461</v>
      </c>
      <c r="D296" s="4" t="s">
        <v>53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66"/>
      <c r="AH296" s="68">
        <f t="shared" si="7"/>
        <v>0</v>
      </c>
    </row>
    <row r="297" spans="1:66" s="4" customFormat="1" x14ac:dyDescent="0.2"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</row>
    <row r="298" spans="1:66" s="4" customFormat="1" x14ac:dyDescent="0.2"/>
    <row r="299" spans="1:66" s="4" customFormat="1" x14ac:dyDescent="0.2"/>
    <row r="300" spans="1:66" s="4" customFormat="1" x14ac:dyDescent="0.2">
      <c r="AH300" s="8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</row>
    <row r="301" spans="1:66" s="4" customFormat="1" x14ac:dyDescent="0.2">
      <c r="AH301" s="8"/>
    </row>
    <row r="302" spans="1:66" s="4" customFormat="1" x14ac:dyDescent="0.2">
      <c r="AH302" s="8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</row>
    <row r="303" spans="1:66" s="4" customFormat="1" x14ac:dyDescent="0.2">
      <c r="AH303" s="8"/>
    </row>
    <row r="304" spans="1:66" s="4" customFormat="1" x14ac:dyDescent="0.2">
      <c r="P304" s="8"/>
    </row>
    <row r="305" spans="35:66" x14ac:dyDescent="0.2"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</row>
    <row r="306" spans="35:66" x14ac:dyDescent="0.2"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</row>
    <row r="307" spans="35:66" x14ac:dyDescent="0.2"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</row>
    <row r="308" spans="35:66" x14ac:dyDescent="0.2"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</row>
    <row r="309" spans="35:66" x14ac:dyDescent="0.2"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</row>
    <row r="310" spans="35:66" x14ac:dyDescent="0.2"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</row>
    <row r="311" spans="35:66" x14ac:dyDescent="0.2"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</row>
    <row r="312" spans="35:66" x14ac:dyDescent="0.2"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</row>
    <row r="313" spans="35:66" x14ac:dyDescent="0.2"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</row>
    <row r="314" spans="35:66" x14ac:dyDescent="0.2"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</row>
    <row r="315" spans="35:66" x14ac:dyDescent="0.2"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</row>
    <row r="316" spans="35:66" x14ac:dyDescent="0.2"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</row>
    <row r="317" spans="35:66" x14ac:dyDescent="0.2"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</row>
    <row r="318" spans="35:66" x14ac:dyDescent="0.2"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</row>
    <row r="319" spans="35:66" x14ac:dyDescent="0.2"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</row>
    <row r="320" spans="35:66" x14ac:dyDescent="0.2"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</row>
    <row r="321" spans="35:66" x14ac:dyDescent="0.2"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</row>
    <row r="322" spans="35:66" x14ac:dyDescent="0.2"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</row>
    <row r="323" spans="35:66" x14ac:dyDescent="0.2"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</row>
    <row r="324" spans="35:66" x14ac:dyDescent="0.2"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</row>
    <row r="325" spans="35:66" x14ac:dyDescent="0.2"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</row>
    <row r="326" spans="35:66" x14ac:dyDescent="0.2"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</row>
    <row r="327" spans="35:66" x14ac:dyDescent="0.2"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</row>
    <row r="328" spans="35:66" x14ac:dyDescent="0.2"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</row>
    <row r="329" spans="35:66" x14ac:dyDescent="0.2"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</row>
    <row r="330" spans="35:66" x14ac:dyDescent="0.2"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</row>
    <row r="331" spans="35:66" x14ac:dyDescent="0.2"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</row>
    <row r="332" spans="35:66" x14ac:dyDescent="0.2"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</row>
    <row r="333" spans="35:66" x14ac:dyDescent="0.2"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</row>
    <row r="334" spans="35:66" x14ac:dyDescent="0.2"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</row>
    <row r="335" spans="35:66" x14ac:dyDescent="0.2"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</row>
    <row r="336" spans="35:66" x14ac:dyDescent="0.2"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</row>
    <row r="337" spans="35:66" x14ac:dyDescent="0.2"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</row>
    <row r="338" spans="35:66" x14ac:dyDescent="0.2"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</row>
    <row r="339" spans="35:66" x14ac:dyDescent="0.2"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</row>
    <row r="340" spans="35:66" x14ac:dyDescent="0.2"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</row>
    <row r="341" spans="35:66" x14ac:dyDescent="0.2"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</row>
    <row r="342" spans="35:66" x14ac:dyDescent="0.2"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</row>
    <row r="343" spans="35:66" x14ac:dyDescent="0.2"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</row>
    <row r="344" spans="35:66" x14ac:dyDescent="0.2"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</row>
    <row r="345" spans="35:66" x14ac:dyDescent="0.2"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</row>
    <row r="346" spans="35:66" x14ac:dyDescent="0.2"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</row>
    <row r="347" spans="35:66" x14ac:dyDescent="0.2"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</row>
    <row r="348" spans="35:66" x14ac:dyDescent="0.2"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</row>
    <row r="349" spans="35:66" x14ac:dyDescent="0.2"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</row>
    <row r="350" spans="35:66" x14ac:dyDescent="0.2"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</row>
    <row r="351" spans="35:66" x14ac:dyDescent="0.2"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</row>
    <row r="352" spans="35:66" x14ac:dyDescent="0.2"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</row>
    <row r="353" spans="35:66" x14ac:dyDescent="0.2"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</row>
    <row r="354" spans="35:66" x14ac:dyDescent="0.2"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</row>
    <row r="355" spans="35:66" x14ac:dyDescent="0.2"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</row>
    <row r="356" spans="35:66" x14ac:dyDescent="0.2"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</row>
    <row r="357" spans="35:66" x14ac:dyDescent="0.2"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</row>
    <row r="358" spans="35:66" x14ac:dyDescent="0.2"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</row>
    <row r="359" spans="35:66" x14ac:dyDescent="0.2"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</row>
    <row r="360" spans="35:66" x14ac:dyDescent="0.2"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</row>
    <row r="361" spans="35:66" x14ac:dyDescent="0.2"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</row>
    <row r="362" spans="35:66" x14ac:dyDescent="0.2"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</row>
    <row r="363" spans="35:66" x14ac:dyDescent="0.2"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</row>
    <row r="364" spans="35:66" x14ac:dyDescent="0.2"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</row>
    <row r="365" spans="35:66" x14ac:dyDescent="0.2"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</row>
    <row r="366" spans="35:66" x14ac:dyDescent="0.2"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</row>
    <row r="367" spans="35:66" x14ac:dyDescent="0.2"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</row>
    <row r="368" spans="35:66" x14ac:dyDescent="0.2"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</row>
    <row r="369" spans="35:66" x14ac:dyDescent="0.2"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</row>
    <row r="370" spans="35:66" x14ac:dyDescent="0.2"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</row>
    <row r="371" spans="35:66" x14ac:dyDescent="0.2"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</row>
    <row r="372" spans="35:66" x14ac:dyDescent="0.2"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</row>
    <row r="373" spans="35:66" x14ac:dyDescent="0.2"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</row>
    <row r="374" spans="35:66" x14ac:dyDescent="0.2"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</row>
    <row r="375" spans="35:66" x14ac:dyDescent="0.2"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</row>
    <row r="376" spans="35:66" x14ac:dyDescent="0.2"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</row>
    <row r="377" spans="35:66" x14ac:dyDescent="0.2"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</row>
    <row r="378" spans="35:66" x14ac:dyDescent="0.2"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</row>
    <row r="379" spans="35:66" x14ac:dyDescent="0.2"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</row>
    <row r="380" spans="35:66" x14ac:dyDescent="0.2"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</row>
  </sheetData>
  <sortState ref="A20:AH271">
    <sortCondition ref="B20:B271"/>
  </sortState>
  <phoneticPr fontId="1" type="noConversion"/>
  <printOptions horizontalCentered="1"/>
  <pageMargins left="0.75" right="0.75" top="0.5" bottom="0.5" header="0" footer="0.3"/>
  <pageSetup scale="74" firstPageNumber="16" fitToWidth="2" fitToHeight="3" pageOrder="overThenDown" orientation="portrait" useFirstPageNumber="1" horizontalDpi="1200" verticalDpi="1200" r:id="rId1"/>
  <headerFooter scaleWithDoc="0" alignWithMargins="0">
    <oddFooter>&amp;C&amp;"Times New Roman,Regular"&amp;11&amp;P</oddFooter>
  </headerFooter>
  <rowBreaks count="1" manualBreakCount="1">
    <brk id="190" min="1" max="33" man="1"/>
  </rowBreaks>
  <colBreaks count="1" manualBreakCount="1">
    <brk id="15" max="3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H317"/>
  <sheetViews>
    <sheetView tabSelected="1" view="pageBreakPreview" topLeftCell="B169" zoomScale="70" zoomScaleNormal="96" zoomScaleSheetLayoutView="70" workbookViewId="0">
      <selection activeCell="M311" sqref="M311"/>
    </sheetView>
  </sheetViews>
  <sheetFormatPr defaultColWidth="9.140625" defaultRowHeight="12" x14ac:dyDescent="0.2"/>
  <cols>
    <col min="1" max="1" width="0" style="3" hidden="1" customWidth="1"/>
    <col min="2" max="2" width="35" style="3" customWidth="1"/>
    <col min="3" max="3" width="1.28515625" style="3" customWidth="1"/>
    <col min="4" max="4" width="10.7109375" style="3" customWidth="1"/>
    <col min="5" max="5" width="1.28515625" style="3" customWidth="1"/>
    <col min="6" max="6" width="11" style="3" customWidth="1"/>
    <col min="7" max="7" width="1.28515625" style="3" customWidth="1"/>
    <col min="8" max="8" width="10.5703125" style="3" customWidth="1"/>
    <col min="9" max="9" width="1.28515625" style="3" customWidth="1"/>
    <col min="10" max="10" width="11.140625" style="3" customWidth="1"/>
    <col min="11" max="11" width="1.28515625" style="3" customWidth="1"/>
    <col min="12" max="12" width="11.140625" style="3" customWidth="1"/>
    <col min="13" max="13" width="1.28515625" style="3" customWidth="1"/>
    <col min="14" max="14" width="11.140625" style="3" customWidth="1"/>
    <col min="15" max="15" width="1.28515625" style="3" customWidth="1"/>
    <col min="16" max="16" width="10.42578125" style="3" customWidth="1"/>
    <col min="17" max="17" width="1.28515625" style="3" customWidth="1"/>
    <col min="18" max="18" width="10.5703125" style="3" customWidth="1"/>
    <col min="19" max="19" width="1.28515625" style="3" customWidth="1"/>
    <col min="20" max="20" width="10.5703125" style="3" customWidth="1"/>
    <col min="21" max="21" width="1.28515625" style="3" customWidth="1"/>
    <col min="22" max="22" width="10.5703125" style="3" customWidth="1"/>
    <col min="23" max="23" width="1.28515625" style="3" customWidth="1"/>
    <col min="24" max="24" width="11.42578125" style="3" customWidth="1"/>
    <col min="25" max="25" width="1.28515625" style="3" customWidth="1"/>
    <col min="26" max="26" width="10.5703125" style="3" customWidth="1"/>
    <col min="27" max="27" width="1.28515625" style="3" customWidth="1"/>
    <col min="28" max="28" width="11.28515625" style="3" customWidth="1"/>
    <col min="29" max="29" width="1.28515625" style="3" customWidth="1"/>
    <col min="30" max="30" width="10.85546875" style="3" customWidth="1"/>
    <col min="31" max="31" width="1.28515625" style="3" customWidth="1"/>
    <col min="32" max="32" width="10.5703125" style="3" customWidth="1"/>
    <col min="33" max="33" width="1.28515625" style="3" customWidth="1"/>
    <col min="34" max="34" width="11.5703125" style="3" bestFit="1" customWidth="1"/>
    <col min="35" max="16384" width="9.140625" style="3"/>
  </cols>
  <sheetData>
    <row r="1" spans="1:34" x14ac:dyDescent="0.2">
      <c r="B1" s="3" t="s">
        <v>516</v>
      </c>
    </row>
    <row r="2" spans="1:34" x14ac:dyDescent="0.2">
      <c r="B2" s="3" t="s">
        <v>632</v>
      </c>
    </row>
    <row r="3" spans="1:34" hidden="1" x14ac:dyDescent="0.2"/>
    <row r="4" spans="1:34" s="36" customFormat="1" x14ac:dyDescent="0.2">
      <c r="B4" s="41"/>
      <c r="H4" s="36" t="s">
        <v>6</v>
      </c>
    </row>
    <row r="5" spans="1:34" s="36" customFormat="1" x14ac:dyDescent="0.2">
      <c r="F5" s="36" t="s">
        <v>319</v>
      </c>
      <c r="H5" s="36" t="s">
        <v>545</v>
      </c>
      <c r="J5" s="36" t="s">
        <v>622</v>
      </c>
      <c r="N5" s="36" t="s">
        <v>544</v>
      </c>
      <c r="Z5" s="36" t="s">
        <v>326</v>
      </c>
      <c r="AF5" s="36" t="s">
        <v>0</v>
      </c>
    </row>
    <row r="6" spans="1:34" s="36" customFormat="1" x14ac:dyDescent="0.2">
      <c r="F6" s="36" t="s">
        <v>320</v>
      </c>
      <c r="H6" s="36" t="s">
        <v>321</v>
      </c>
      <c r="J6" s="36" t="s">
        <v>623</v>
      </c>
      <c r="L6" s="36" t="s">
        <v>322</v>
      </c>
      <c r="N6" s="36" t="s">
        <v>542</v>
      </c>
      <c r="P6" s="36" t="s">
        <v>625</v>
      </c>
      <c r="V6" s="36" t="s">
        <v>28</v>
      </c>
      <c r="X6" s="36" t="s">
        <v>324</v>
      </c>
      <c r="Z6" s="36" t="s">
        <v>327</v>
      </c>
      <c r="AF6" s="36" t="s">
        <v>294</v>
      </c>
    </row>
    <row r="7" spans="1:34" s="36" customFormat="1" ht="12" customHeight="1" x14ac:dyDescent="0.2">
      <c r="A7" s="36" t="s">
        <v>563</v>
      </c>
      <c r="B7" s="37" t="s">
        <v>6</v>
      </c>
      <c r="C7" s="44"/>
      <c r="D7" s="37" t="s">
        <v>4</v>
      </c>
      <c r="E7" s="44"/>
      <c r="F7" s="37" t="s">
        <v>27</v>
      </c>
      <c r="G7" s="44"/>
      <c r="H7" s="37" t="s">
        <v>322</v>
      </c>
      <c r="I7" s="44"/>
      <c r="J7" s="37" t="s">
        <v>624</v>
      </c>
      <c r="K7" s="44"/>
      <c r="L7" s="37" t="s">
        <v>27</v>
      </c>
      <c r="M7" s="44"/>
      <c r="N7" s="37" t="s">
        <v>543</v>
      </c>
      <c r="O7" s="44"/>
      <c r="P7" s="45" t="s">
        <v>626</v>
      </c>
      <c r="Q7" s="44"/>
      <c r="R7" s="37" t="s">
        <v>2</v>
      </c>
      <c r="S7" s="44"/>
      <c r="T7" s="37" t="s">
        <v>0</v>
      </c>
      <c r="U7" s="44"/>
      <c r="V7" s="37" t="s">
        <v>323</v>
      </c>
      <c r="W7" s="44"/>
      <c r="X7" s="37" t="s">
        <v>325</v>
      </c>
      <c r="Y7" s="44"/>
      <c r="Z7" s="37" t="s">
        <v>328</v>
      </c>
      <c r="AA7" s="44"/>
      <c r="AB7" s="37" t="s">
        <v>497</v>
      </c>
      <c r="AC7" s="44"/>
      <c r="AD7" s="37" t="s">
        <v>498</v>
      </c>
      <c r="AE7" s="44"/>
      <c r="AF7" s="37" t="s">
        <v>329</v>
      </c>
      <c r="AG7" s="44"/>
      <c r="AH7" s="45" t="s">
        <v>26</v>
      </c>
    </row>
    <row r="8" spans="1:34" s="4" customFormat="1" hidden="1" x14ac:dyDescent="0.2">
      <c r="A8" s="4">
        <v>2</v>
      </c>
      <c r="B8" s="4" t="s">
        <v>426</v>
      </c>
      <c r="D8" s="4" t="s">
        <v>95</v>
      </c>
      <c r="F8" s="4">
        <v>0</v>
      </c>
      <c r="H8" s="4">
        <v>0</v>
      </c>
      <c r="J8" s="4">
        <v>0</v>
      </c>
      <c r="L8" s="4">
        <v>0</v>
      </c>
      <c r="N8" s="4">
        <v>0</v>
      </c>
      <c r="P8" s="4">
        <v>0</v>
      </c>
      <c r="R8" s="4">
        <v>0</v>
      </c>
      <c r="T8" s="4">
        <v>0</v>
      </c>
      <c r="V8" s="4">
        <v>0</v>
      </c>
      <c r="X8" s="4">
        <v>0</v>
      </c>
      <c r="Z8" s="4">
        <v>0</v>
      </c>
      <c r="AB8" s="4">
        <v>0</v>
      </c>
      <c r="AD8" s="4">
        <v>0</v>
      </c>
      <c r="AF8" s="4">
        <v>0</v>
      </c>
      <c r="AH8" s="4">
        <f t="shared" ref="AH8:AH72" si="0">SUM(F8:AF8)</f>
        <v>0</v>
      </c>
    </row>
    <row r="9" spans="1:34" hidden="1" x14ac:dyDescent="0.2">
      <c r="A9" s="4">
        <v>75</v>
      </c>
      <c r="B9" s="4" t="s">
        <v>427</v>
      </c>
      <c r="C9" s="4"/>
      <c r="D9" s="4" t="s">
        <v>90</v>
      </c>
      <c r="E9" s="4"/>
      <c r="F9" s="4">
        <v>0</v>
      </c>
      <c r="G9" s="4"/>
      <c r="H9" s="4">
        <v>0</v>
      </c>
      <c r="I9" s="4"/>
      <c r="J9" s="4">
        <v>0</v>
      </c>
      <c r="K9" s="4"/>
      <c r="L9" s="4">
        <v>0</v>
      </c>
      <c r="M9" s="4"/>
      <c r="N9" s="4">
        <v>0</v>
      </c>
      <c r="O9" s="4"/>
      <c r="P9" s="4">
        <v>0</v>
      </c>
      <c r="Q9" s="4"/>
      <c r="R9" s="4">
        <v>0</v>
      </c>
      <c r="S9" s="4"/>
      <c r="T9" s="4">
        <v>0</v>
      </c>
      <c r="U9" s="4"/>
      <c r="V9" s="4">
        <v>0</v>
      </c>
      <c r="W9" s="4"/>
      <c r="X9" s="4">
        <v>0</v>
      </c>
      <c r="Y9" s="4"/>
      <c r="Z9" s="4">
        <v>0</v>
      </c>
      <c r="AA9" s="4"/>
      <c r="AB9" s="4">
        <v>0</v>
      </c>
      <c r="AC9" s="4"/>
      <c r="AD9" s="4">
        <v>0</v>
      </c>
      <c r="AE9" s="4"/>
      <c r="AF9" s="4">
        <v>0</v>
      </c>
      <c r="AG9" s="4"/>
      <c r="AH9" s="4">
        <f t="shared" si="0"/>
        <v>0</v>
      </c>
    </row>
    <row r="10" spans="1:34" s="7" customFormat="1" hidden="1" x14ac:dyDescent="0.2">
      <c r="A10" s="4">
        <v>80</v>
      </c>
      <c r="B10" s="4" t="s">
        <v>265</v>
      </c>
      <c r="C10" s="4"/>
      <c r="D10" s="4" t="s">
        <v>90</v>
      </c>
      <c r="E10" s="4"/>
      <c r="F10" s="68">
        <v>0</v>
      </c>
      <c r="G10" s="68"/>
      <c r="H10" s="68">
        <v>0</v>
      </c>
      <c r="I10" s="68"/>
      <c r="J10" s="68">
        <v>0</v>
      </c>
      <c r="K10" s="68"/>
      <c r="L10" s="68">
        <v>0</v>
      </c>
      <c r="M10" s="68"/>
      <c r="N10" s="68">
        <v>0</v>
      </c>
      <c r="O10" s="68"/>
      <c r="P10" s="68">
        <v>0</v>
      </c>
      <c r="Q10" s="68"/>
      <c r="R10" s="68">
        <v>0</v>
      </c>
      <c r="S10" s="68"/>
      <c r="T10" s="68">
        <v>0</v>
      </c>
      <c r="U10" s="68"/>
      <c r="V10" s="68">
        <v>0</v>
      </c>
      <c r="W10" s="68"/>
      <c r="X10" s="68">
        <v>0</v>
      </c>
      <c r="Y10" s="68"/>
      <c r="Z10" s="68">
        <v>0</v>
      </c>
      <c r="AA10" s="68"/>
      <c r="AB10" s="68">
        <v>0</v>
      </c>
      <c r="AC10" s="68"/>
      <c r="AD10" s="68">
        <v>0</v>
      </c>
      <c r="AE10" s="68"/>
      <c r="AF10" s="68">
        <v>0</v>
      </c>
      <c r="AG10" s="68"/>
      <c r="AH10" s="68">
        <f t="shared" si="0"/>
        <v>0</v>
      </c>
    </row>
    <row r="11" spans="1:34" s="4" customFormat="1" hidden="1" x14ac:dyDescent="0.2">
      <c r="A11" s="4">
        <v>117</v>
      </c>
      <c r="B11" s="4" t="s">
        <v>338</v>
      </c>
      <c r="D11" s="4" t="s">
        <v>168</v>
      </c>
      <c r="F11" s="68">
        <v>0</v>
      </c>
      <c r="G11" s="68"/>
      <c r="H11" s="68">
        <v>0</v>
      </c>
      <c r="I11" s="68"/>
      <c r="J11" s="68">
        <v>0</v>
      </c>
      <c r="K11" s="68"/>
      <c r="L11" s="68">
        <v>0</v>
      </c>
      <c r="M11" s="68"/>
      <c r="N11" s="68">
        <v>0</v>
      </c>
      <c r="O11" s="68"/>
      <c r="P11" s="68">
        <v>0</v>
      </c>
      <c r="Q11" s="68"/>
      <c r="R11" s="68">
        <v>0</v>
      </c>
      <c r="S11" s="68"/>
      <c r="T11" s="68">
        <v>0</v>
      </c>
      <c r="U11" s="68"/>
      <c r="V11" s="68">
        <v>0</v>
      </c>
      <c r="W11" s="68"/>
      <c r="X11" s="68">
        <v>0</v>
      </c>
      <c r="Y11" s="68"/>
      <c r="Z11" s="68">
        <v>0</v>
      </c>
      <c r="AA11" s="68"/>
      <c r="AB11" s="68">
        <v>0</v>
      </c>
      <c r="AC11" s="68"/>
      <c r="AD11" s="68">
        <v>0</v>
      </c>
      <c r="AE11" s="68"/>
      <c r="AF11" s="68">
        <v>0</v>
      </c>
      <c r="AG11" s="68"/>
      <c r="AH11" s="68">
        <f t="shared" si="0"/>
        <v>0</v>
      </c>
    </row>
    <row r="12" spans="1:34" s="4" customFormat="1" hidden="1" x14ac:dyDescent="0.2">
      <c r="A12" s="4">
        <v>135</v>
      </c>
      <c r="B12" s="4" t="s">
        <v>433</v>
      </c>
      <c r="D12" s="4" t="s">
        <v>39</v>
      </c>
      <c r="F12" s="68">
        <v>0</v>
      </c>
      <c r="G12" s="68"/>
      <c r="H12" s="68">
        <v>0</v>
      </c>
      <c r="I12" s="68"/>
      <c r="J12" s="68">
        <v>0</v>
      </c>
      <c r="K12" s="68"/>
      <c r="L12" s="68">
        <v>0</v>
      </c>
      <c r="M12" s="68"/>
      <c r="N12" s="68">
        <v>0</v>
      </c>
      <c r="O12" s="68"/>
      <c r="P12" s="68">
        <v>0</v>
      </c>
      <c r="Q12" s="68"/>
      <c r="R12" s="68">
        <v>0</v>
      </c>
      <c r="S12" s="68"/>
      <c r="T12" s="68">
        <v>0</v>
      </c>
      <c r="U12" s="68"/>
      <c r="V12" s="68">
        <v>0</v>
      </c>
      <c r="W12" s="68"/>
      <c r="X12" s="68">
        <v>0</v>
      </c>
      <c r="Y12" s="68"/>
      <c r="Z12" s="68">
        <v>0</v>
      </c>
      <c r="AA12" s="68"/>
      <c r="AB12" s="68">
        <v>0</v>
      </c>
      <c r="AC12" s="68"/>
      <c r="AD12" s="68">
        <v>0</v>
      </c>
      <c r="AE12" s="68"/>
      <c r="AF12" s="68">
        <v>0</v>
      </c>
      <c r="AG12" s="68"/>
      <c r="AH12" s="68">
        <f t="shared" si="0"/>
        <v>0</v>
      </c>
    </row>
    <row r="13" spans="1:34" s="4" customFormat="1" hidden="1" x14ac:dyDescent="0.2">
      <c r="A13" s="4">
        <v>152</v>
      </c>
      <c r="B13" s="4" t="s">
        <v>212</v>
      </c>
      <c r="D13" s="4" t="s">
        <v>213</v>
      </c>
      <c r="F13" s="68">
        <v>0</v>
      </c>
      <c r="G13" s="68"/>
      <c r="H13" s="68">
        <v>0</v>
      </c>
      <c r="I13" s="68"/>
      <c r="J13" s="68">
        <v>0</v>
      </c>
      <c r="K13" s="68"/>
      <c r="L13" s="68">
        <v>0</v>
      </c>
      <c r="M13" s="68"/>
      <c r="N13" s="68">
        <v>0</v>
      </c>
      <c r="O13" s="68"/>
      <c r="P13" s="68">
        <v>0</v>
      </c>
      <c r="Q13" s="68"/>
      <c r="R13" s="68">
        <v>0</v>
      </c>
      <c r="S13" s="68"/>
      <c r="T13" s="68">
        <v>0</v>
      </c>
      <c r="U13" s="68"/>
      <c r="V13" s="68">
        <v>0</v>
      </c>
      <c r="W13" s="68"/>
      <c r="X13" s="68">
        <v>0</v>
      </c>
      <c r="Y13" s="68"/>
      <c r="Z13" s="68">
        <v>0</v>
      </c>
      <c r="AA13" s="68"/>
      <c r="AB13" s="68">
        <v>0</v>
      </c>
      <c r="AC13" s="68"/>
      <c r="AD13" s="68">
        <v>0</v>
      </c>
      <c r="AE13" s="68"/>
      <c r="AF13" s="68">
        <v>0</v>
      </c>
      <c r="AG13" s="68"/>
      <c r="AH13" s="68">
        <f t="shared" si="0"/>
        <v>0</v>
      </c>
    </row>
    <row r="14" spans="1:34" s="4" customFormat="1" hidden="1" x14ac:dyDescent="0.2">
      <c r="A14" s="4">
        <v>180</v>
      </c>
      <c r="B14" s="4" t="s">
        <v>251</v>
      </c>
      <c r="D14" s="4" t="s">
        <v>104</v>
      </c>
      <c r="F14" s="68">
        <v>0</v>
      </c>
      <c r="G14" s="68"/>
      <c r="H14" s="68">
        <v>0</v>
      </c>
      <c r="I14" s="68"/>
      <c r="J14" s="68">
        <v>0</v>
      </c>
      <c r="K14" s="68"/>
      <c r="L14" s="68">
        <v>0</v>
      </c>
      <c r="M14" s="68"/>
      <c r="N14" s="68">
        <v>0</v>
      </c>
      <c r="O14" s="68"/>
      <c r="P14" s="68">
        <v>0</v>
      </c>
      <c r="Q14" s="68"/>
      <c r="R14" s="68">
        <v>0</v>
      </c>
      <c r="S14" s="68"/>
      <c r="T14" s="68">
        <v>0</v>
      </c>
      <c r="U14" s="68"/>
      <c r="V14" s="68">
        <v>0</v>
      </c>
      <c r="W14" s="68"/>
      <c r="X14" s="68">
        <v>0</v>
      </c>
      <c r="Y14" s="68"/>
      <c r="Z14" s="68">
        <v>0</v>
      </c>
      <c r="AA14" s="68"/>
      <c r="AB14" s="68">
        <v>0</v>
      </c>
      <c r="AC14" s="68"/>
      <c r="AD14" s="68">
        <v>0</v>
      </c>
      <c r="AE14" s="68"/>
      <c r="AF14" s="68">
        <v>0</v>
      </c>
      <c r="AG14" s="68"/>
      <c r="AH14" s="68">
        <f t="shared" si="0"/>
        <v>0</v>
      </c>
    </row>
    <row r="15" spans="1:34" s="7" customFormat="1" hidden="1" x14ac:dyDescent="0.2">
      <c r="A15" s="4">
        <v>185</v>
      </c>
      <c r="B15" s="4" t="s">
        <v>228</v>
      </c>
      <c r="C15" s="4"/>
      <c r="D15" s="4" t="s">
        <v>227</v>
      </c>
      <c r="E15" s="4"/>
      <c r="F15" s="68">
        <v>0</v>
      </c>
      <c r="G15" s="68"/>
      <c r="H15" s="68">
        <v>0</v>
      </c>
      <c r="I15" s="68"/>
      <c r="J15" s="68">
        <v>0</v>
      </c>
      <c r="K15" s="68"/>
      <c r="L15" s="68">
        <v>0</v>
      </c>
      <c r="M15" s="68"/>
      <c r="N15" s="68">
        <v>0</v>
      </c>
      <c r="O15" s="68"/>
      <c r="P15" s="68">
        <v>0</v>
      </c>
      <c r="Q15" s="68"/>
      <c r="R15" s="68">
        <v>0</v>
      </c>
      <c r="S15" s="68"/>
      <c r="T15" s="68">
        <v>0</v>
      </c>
      <c r="U15" s="68"/>
      <c r="V15" s="68">
        <v>0</v>
      </c>
      <c r="W15" s="68"/>
      <c r="X15" s="68">
        <v>0</v>
      </c>
      <c r="Y15" s="68"/>
      <c r="Z15" s="68">
        <v>0</v>
      </c>
      <c r="AA15" s="68"/>
      <c r="AB15" s="68">
        <v>0</v>
      </c>
      <c r="AC15" s="68"/>
      <c r="AD15" s="68">
        <v>0</v>
      </c>
      <c r="AE15" s="68"/>
      <c r="AF15" s="68">
        <v>0</v>
      </c>
      <c r="AG15" s="68"/>
      <c r="AH15" s="68">
        <f t="shared" si="0"/>
        <v>0</v>
      </c>
    </row>
    <row r="16" spans="1:34" s="4" customFormat="1" hidden="1" x14ac:dyDescent="0.2">
      <c r="A16" s="4">
        <v>189</v>
      </c>
      <c r="B16" s="4" t="s">
        <v>441</v>
      </c>
      <c r="D16" s="4" t="s">
        <v>234</v>
      </c>
      <c r="F16" s="68">
        <v>0</v>
      </c>
      <c r="G16" s="68"/>
      <c r="H16" s="68">
        <v>0</v>
      </c>
      <c r="I16" s="68"/>
      <c r="J16" s="68">
        <v>0</v>
      </c>
      <c r="K16" s="68"/>
      <c r="L16" s="68">
        <v>0</v>
      </c>
      <c r="M16" s="68"/>
      <c r="N16" s="68">
        <v>0</v>
      </c>
      <c r="O16" s="68"/>
      <c r="P16" s="68">
        <v>0</v>
      </c>
      <c r="Q16" s="68"/>
      <c r="R16" s="68">
        <v>0</v>
      </c>
      <c r="S16" s="68"/>
      <c r="T16" s="68">
        <v>0</v>
      </c>
      <c r="U16" s="68"/>
      <c r="V16" s="68">
        <v>0</v>
      </c>
      <c r="W16" s="68"/>
      <c r="X16" s="68">
        <v>0</v>
      </c>
      <c r="Y16" s="68"/>
      <c r="Z16" s="68">
        <v>0</v>
      </c>
      <c r="AA16" s="68"/>
      <c r="AB16" s="68">
        <v>0</v>
      </c>
      <c r="AC16" s="68"/>
      <c r="AD16" s="68">
        <v>0</v>
      </c>
      <c r="AE16" s="68"/>
      <c r="AF16" s="68">
        <v>0</v>
      </c>
      <c r="AG16" s="68"/>
      <c r="AH16" s="68">
        <f t="shared" si="0"/>
        <v>0</v>
      </c>
    </row>
    <row r="17" spans="1:57" s="4" customFormat="1" hidden="1" x14ac:dyDescent="0.2">
      <c r="A17" s="4">
        <v>233</v>
      </c>
      <c r="B17" s="4" t="s">
        <v>33</v>
      </c>
      <c r="D17" s="4" t="s">
        <v>24</v>
      </c>
      <c r="F17" s="68">
        <v>0</v>
      </c>
      <c r="G17" s="68"/>
      <c r="H17" s="68">
        <v>0</v>
      </c>
      <c r="I17" s="68"/>
      <c r="J17" s="68">
        <v>0</v>
      </c>
      <c r="K17" s="68"/>
      <c r="L17" s="68">
        <v>0</v>
      </c>
      <c r="M17" s="68"/>
      <c r="N17" s="68">
        <v>0</v>
      </c>
      <c r="O17" s="68"/>
      <c r="P17" s="68">
        <v>0</v>
      </c>
      <c r="Q17" s="68"/>
      <c r="R17" s="68">
        <v>0</v>
      </c>
      <c r="S17" s="68"/>
      <c r="T17" s="68">
        <v>0</v>
      </c>
      <c r="U17" s="68"/>
      <c r="V17" s="68">
        <v>0</v>
      </c>
      <c r="W17" s="68"/>
      <c r="X17" s="68">
        <v>0</v>
      </c>
      <c r="Y17" s="68"/>
      <c r="Z17" s="68">
        <v>0</v>
      </c>
      <c r="AA17" s="68"/>
      <c r="AB17" s="68">
        <v>0</v>
      </c>
      <c r="AC17" s="68"/>
      <c r="AD17" s="68">
        <v>0</v>
      </c>
      <c r="AE17" s="68"/>
      <c r="AF17" s="68">
        <v>0</v>
      </c>
      <c r="AG17" s="68"/>
      <c r="AH17" s="68">
        <f t="shared" si="0"/>
        <v>0</v>
      </c>
    </row>
    <row r="18" spans="1:57" s="4" customFormat="1" hidden="1" x14ac:dyDescent="0.2">
      <c r="A18" s="4">
        <v>234</v>
      </c>
      <c r="B18" s="4" t="s">
        <v>199</v>
      </c>
      <c r="D18" s="4" t="s">
        <v>24</v>
      </c>
      <c r="F18" s="68">
        <v>0</v>
      </c>
      <c r="G18" s="68"/>
      <c r="H18" s="68">
        <v>0</v>
      </c>
      <c r="I18" s="68"/>
      <c r="J18" s="68">
        <v>0</v>
      </c>
      <c r="K18" s="68"/>
      <c r="L18" s="68">
        <v>0</v>
      </c>
      <c r="M18" s="68"/>
      <c r="N18" s="68">
        <v>0</v>
      </c>
      <c r="O18" s="68"/>
      <c r="P18" s="68">
        <v>0</v>
      </c>
      <c r="Q18" s="68"/>
      <c r="R18" s="68">
        <v>0</v>
      </c>
      <c r="S18" s="68"/>
      <c r="T18" s="68">
        <v>0</v>
      </c>
      <c r="U18" s="68"/>
      <c r="V18" s="68">
        <v>0</v>
      </c>
      <c r="W18" s="68"/>
      <c r="X18" s="68">
        <v>0</v>
      </c>
      <c r="Y18" s="68"/>
      <c r="Z18" s="68">
        <v>0</v>
      </c>
      <c r="AA18" s="68"/>
      <c r="AB18" s="68">
        <v>0</v>
      </c>
      <c r="AC18" s="68"/>
      <c r="AD18" s="68">
        <v>0</v>
      </c>
      <c r="AE18" s="68"/>
      <c r="AF18" s="68">
        <v>0</v>
      </c>
      <c r="AG18" s="68"/>
      <c r="AH18" s="68">
        <f t="shared" si="0"/>
        <v>0</v>
      </c>
    </row>
    <row r="19" spans="1:57" s="4" customFormat="1" hidden="1" x14ac:dyDescent="0.2">
      <c r="A19" s="4">
        <v>95</v>
      </c>
      <c r="B19" s="3" t="s">
        <v>71</v>
      </c>
      <c r="C19" s="3"/>
      <c r="D19" s="3" t="s">
        <v>59</v>
      </c>
      <c r="E19" s="3"/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/>
      <c r="AH19" s="68">
        <f t="shared" si="0"/>
        <v>0</v>
      </c>
    </row>
    <row r="20" spans="1:57" s="14" customFormat="1" hidden="1" x14ac:dyDescent="0.2">
      <c r="A20" s="4">
        <v>1</v>
      </c>
      <c r="B20" s="3" t="s">
        <v>72</v>
      </c>
      <c r="C20" s="3"/>
      <c r="D20" s="3" t="s">
        <v>38</v>
      </c>
      <c r="E20" s="3"/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"/>
      <c r="AH20" s="68">
        <f t="shared" si="0"/>
        <v>0</v>
      </c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</row>
    <row r="21" spans="1:57" s="14" customFormat="1" x14ac:dyDescent="0.2">
      <c r="A21" s="4"/>
      <c r="B21" s="3"/>
      <c r="C21" s="3"/>
      <c r="D21" s="3"/>
      <c r="E21" s="3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"/>
      <c r="AH21" s="68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</row>
    <row r="22" spans="1:57" s="4" customFormat="1" x14ac:dyDescent="0.2">
      <c r="A22" s="4">
        <v>216</v>
      </c>
      <c r="B22" s="42" t="s">
        <v>425</v>
      </c>
      <c r="C22" s="42"/>
      <c r="D22" s="42" t="s">
        <v>20</v>
      </c>
      <c r="E22" s="42"/>
      <c r="F22" s="90">
        <v>0</v>
      </c>
      <c r="G22" s="90">
        <v>0</v>
      </c>
      <c r="H22" s="90">
        <v>11525425</v>
      </c>
      <c r="I22" s="90">
        <v>0</v>
      </c>
      <c r="J22" s="90">
        <v>3822208</v>
      </c>
      <c r="K22" s="90">
        <v>0</v>
      </c>
      <c r="L22" s="90">
        <v>874973</v>
      </c>
      <c r="M22" s="90">
        <v>0</v>
      </c>
      <c r="N22" s="90">
        <v>4276902</v>
      </c>
      <c r="O22" s="90">
        <v>0</v>
      </c>
      <c r="P22" s="90">
        <v>2593416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371151</v>
      </c>
      <c r="W22" s="90">
        <v>0</v>
      </c>
      <c r="X22" s="90">
        <v>3660000</v>
      </c>
      <c r="Y22" s="90"/>
      <c r="Z22" s="90">
        <v>1920523</v>
      </c>
      <c r="AA22" s="90">
        <v>0</v>
      </c>
      <c r="AB22" s="90">
        <v>732</v>
      </c>
      <c r="AC22" s="90">
        <v>0</v>
      </c>
      <c r="AD22" s="90">
        <v>0</v>
      </c>
      <c r="AE22" s="90">
        <v>0</v>
      </c>
      <c r="AF22" s="90">
        <v>0</v>
      </c>
      <c r="AG22" s="90"/>
      <c r="AH22" s="90">
        <f t="shared" si="0"/>
        <v>29045330</v>
      </c>
    </row>
    <row r="23" spans="1:57" s="4" customFormat="1" hidden="1" x14ac:dyDescent="0.2">
      <c r="A23" s="4">
        <v>131</v>
      </c>
      <c r="B23" s="4" t="s">
        <v>502</v>
      </c>
      <c r="D23" s="4" t="s">
        <v>39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15"/>
      <c r="AH23" s="91">
        <f t="shared" si="0"/>
        <v>0</v>
      </c>
    </row>
    <row r="24" spans="1:57" s="4" customFormat="1" hidden="1" x14ac:dyDescent="0.2">
      <c r="A24" s="4">
        <v>96</v>
      </c>
      <c r="B24" s="4" t="s">
        <v>73</v>
      </c>
      <c r="D24" s="4" t="s">
        <v>59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15"/>
      <c r="AH24" s="91">
        <f t="shared" si="0"/>
        <v>0</v>
      </c>
    </row>
    <row r="25" spans="1:57" s="4" customFormat="1" hidden="1" x14ac:dyDescent="0.2">
      <c r="A25" s="4">
        <v>140</v>
      </c>
      <c r="B25" s="4" t="s">
        <v>442</v>
      </c>
      <c r="D25" s="4" t="s">
        <v>55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2"/>
      <c r="AH25" s="91">
        <f t="shared" si="0"/>
        <v>0</v>
      </c>
    </row>
    <row r="26" spans="1:57" s="4" customFormat="1" hidden="1" x14ac:dyDescent="0.2">
      <c r="A26" s="4">
        <v>208</v>
      </c>
      <c r="B26" s="4" t="s">
        <v>75</v>
      </c>
      <c r="D26" s="4" t="s">
        <v>76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H26" s="91">
        <f t="shared" si="0"/>
        <v>0</v>
      </c>
    </row>
    <row r="27" spans="1:57" s="4" customFormat="1" hidden="1" x14ac:dyDescent="0.2">
      <c r="A27" s="4">
        <v>8</v>
      </c>
      <c r="B27" s="4" t="s">
        <v>77</v>
      </c>
      <c r="D27" s="4" t="s">
        <v>41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1">
        <v>0</v>
      </c>
      <c r="Y27" s="91">
        <v>0</v>
      </c>
      <c r="Z27" s="91">
        <v>0</v>
      </c>
      <c r="AA27" s="91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92"/>
      <c r="AH27" s="91">
        <f t="shared" si="0"/>
        <v>0</v>
      </c>
    </row>
    <row r="28" spans="1:57" s="4" customFormat="1" hidden="1" x14ac:dyDescent="0.2">
      <c r="A28" s="4">
        <v>58</v>
      </c>
      <c r="B28" s="4" t="s">
        <v>78</v>
      </c>
      <c r="D28" s="4" t="s">
        <v>79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15"/>
      <c r="AH28" s="91">
        <f t="shared" si="0"/>
        <v>0</v>
      </c>
    </row>
    <row r="29" spans="1:57" s="4" customFormat="1" hidden="1" x14ac:dyDescent="0.2">
      <c r="A29" s="4">
        <v>82</v>
      </c>
      <c r="B29" s="4" t="s">
        <v>296</v>
      </c>
      <c r="D29" s="4" t="s">
        <v>40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91">
        <v>0</v>
      </c>
      <c r="AG29" s="15"/>
      <c r="AH29" s="91">
        <f t="shared" si="0"/>
        <v>0</v>
      </c>
    </row>
    <row r="30" spans="1:57" s="4" customFormat="1" x14ac:dyDescent="0.2">
      <c r="A30" s="4">
        <v>6</v>
      </c>
      <c r="B30" s="4" t="s">
        <v>80</v>
      </c>
      <c r="D30" s="4" t="s">
        <v>81</v>
      </c>
      <c r="F30" s="43">
        <v>0</v>
      </c>
      <c r="G30" s="43">
        <v>0</v>
      </c>
      <c r="H30" s="43">
        <v>694806</v>
      </c>
      <c r="I30" s="43">
        <v>0</v>
      </c>
      <c r="J30" s="43">
        <v>240899</v>
      </c>
      <c r="K30" s="43">
        <v>0</v>
      </c>
      <c r="L30" s="43">
        <v>53145</v>
      </c>
      <c r="M30" s="43">
        <v>0</v>
      </c>
      <c r="N30" s="43">
        <v>186125</v>
      </c>
      <c r="O30" s="43">
        <v>0</v>
      </c>
      <c r="P30" s="43">
        <v>181376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151039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150000</v>
      </c>
      <c r="AC30" s="43">
        <v>0</v>
      </c>
      <c r="AD30" s="43">
        <v>0</v>
      </c>
      <c r="AE30" s="43">
        <v>0</v>
      </c>
      <c r="AF30" s="43">
        <v>0</v>
      </c>
      <c r="AG30" s="43"/>
      <c r="AH30" s="43">
        <f t="shared" si="0"/>
        <v>1657390</v>
      </c>
    </row>
    <row r="31" spans="1:57" s="4" customFormat="1" hidden="1" x14ac:dyDescent="0.2">
      <c r="A31" s="4">
        <v>9</v>
      </c>
      <c r="B31" s="4" t="s">
        <v>331</v>
      </c>
      <c r="D31" s="4" t="s">
        <v>41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/>
      <c r="AH31" s="43">
        <f t="shared" si="0"/>
        <v>0</v>
      </c>
    </row>
    <row r="32" spans="1:57" s="4" customFormat="1" hidden="1" x14ac:dyDescent="0.2">
      <c r="B32" s="4" t="s">
        <v>628</v>
      </c>
      <c r="D32" s="4" t="s">
        <v>208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/>
      <c r="AH32" s="43">
        <f t="shared" si="0"/>
        <v>0</v>
      </c>
    </row>
    <row r="33" spans="1:57" s="4" customFormat="1" hidden="1" x14ac:dyDescent="0.2">
      <c r="A33" s="4">
        <v>17</v>
      </c>
      <c r="B33" s="4" t="s">
        <v>578</v>
      </c>
      <c r="D33" s="4" t="s">
        <v>42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/>
      <c r="AH33" s="43">
        <f t="shared" si="0"/>
        <v>0</v>
      </c>
    </row>
    <row r="34" spans="1:57" s="4" customFormat="1" x14ac:dyDescent="0.2">
      <c r="A34" s="4">
        <v>141</v>
      </c>
      <c r="B34" s="4" t="s">
        <v>82</v>
      </c>
      <c r="D34" s="4" t="s">
        <v>55</v>
      </c>
      <c r="F34" s="43">
        <v>0</v>
      </c>
      <c r="G34" s="43">
        <v>0</v>
      </c>
      <c r="H34" s="43">
        <v>1278159</v>
      </c>
      <c r="I34" s="43">
        <v>0</v>
      </c>
      <c r="J34" s="43">
        <v>126285</v>
      </c>
      <c r="K34" s="43">
        <v>0</v>
      </c>
      <c r="L34" s="43">
        <v>228019</v>
      </c>
      <c r="M34" s="43">
        <v>0</v>
      </c>
      <c r="N34" s="43">
        <v>255385</v>
      </c>
      <c r="O34" s="43">
        <v>0</v>
      </c>
      <c r="P34" s="43">
        <v>434857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52027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408556</v>
      </c>
      <c r="AC34" s="43">
        <v>0</v>
      </c>
      <c r="AD34" s="43">
        <v>0</v>
      </c>
      <c r="AE34" s="43">
        <v>0</v>
      </c>
      <c r="AF34" s="43">
        <v>0</v>
      </c>
      <c r="AG34" s="43"/>
      <c r="AH34" s="43">
        <f t="shared" si="0"/>
        <v>2783288</v>
      </c>
    </row>
    <row r="35" spans="1:57" s="4" customFormat="1" hidden="1" x14ac:dyDescent="0.2">
      <c r="A35" s="4">
        <v>217</v>
      </c>
      <c r="B35" s="4" t="s">
        <v>352</v>
      </c>
      <c r="D35" s="4" t="s">
        <v>20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/>
      <c r="AH35" s="43">
        <f t="shared" si="0"/>
        <v>0</v>
      </c>
    </row>
    <row r="36" spans="1:57" s="4" customFormat="1" x14ac:dyDescent="0.2">
      <c r="A36" s="4">
        <v>19</v>
      </c>
      <c r="B36" s="4" t="s">
        <v>19</v>
      </c>
      <c r="D36" s="4" t="s">
        <v>11</v>
      </c>
      <c r="F36" s="43">
        <v>0</v>
      </c>
      <c r="G36" s="43">
        <v>0</v>
      </c>
      <c r="H36" s="43">
        <v>4960</v>
      </c>
      <c r="I36" s="43">
        <v>0</v>
      </c>
      <c r="J36" s="43">
        <v>71864</v>
      </c>
      <c r="K36" s="43">
        <v>0</v>
      </c>
      <c r="L36" s="43">
        <v>11949</v>
      </c>
      <c r="M36" s="43">
        <v>0</v>
      </c>
      <c r="N36" s="43">
        <v>61779</v>
      </c>
      <c r="O36" s="43">
        <v>0</v>
      </c>
      <c r="P36" s="43">
        <v>294564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49929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30000</v>
      </c>
      <c r="AC36" s="43">
        <v>0</v>
      </c>
      <c r="AD36" s="43">
        <v>0</v>
      </c>
      <c r="AE36" s="43">
        <v>0</v>
      </c>
      <c r="AF36" s="43">
        <v>0</v>
      </c>
      <c r="AG36" s="43"/>
      <c r="AH36" s="43">
        <f t="shared" si="0"/>
        <v>525045</v>
      </c>
    </row>
    <row r="37" spans="1:57" s="4" customFormat="1" hidden="1" x14ac:dyDescent="0.2">
      <c r="A37" s="4">
        <v>20</v>
      </c>
      <c r="B37" s="4" t="s">
        <v>83</v>
      </c>
      <c r="D37" s="4" t="s">
        <v>11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/>
      <c r="AH37" s="43">
        <f t="shared" si="0"/>
        <v>0</v>
      </c>
    </row>
    <row r="38" spans="1:57" s="4" customFormat="1" x14ac:dyDescent="0.2">
      <c r="A38" s="4">
        <v>137</v>
      </c>
      <c r="B38" s="4" t="s">
        <v>84</v>
      </c>
      <c r="D38" s="4" t="s">
        <v>85</v>
      </c>
      <c r="F38" s="43">
        <v>0</v>
      </c>
      <c r="G38" s="43">
        <v>0</v>
      </c>
      <c r="H38" s="43">
        <v>5469</v>
      </c>
      <c r="I38" s="43">
        <v>0</v>
      </c>
      <c r="J38" s="43">
        <v>49562</v>
      </c>
      <c r="K38" s="43">
        <v>0</v>
      </c>
      <c r="L38" s="43">
        <v>0</v>
      </c>
      <c r="M38" s="43">
        <v>0</v>
      </c>
      <c r="N38" s="43">
        <v>6774</v>
      </c>
      <c r="O38" s="43">
        <v>0</v>
      </c>
      <c r="P38" s="43">
        <v>19029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22215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/>
      <c r="AH38" s="43">
        <f t="shared" si="0"/>
        <v>103049</v>
      </c>
    </row>
    <row r="39" spans="1:57" s="4" customFormat="1" x14ac:dyDescent="0.2">
      <c r="A39" s="4">
        <v>110</v>
      </c>
      <c r="B39" s="4" t="s">
        <v>86</v>
      </c>
      <c r="D39" s="4" t="s">
        <v>87</v>
      </c>
      <c r="F39" s="43">
        <v>0</v>
      </c>
      <c r="G39" s="43">
        <v>0</v>
      </c>
      <c r="H39" s="43">
        <v>718337</v>
      </c>
      <c r="I39" s="43">
        <v>0</v>
      </c>
      <c r="J39" s="43">
        <v>6731</v>
      </c>
      <c r="K39" s="43">
        <v>0</v>
      </c>
      <c r="L39" s="43">
        <v>20640</v>
      </c>
      <c r="M39" s="43">
        <v>0</v>
      </c>
      <c r="N39" s="43">
        <v>54009</v>
      </c>
      <c r="O39" s="43">
        <v>0</v>
      </c>
      <c r="P39" s="43">
        <v>55120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/>
      <c r="AH39" s="43">
        <f t="shared" si="0"/>
        <v>854837</v>
      </c>
    </row>
    <row r="40" spans="1:57" s="4" customFormat="1" x14ac:dyDescent="0.2">
      <c r="A40" s="4">
        <v>203</v>
      </c>
      <c r="B40" s="4" t="s">
        <v>88</v>
      </c>
      <c r="D40" s="4" t="s">
        <v>43</v>
      </c>
      <c r="F40" s="43">
        <v>0</v>
      </c>
      <c r="G40" s="43">
        <v>0</v>
      </c>
      <c r="H40" s="43">
        <v>40415</v>
      </c>
      <c r="I40" s="43">
        <v>0</v>
      </c>
      <c r="J40" s="43">
        <v>27858</v>
      </c>
      <c r="K40" s="43">
        <v>0</v>
      </c>
      <c r="L40" s="43">
        <v>0</v>
      </c>
      <c r="M40" s="43">
        <v>0</v>
      </c>
      <c r="N40" s="43">
        <v>10812</v>
      </c>
      <c r="O40" s="43">
        <v>0</v>
      </c>
      <c r="P40" s="43">
        <v>24986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9986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10505</v>
      </c>
      <c r="AC40" s="43">
        <v>0</v>
      </c>
      <c r="AD40" s="43">
        <v>0</v>
      </c>
      <c r="AE40" s="43">
        <v>0</v>
      </c>
      <c r="AF40" s="43">
        <v>0</v>
      </c>
      <c r="AG40" s="43"/>
      <c r="AH40" s="43">
        <f t="shared" si="0"/>
        <v>124562</v>
      </c>
    </row>
    <row r="41" spans="1:57" s="4" customFormat="1" hidden="1" x14ac:dyDescent="0.2">
      <c r="A41" s="4">
        <v>74</v>
      </c>
      <c r="B41" s="4" t="s">
        <v>297</v>
      </c>
      <c r="D41" s="4" t="s">
        <v>90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/>
      <c r="AH41" s="43">
        <f t="shared" si="0"/>
        <v>0</v>
      </c>
    </row>
    <row r="42" spans="1:57" s="4" customFormat="1" x14ac:dyDescent="0.2">
      <c r="A42" s="4">
        <v>200</v>
      </c>
      <c r="B42" s="4" t="s">
        <v>91</v>
      </c>
      <c r="D42" s="4" t="s">
        <v>92</v>
      </c>
      <c r="F42" s="43">
        <v>0</v>
      </c>
      <c r="G42" s="43">
        <v>0</v>
      </c>
      <c r="H42" s="43">
        <v>1097791</v>
      </c>
      <c r="I42" s="43">
        <v>0</v>
      </c>
      <c r="J42" s="43">
        <v>324390</v>
      </c>
      <c r="K42" s="43">
        <v>0</v>
      </c>
      <c r="L42" s="43">
        <v>52739</v>
      </c>
      <c r="M42" s="43">
        <v>0</v>
      </c>
      <c r="N42" s="43">
        <v>199845</v>
      </c>
      <c r="O42" s="43">
        <v>0</v>
      </c>
      <c r="P42" s="43">
        <v>319362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48850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/>
      <c r="AH42" s="43">
        <f t="shared" si="0"/>
        <v>2042977</v>
      </c>
    </row>
    <row r="43" spans="1:57" s="4" customFormat="1" x14ac:dyDescent="0.2">
      <c r="A43" s="4">
        <v>35</v>
      </c>
      <c r="B43" s="4" t="s">
        <v>93</v>
      </c>
      <c r="D43" s="4" t="s">
        <v>67</v>
      </c>
      <c r="F43" s="43">
        <v>0</v>
      </c>
      <c r="G43" s="43">
        <v>0</v>
      </c>
      <c r="H43" s="43">
        <v>4494</v>
      </c>
      <c r="I43" s="43">
        <v>0</v>
      </c>
      <c r="J43" s="43">
        <v>101910.21</v>
      </c>
      <c r="K43" s="43">
        <v>0</v>
      </c>
      <c r="L43" s="43">
        <v>25685.81</v>
      </c>
      <c r="M43" s="43">
        <v>0</v>
      </c>
      <c r="N43" s="43">
        <v>32306.400000000001</v>
      </c>
      <c r="O43" s="43">
        <v>0</v>
      </c>
      <c r="P43" s="43">
        <f>179800+233855</f>
        <v>413655</v>
      </c>
      <c r="Q43" s="43">
        <v>0</v>
      </c>
      <c r="R43" s="43">
        <v>0</v>
      </c>
      <c r="S43" s="43">
        <v>0</v>
      </c>
      <c r="T43" s="43">
        <f>10750</f>
        <v>10750</v>
      </c>
      <c r="U43" s="43">
        <v>0</v>
      </c>
      <c r="V43" s="43">
        <f>16451.71+4623</f>
        <v>21074.71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  <c r="AE43" s="43">
        <v>0</v>
      </c>
      <c r="AF43" s="43">
        <v>0</v>
      </c>
      <c r="AG43" s="43"/>
      <c r="AH43" s="43">
        <f t="shared" si="0"/>
        <v>609876.13</v>
      </c>
    </row>
    <row r="44" spans="1:57" s="4" customFormat="1" hidden="1" x14ac:dyDescent="0.2">
      <c r="A44" s="4">
        <v>204</v>
      </c>
      <c r="B44" s="4" t="s">
        <v>94</v>
      </c>
      <c r="D44" s="4" t="s">
        <v>43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/>
      <c r="AH44" s="43">
        <f t="shared" si="0"/>
        <v>0</v>
      </c>
    </row>
    <row r="45" spans="1:57" s="4" customFormat="1" hidden="1" x14ac:dyDescent="0.2">
      <c r="A45" s="4">
        <v>3</v>
      </c>
      <c r="B45" s="4" t="s">
        <v>298</v>
      </c>
      <c r="D45" s="4" t="s">
        <v>95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/>
      <c r="AH45" s="43">
        <f t="shared" si="0"/>
        <v>0</v>
      </c>
    </row>
    <row r="46" spans="1:57" s="14" customFormat="1" hidden="1" x14ac:dyDescent="0.2">
      <c r="A46" s="4">
        <v>101</v>
      </c>
      <c r="B46" s="4" t="s">
        <v>96</v>
      </c>
      <c r="C46" s="4"/>
      <c r="D46" s="4" t="s">
        <v>44</v>
      </c>
      <c r="E46" s="4"/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0</v>
      </c>
      <c r="AF46" s="43">
        <v>0</v>
      </c>
      <c r="AG46" s="43"/>
      <c r="AH46" s="43">
        <f t="shared" si="0"/>
        <v>0</v>
      </c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</row>
    <row r="47" spans="1:57" s="4" customFormat="1" hidden="1" x14ac:dyDescent="0.2">
      <c r="A47" s="4">
        <v>162</v>
      </c>
      <c r="B47" s="4" t="s">
        <v>97</v>
      </c>
      <c r="D47" s="4" t="s">
        <v>51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/>
      <c r="AH47" s="43">
        <f t="shared" si="0"/>
        <v>0</v>
      </c>
    </row>
    <row r="48" spans="1:57" s="4" customFormat="1" x14ac:dyDescent="0.2">
      <c r="A48" s="39">
        <v>130.1</v>
      </c>
      <c r="B48" s="4" t="s">
        <v>566</v>
      </c>
      <c r="D48" s="4" t="s">
        <v>567</v>
      </c>
      <c r="F48" s="43">
        <v>0</v>
      </c>
      <c r="G48" s="43">
        <v>0</v>
      </c>
      <c r="H48" s="43">
        <v>1442277</v>
      </c>
      <c r="I48" s="43">
        <v>0</v>
      </c>
      <c r="J48" s="43">
        <v>171418</v>
      </c>
      <c r="K48" s="43">
        <v>0</v>
      </c>
      <c r="L48" s="43">
        <v>33650</v>
      </c>
      <c r="M48" s="43">
        <v>0</v>
      </c>
      <c r="N48" s="43">
        <v>120179</v>
      </c>
      <c r="O48" s="43">
        <v>0</v>
      </c>
      <c r="P48" s="43">
        <v>83856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/>
      <c r="AH48" s="43">
        <f t="shared" si="0"/>
        <v>1851380</v>
      </c>
    </row>
    <row r="49" spans="1:34" s="4" customFormat="1" x14ac:dyDescent="0.2">
      <c r="A49" s="4">
        <v>223</v>
      </c>
      <c r="B49" s="4" t="s">
        <v>491</v>
      </c>
      <c r="D49" s="4" t="s">
        <v>54</v>
      </c>
      <c r="F49" s="43">
        <v>0</v>
      </c>
      <c r="G49" s="43">
        <v>0</v>
      </c>
      <c r="H49" s="43">
        <v>280118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115307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/>
      <c r="AH49" s="43">
        <f t="shared" si="0"/>
        <v>395425</v>
      </c>
    </row>
    <row r="50" spans="1:34" s="4" customFormat="1" hidden="1" x14ac:dyDescent="0.2">
      <c r="A50" s="4">
        <v>23</v>
      </c>
      <c r="B50" s="4" t="s">
        <v>466</v>
      </c>
      <c r="D50" s="4" t="s">
        <v>45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/>
      <c r="AH50" s="43">
        <f t="shared" si="0"/>
        <v>0</v>
      </c>
    </row>
    <row r="51" spans="1:34" s="4" customFormat="1" x14ac:dyDescent="0.2">
      <c r="A51" s="4">
        <v>194</v>
      </c>
      <c r="B51" s="4" t="s">
        <v>99</v>
      </c>
      <c r="D51" s="4" t="s">
        <v>100</v>
      </c>
      <c r="F51" s="43">
        <v>0</v>
      </c>
      <c r="G51" s="43">
        <v>0</v>
      </c>
      <c r="H51" s="43">
        <v>2334</v>
      </c>
      <c r="I51" s="43">
        <v>0</v>
      </c>
      <c r="J51" s="43">
        <v>8771</v>
      </c>
      <c r="K51" s="43">
        <v>0</v>
      </c>
      <c r="L51" s="43">
        <v>17</v>
      </c>
      <c r="M51" s="43">
        <v>0</v>
      </c>
      <c r="N51" s="43">
        <v>108376</v>
      </c>
      <c r="O51" s="43">
        <v>0</v>
      </c>
      <c r="P51" s="43">
        <v>6922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5995</v>
      </c>
      <c r="W51" s="43">
        <v>0</v>
      </c>
      <c r="X51" s="43">
        <v>0</v>
      </c>
      <c r="Y51" s="43">
        <v>0</v>
      </c>
      <c r="Z51" s="43">
        <v>0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/>
      <c r="AH51" s="43">
        <f t="shared" si="0"/>
        <v>132415</v>
      </c>
    </row>
    <row r="52" spans="1:34" s="4" customFormat="1" x14ac:dyDescent="0.2">
      <c r="A52" s="4">
        <v>46</v>
      </c>
      <c r="B52" s="4" t="s">
        <v>101</v>
      </c>
      <c r="D52" s="4" t="s">
        <v>50</v>
      </c>
      <c r="F52" s="43">
        <v>140981.56</v>
      </c>
      <c r="G52" s="43">
        <v>0</v>
      </c>
      <c r="H52" s="43">
        <v>48448.25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298413.14</v>
      </c>
      <c r="Q52" s="43">
        <v>0</v>
      </c>
      <c r="R52" s="43">
        <v>15813.88</v>
      </c>
      <c r="S52" s="43">
        <v>0</v>
      </c>
      <c r="T52" s="43">
        <v>1408.64</v>
      </c>
      <c r="U52" s="43">
        <v>0</v>
      </c>
      <c r="V52" s="43">
        <v>20634.02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43"/>
      <c r="AH52" s="43">
        <f t="shared" si="0"/>
        <v>525699.49</v>
      </c>
    </row>
    <row r="53" spans="1:34" s="4" customFormat="1" hidden="1" x14ac:dyDescent="0.2">
      <c r="A53" s="4">
        <v>89</v>
      </c>
      <c r="B53" s="4" t="s">
        <v>102</v>
      </c>
      <c r="D53" s="4" t="s">
        <v>15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3">
        <v>0</v>
      </c>
      <c r="AF53" s="43">
        <v>0</v>
      </c>
      <c r="AG53" s="43"/>
      <c r="AH53" s="43">
        <f t="shared" si="0"/>
        <v>0</v>
      </c>
    </row>
    <row r="54" spans="1:34" s="4" customFormat="1" hidden="1" x14ac:dyDescent="0.2">
      <c r="A54" s="4">
        <v>179</v>
      </c>
      <c r="B54" s="4" t="s">
        <v>103</v>
      </c>
      <c r="D54" s="4" t="s">
        <v>104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3">
        <v>0</v>
      </c>
      <c r="AC54" s="43">
        <v>0</v>
      </c>
      <c r="AD54" s="43">
        <v>0</v>
      </c>
      <c r="AE54" s="43">
        <v>0</v>
      </c>
      <c r="AF54" s="43">
        <v>0</v>
      </c>
      <c r="AG54" s="43"/>
      <c r="AH54" s="43">
        <f t="shared" si="0"/>
        <v>0</v>
      </c>
    </row>
    <row r="55" spans="1:34" s="4" customFormat="1" hidden="1" x14ac:dyDescent="0.2">
      <c r="A55" s="4">
        <v>209</v>
      </c>
      <c r="B55" s="4" t="s">
        <v>105</v>
      </c>
      <c r="D55" s="4" t="s">
        <v>23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3">
        <v>0</v>
      </c>
      <c r="AD55" s="43">
        <v>0</v>
      </c>
      <c r="AE55" s="43">
        <v>0</v>
      </c>
      <c r="AF55" s="43">
        <v>0</v>
      </c>
      <c r="AG55" s="43"/>
      <c r="AH55" s="43">
        <f t="shared" si="0"/>
        <v>0</v>
      </c>
    </row>
    <row r="56" spans="1:34" s="4" customFormat="1" x14ac:dyDescent="0.2">
      <c r="A56" s="4">
        <v>174</v>
      </c>
      <c r="B56" s="4" t="s">
        <v>106</v>
      </c>
      <c r="D56" s="4" t="s">
        <v>66</v>
      </c>
      <c r="F56" s="43">
        <v>0</v>
      </c>
      <c r="G56" s="43">
        <v>0</v>
      </c>
      <c r="H56" s="43">
        <v>73270</v>
      </c>
      <c r="I56" s="43">
        <v>0</v>
      </c>
      <c r="J56" s="43">
        <v>39570</v>
      </c>
      <c r="K56" s="43">
        <v>0</v>
      </c>
      <c r="L56" s="43">
        <v>20033</v>
      </c>
      <c r="M56" s="43">
        <v>0</v>
      </c>
      <c r="N56" s="43">
        <v>26620</v>
      </c>
      <c r="O56" s="43">
        <v>0</v>
      </c>
      <c r="P56" s="43">
        <v>52009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8884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  <c r="AB56" s="43">
        <v>0</v>
      </c>
      <c r="AC56" s="43">
        <v>0</v>
      </c>
      <c r="AD56" s="43">
        <v>0</v>
      </c>
      <c r="AE56" s="43">
        <v>0</v>
      </c>
      <c r="AF56" s="43">
        <v>0</v>
      </c>
      <c r="AG56" s="43"/>
      <c r="AH56" s="43">
        <f t="shared" si="0"/>
        <v>220386</v>
      </c>
    </row>
    <row r="57" spans="1:34" s="4" customFormat="1" x14ac:dyDescent="0.2">
      <c r="A57" s="4">
        <v>73</v>
      </c>
      <c r="B57" s="4" t="s">
        <v>107</v>
      </c>
      <c r="D57" s="4" t="s">
        <v>108</v>
      </c>
      <c r="F57" s="43">
        <v>0</v>
      </c>
      <c r="G57" s="43">
        <v>0</v>
      </c>
      <c r="H57" s="43">
        <v>336425</v>
      </c>
      <c r="I57" s="43">
        <v>0</v>
      </c>
      <c r="J57" s="43">
        <v>43081</v>
      </c>
      <c r="K57" s="43">
        <v>0</v>
      </c>
      <c r="L57" s="43">
        <v>15218</v>
      </c>
      <c r="M57" s="43">
        <v>0</v>
      </c>
      <c r="N57" s="43">
        <v>95666</v>
      </c>
      <c r="O57" s="43">
        <v>0</v>
      </c>
      <c r="P57" s="43">
        <v>309471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11822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3">
        <v>0</v>
      </c>
      <c r="AC57" s="43">
        <v>0</v>
      </c>
      <c r="AD57" s="43">
        <v>0</v>
      </c>
      <c r="AE57" s="43">
        <v>0</v>
      </c>
      <c r="AF57" s="43">
        <v>0</v>
      </c>
      <c r="AG57" s="43"/>
      <c r="AH57" s="43">
        <f t="shared" si="0"/>
        <v>811683</v>
      </c>
    </row>
    <row r="58" spans="1:34" s="4" customFormat="1" hidden="1" x14ac:dyDescent="0.2">
      <c r="A58" s="4">
        <v>27</v>
      </c>
      <c r="B58" s="4" t="s">
        <v>579</v>
      </c>
      <c r="D58" s="4" t="s">
        <v>46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  <c r="AB58" s="43">
        <v>0</v>
      </c>
      <c r="AC58" s="43">
        <v>0</v>
      </c>
      <c r="AD58" s="43">
        <v>0</v>
      </c>
      <c r="AE58" s="43">
        <v>0</v>
      </c>
      <c r="AF58" s="43">
        <v>0</v>
      </c>
      <c r="AG58" s="43"/>
      <c r="AH58" s="43">
        <f t="shared" si="0"/>
        <v>0</v>
      </c>
    </row>
    <row r="59" spans="1:34" s="4" customFormat="1" x14ac:dyDescent="0.2">
      <c r="A59" s="4">
        <v>121</v>
      </c>
      <c r="B59" s="4" t="s">
        <v>109</v>
      </c>
      <c r="D59" s="4" t="s">
        <v>14</v>
      </c>
      <c r="F59" s="43">
        <v>0</v>
      </c>
      <c r="G59" s="43">
        <v>0</v>
      </c>
      <c r="H59" s="43">
        <v>62231</v>
      </c>
      <c r="I59" s="43">
        <v>0</v>
      </c>
      <c r="J59" s="43">
        <v>73821</v>
      </c>
      <c r="K59" s="43">
        <v>0</v>
      </c>
      <c r="L59" s="43">
        <v>17182</v>
      </c>
      <c r="M59" s="43">
        <v>0</v>
      </c>
      <c r="N59" s="43">
        <v>19418</v>
      </c>
      <c r="O59" s="43">
        <v>0</v>
      </c>
      <c r="P59" s="43">
        <v>68658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752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/>
      <c r="AH59" s="43">
        <f t="shared" si="0"/>
        <v>242062</v>
      </c>
    </row>
    <row r="60" spans="1:34" s="4" customFormat="1" hidden="1" x14ac:dyDescent="0.2">
      <c r="A60" s="4">
        <v>28</v>
      </c>
      <c r="B60" s="4" t="s">
        <v>580</v>
      </c>
      <c r="D60" s="4" t="s">
        <v>60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3">
        <v>0</v>
      </c>
      <c r="AC60" s="43">
        <v>0</v>
      </c>
      <c r="AD60" s="43">
        <v>0</v>
      </c>
      <c r="AE60" s="43">
        <v>0</v>
      </c>
      <c r="AF60" s="43">
        <v>0</v>
      </c>
      <c r="AG60" s="43"/>
      <c r="AH60" s="43">
        <f t="shared" si="0"/>
        <v>0</v>
      </c>
    </row>
    <row r="61" spans="1:34" s="4" customFormat="1" hidden="1" x14ac:dyDescent="0.2">
      <c r="A61" s="4">
        <v>199</v>
      </c>
      <c r="B61" s="4" t="s">
        <v>110</v>
      </c>
      <c r="D61" s="4" t="s">
        <v>47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0</v>
      </c>
      <c r="Z61" s="43">
        <v>0</v>
      </c>
      <c r="AA61" s="43">
        <v>0</v>
      </c>
      <c r="AB61" s="43">
        <v>0</v>
      </c>
      <c r="AC61" s="43">
        <v>0</v>
      </c>
      <c r="AD61" s="43">
        <v>0</v>
      </c>
      <c r="AE61" s="43">
        <v>0</v>
      </c>
      <c r="AF61" s="43">
        <v>0</v>
      </c>
      <c r="AG61" s="43"/>
      <c r="AH61" s="43">
        <f t="shared" si="0"/>
        <v>0</v>
      </c>
    </row>
    <row r="62" spans="1:34" s="4" customFormat="1" hidden="1" x14ac:dyDescent="0.2">
      <c r="A62" s="4">
        <v>199</v>
      </c>
      <c r="B62" s="4" t="s">
        <v>609</v>
      </c>
      <c r="D62" s="4" t="s">
        <v>565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  <c r="AB62" s="43">
        <v>0</v>
      </c>
      <c r="AC62" s="43">
        <v>0</v>
      </c>
      <c r="AD62" s="43">
        <v>0</v>
      </c>
      <c r="AE62" s="43">
        <v>0</v>
      </c>
      <c r="AF62" s="43">
        <v>0</v>
      </c>
      <c r="AG62" s="43"/>
      <c r="AH62" s="43">
        <f t="shared" si="0"/>
        <v>0</v>
      </c>
    </row>
    <row r="63" spans="1:34" s="4" customFormat="1" x14ac:dyDescent="0.2">
      <c r="A63" s="4">
        <v>32</v>
      </c>
      <c r="B63" s="4" t="s">
        <v>111</v>
      </c>
      <c r="D63" s="4" t="s">
        <v>112</v>
      </c>
      <c r="F63" s="43">
        <v>0</v>
      </c>
      <c r="G63" s="43">
        <v>0</v>
      </c>
      <c r="H63" s="43">
        <v>2207948</v>
      </c>
      <c r="I63" s="43">
        <v>0</v>
      </c>
      <c r="J63" s="43">
        <v>728549</v>
      </c>
      <c r="K63" s="43">
        <v>0</v>
      </c>
      <c r="L63" s="43">
        <v>143843</v>
      </c>
      <c r="M63" s="43">
        <v>0</v>
      </c>
      <c r="N63" s="43">
        <v>621256</v>
      </c>
      <c r="O63" s="43">
        <v>0</v>
      </c>
      <c r="P63" s="43">
        <v>691844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502557</v>
      </c>
      <c r="W63" s="43">
        <v>0</v>
      </c>
      <c r="X63" s="43">
        <v>0</v>
      </c>
      <c r="Y63" s="43">
        <v>0</v>
      </c>
      <c r="Z63" s="43">
        <v>0</v>
      </c>
      <c r="AA63" s="43">
        <v>0</v>
      </c>
      <c r="AB63" s="43">
        <v>0</v>
      </c>
      <c r="AC63" s="43">
        <v>0</v>
      </c>
      <c r="AD63" s="43">
        <v>0</v>
      </c>
      <c r="AE63" s="43">
        <v>0</v>
      </c>
      <c r="AF63" s="43">
        <v>0</v>
      </c>
      <c r="AG63" s="43"/>
      <c r="AH63" s="43">
        <f t="shared" si="0"/>
        <v>4895997</v>
      </c>
    </row>
    <row r="64" spans="1:34" s="4" customFormat="1" hidden="1" x14ac:dyDescent="0.2">
      <c r="A64" s="4">
        <v>231</v>
      </c>
      <c r="B64" s="4" t="s">
        <v>299</v>
      </c>
      <c r="D64" s="4" t="s">
        <v>24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0</v>
      </c>
      <c r="AA64" s="43">
        <v>0</v>
      </c>
      <c r="AB64" s="43">
        <v>0</v>
      </c>
      <c r="AC64" s="43">
        <v>0</v>
      </c>
      <c r="AD64" s="43">
        <v>0</v>
      </c>
      <c r="AE64" s="43">
        <v>0</v>
      </c>
      <c r="AF64" s="43">
        <v>0</v>
      </c>
      <c r="AG64" s="43"/>
      <c r="AH64" s="43">
        <f t="shared" si="0"/>
        <v>0</v>
      </c>
    </row>
    <row r="65" spans="1:34" s="4" customFormat="1" x14ac:dyDescent="0.2">
      <c r="A65" s="4">
        <v>34</v>
      </c>
      <c r="B65" s="4" t="s">
        <v>113</v>
      </c>
      <c r="D65" s="4" t="s">
        <v>114</v>
      </c>
      <c r="F65" s="43">
        <v>0</v>
      </c>
      <c r="G65" s="43">
        <v>0</v>
      </c>
      <c r="H65" s="43">
        <f>3471244-1321804</f>
        <v>2149440</v>
      </c>
      <c r="I65" s="43">
        <v>0</v>
      </c>
      <c r="J65" s="43">
        <v>1499362</v>
      </c>
      <c r="K65" s="43">
        <v>0</v>
      </c>
      <c r="L65" s="43">
        <v>461382</v>
      </c>
      <c r="M65" s="43">
        <v>0</v>
      </c>
      <c r="N65" s="43">
        <v>824749</v>
      </c>
      <c r="O65" s="43">
        <v>0</v>
      </c>
      <c r="P65" s="43">
        <v>575053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1337579</v>
      </c>
      <c r="W65" s="43">
        <v>0</v>
      </c>
      <c r="X65" s="43">
        <v>475000</v>
      </c>
      <c r="Y65" s="43">
        <v>0</v>
      </c>
      <c r="Z65" s="43">
        <v>278259</v>
      </c>
      <c r="AA65" s="43">
        <v>0</v>
      </c>
      <c r="AB65" s="43">
        <v>1413000</v>
      </c>
      <c r="AC65" s="43">
        <v>0</v>
      </c>
      <c r="AD65" s="43">
        <v>0</v>
      </c>
      <c r="AE65" s="43">
        <v>0</v>
      </c>
      <c r="AF65" s="43">
        <v>6257</v>
      </c>
      <c r="AG65" s="43"/>
      <c r="AH65" s="43">
        <f t="shared" si="0"/>
        <v>9020081</v>
      </c>
    </row>
    <row r="66" spans="1:34" s="4" customFormat="1" x14ac:dyDescent="0.2">
      <c r="A66" s="4">
        <v>49</v>
      </c>
      <c r="B66" s="4" t="s">
        <v>419</v>
      </c>
      <c r="D66" s="4" t="s">
        <v>17</v>
      </c>
      <c r="F66" s="43">
        <v>5630208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1565815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421536</v>
      </c>
      <c r="W66" s="43">
        <v>0</v>
      </c>
      <c r="X66" s="43">
        <v>76940</v>
      </c>
      <c r="Y66" s="43">
        <v>0</v>
      </c>
      <c r="Z66" s="43">
        <v>14589</v>
      </c>
      <c r="AA66" s="43">
        <v>0</v>
      </c>
      <c r="AB66" s="43">
        <v>658500</v>
      </c>
      <c r="AC66" s="43">
        <v>0</v>
      </c>
      <c r="AD66" s="43">
        <v>0</v>
      </c>
      <c r="AE66" s="43">
        <v>0</v>
      </c>
      <c r="AF66" s="43">
        <v>0</v>
      </c>
      <c r="AG66" s="43"/>
      <c r="AH66" s="43">
        <f t="shared" si="0"/>
        <v>8367588</v>
      </c>
    </row>
    <row r="67" spans="1:34" s="4" customFormat="1" x14ac:dyDescent="0.2">
      <c r="A67" s="4">
        <v>50</v>
      </c>
      <c r="B67" s="4" t="s">
        <v>420</v>
      </c>
      <c r="D67" s="4" t="s">
        <v>17</v>
      </c>
      <c r="F67" s="43">
        <v>0</v>
      </c>
      <c r="G67" s="43">
        <v>0</v>
      </c>
      <c r="H67" s="43">
        <v>34397275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20762107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4062291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3">
        <v>10000000</v>
      </c>
      <c r="AC67" s="43">
        <v>0</v>
      </c>
      <c r="AD67" s="43">
        <v>0</v>
      </c>
      <c r="AE67" s="43">
        <v>0</v>
      </c>
      <c r="AF67" s="43">
        <v>0</v>
      </c>
      <c r="AG67" s="43"/>
      <c r="AH67" s="43">
        <f t="shared" si="0"/>
        <v>69221673</v>
      </c>
    </row>
    <row r="68" spans="1:34" s="4" customFormat="1" hidden="1" x14ac:dyDescent="0.2">
      <c r="A68" s="4">
        <v>201</v>
      </c>
      <c r="B68" s="4" t="s">
        <v>444</v>
      </c>
      <c r="D68" s="4" t="s">
        <v>92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/>
      <c r="AH68" s="43">
        <f t="shared" si="0"/>
        <v>0</v>
      </c>
    </row>
    <row r="69" spans="1:34" s="4" customFormat="1" hidden="1" x14ac:dyDescent="0.2">
      <c r="A69" s="4">
        <v>158</v>
      </c>
      <c r="B69" s="4" t="s">
        <v>483</v>
      </c>
      <c r="D69" s="4" t="s">
        <v>48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3">
        <v>0</v>
      </c>
      <c r="AC69" s="43">
        <v>0</v>
      </c>
      <c r="AD69" s="43">
        <v>0</v>
      </c>
      <c r="AE69" s="43">
        <v>0</v>
      </c>
      <c r="AF69" s="43">
        <v>0</v>
      </c>
      <c r="AG69" s="43"/>
      <c r="AH69" s="43">
        <f t="shared" si="0"/>
        <v>0</v>
      </c>
    </row>
    <row r="70" spans="1:34" s="4" customFormat="1" hidden="1" x14ac:dyDescent="0.2">
      <c r="A70" s="4">
        <v>38</v>
      </c>
      <c r="B70" s="4" t="s">
        <v>445</v>
      </c>
      <c r="D70" s="4" t="s">
        <v>49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3">
        <v>0</v>
      </c>
      <c r="Z70" s="43">
        <v>0</v>
      </c>
      <c r="AA70" s="43">
        <v>0</v>
      </c>
      <c r="AB70" s="43">
        <v>0</v>
      </c>
      <c r="AC70" s="43">
        <v>0</v>
      </c>
      <c r="AD70" s="43">
        <v>0</v>
      </c>
      <c r="AE70" s="43">
        <v>0</v>
      </c>
      <c r="AF70" s="43">
        <v>0</v>
      </c>
      <c r="AG70" s="43"/>
      <c r="AH70" s="43">
        <f t="shared" si="0"/>
        <v>0</v>
      </c>
    </row>
    <row r="71" spans="1:34" s="4" customFormat="1" x14ac:dyDescent="0.2">
      <c r="A71" s="4">
        <v>76</v>
      </c>
      <c r="B71" s="4" t="s">
        <v>116</v>
      </c>
      <c r="D71" s="4" t="s">
        <v>90</v>
      </c>
      <c r="F71" s="43">
        <v>0</v>
      </c>
      <c r="G71" s="43">
        <v>0</v>
      </c>
      <c r="H71" s="43">
        <v>24185213</v>
      </c>
      <c r="I71" s="43">
        <v>0</v>
      </c>
      <c r="J71" s="43">
        <v>9508061</v>
      </c>
      <c r="K71" s="43">
        <v>0</v>
      </c>
      <c r="L71" s="43">
        <v>4606695</v>
      </c>
      <c r="M71" s="43">
        <v>0</v>
      </c>
      <c r="N71" s="43">
        <v>7001373</v>
      </c>
      <c r="O71" s="43">
        <v>0</v>
      </c>
      <c r="P71" s="43">
        <v>10995868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28383467</v>
      </c>
      <c r="W71" s="43">
        <v>0</v>
      </c>
      <c r="X71" s="43">
        <v>0</v>
      </c>
      <c r="Y71" s="43">
        <v>0</v>
      </c>
      <c r="Z71" s="43">
        <v>0</v>
      </c>
      <c r="AA71" s="43">
        <v>0</v>
      </c>
      <c r="AB71" s="43">
        <v>101717628</v>
      </c>
      <c r="AC71" s="43">
        <v>0</v>
      </c>
      <c r="AD71" s="43">
        <v>0</v>
      </c>
      <c r="AE71" s="43">
        <v>0</v>
      </c>
      <c r="AF71" s="43">
        <v>0</v>
      </c>
      <c r="AG71" s="43"/>
      <c r="AH71" s="43">
        <f t="shared" si="0"/>
        <v>186398305</v>
      </c>
    </row>
    <row r="72" spans="1:34" s="4" customFormat="1" hidden="1" x14ac:dyDescent="0.2">
      <c r="A72" s="4">
        <v>63</v>
      </c>
      <c r="B72" s="4" t="s">
        <v>446</v>
      </c>
      <c r="D72" s="4" t="s">
        <v>68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3">
        <v>0</v>
      </c>
      <c r="Z72" s="43">
        <v>0</v>
      </c>
      <c r="AA72" s="43">
        <v>0</v>
      </c>
      <c r="AB72" s="43">
        <v>0</v>
      </c>
      <c r="AC72" s="43">
        <v>0</v>
      </c>
      <c r="AD72" s="43">
        <v>0</v>
      </c>
      <c r="AE72" s="43">
        <v>0</v>
      </c>
      <c r="AF72" s="43">
        <v>0</v>
      </c>
      <c r="AG72" s="43"/>
      <c r="AH72" s="43">
        <f t="shared" si="0"/>
        <v>0</v>
      </c>
    </row>
    <row r="73" spans="1:34" s="4" customFormat="1" x14ac:dyDescent="0.2">
      <c r="A73" s="4">
        <v>10</v>
      </c>
      <c r="B73" s="4" t="s">
        <v>117</v>
      </c>
      <c r="D73" s="4" t="s">
        <v>41</v>
      </c>
      <c r="F73" s="43">
        <v>0</v>
      </c>
      <c r="G73" s="43">
        <v>0</v>
      </c>
      <c r="H73" s="43">
        <v>377215</v>
      </c>
      <c r="I73" s="43">
        <v>0</v>
      </c>
      <c r="J73" s="43">
        <v>24466</v>
      </c>
      <c r="K73" s="43">
        <v>0</v>
      </c>
      <c r="L73" s="43">
        <v>4354</v>
      </c>
      <c r="M73" s="43">
        <v>0</v>
      </c>
      <c r="N73" s="43">
        <v>70704</v>
      </c>
      <c r="O73" s="43">
        <v>0</v>
      </c>
      <c r="P73" s="43">
        <v>10568</v>
      </c>
      <c r="Q73" s="43">
        <v>0</v>
      </c>
      <c r="R73" s="43">
        <v>0</v>
      </c>
      <c r="S73" s="43">
        <v>0</v>
      </c>
      <c r="T73" s="43">
        <v>3859</v>
      </c>
      <c r="U73" s="43">
        <v>0</v>
      </c>
      <c r="V73" s="43">
        <v>6678</v>
      </c>
      <c r="W73" s="43">
        <v>0</v>
      </c>
      <c r="X73" s="43">
        <v>0</v>
      </c>
      <c r="Y73" s="43">
        <v>0</v>
      </c>
      <c r="Z73" s="43">
        <v>0</v>
      </c>
      <c r="AA73" s="43">
        <v>0</v>
      </c>
      <c r="AB73" s="43">
        <v>0</v>
      </c>
      <c r="AC73" s="43">
        <v>0</v>
      </c>
      <c r="AD73" s="43">
        <v>0</v>
      </c>
      <c r="AE73" s="43">
        <v>0</v>
      </c>
      <c r="AF73" s="43">
        <v>0</v>
      </c>
      <c r="AG73" s="43"/>
      <c r="AH73" s="43">
        <f t="shared" ref="AH73:AH88" si="1">SUM(F73:AF73)</f>
        <v>497844</v>
      </c>
    </row>
    <row r="74" spans="1:34" s="4" customFormat="1" x14ac:dyDescent="0.2">
      <c r="A74" s="4">
        <v>45</v>
      </c>
      <c r="B74" s="4" t="s">
        <v>118</v>
      </c>
      <c r="D74" s="4" t="s">
        <v>119</v>
      </c>
      <c r="F74" s="43">
        <v>0</v>
      </c>
      <c r="G74" s="43">
        <v>0</v>
      </c>
      <c r="H74" s="43">
        <v>581193</v>
      </c>
      <c r="I74" s="43">
        <v>0</v>
      </c>
      <c r="J74" s="43">
        <v>225354</v>
      </c>
      <c r="K74" s="43">
        <v>0</v>
      </c>
      <c r="L74" s="43">
        <v>58589</v>
      </c>
      <c r="M74" s="43">
        <v>0</v>
      </c>
      <c r="N74" s="43">
        <v>172511</v>
      </c>
      <c r="O74" s="43">
        <v>0</v>
      </c>
      <c r="P74" s="43">
        <v>168710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24329</v>
      </c>
      <c r="W74" s="43">
        <v>0</v>
      </c>
      <c r="X74" s="43">
        <v>0</v>
      </c>
      <c r="Y74" s="43">
        <v>0</v>
      </c>
      <c r="Z74" s="43">
        <v>0</v>
      </c>
      <c r="AA74" s="43">
        <v>0</v>
      </c>
      <c r="AB74" s="43">
        <v>49330</v>
      </c>
      <c r="AC74" s="43">
        <v>0</v>
      </c>
      <c r="AD74" s="43">
        <v>18006</v>
      </c>
      <c r="AE74" s="43">
        <v>0</v>
      </c>
      <c r="AF74" s="43">
        <v>0</v>
      </c>
      <c r="AG74" s="43"/>
      <c r="AH74" s="43">
        <f t="shared" si="1"/>
        <v>1298022</v>
      </c>
    </row>
    <row r="75" spans="1:34" s="4" customFormat="1" hidden="1" x14ac:dyDescent="0.2">
      <c r="A75" s="4">
        <v>47</v>
      </c>
      <c r="B75" s="4" t="s">
        <v>120</v>
      </c>
      <c r="D75" s="4" t="s">
        <v>50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0</v>
      </c>
      <c r="Y75" s="43">
        <v>0</v>
      </c>
      <c r="Z75" s="43">
        <v>0</v>
      </c>
      <c r="AA75" s="43">
        <v>0</v>
      </c>
      <c r="AB75" s="43">
        <v>0</v>
      </c>
      <c r="AC75" s="43">
        <v>0</v>
      </c>
      <c r="AD75" s="43">
        <v>0</v>
      </c>
      <c r="AE75" s="43">
        <v>0</v>
      </c>
      <c r="AF75" s="43">
        <v>0</v>
      </c>
      <c r="AG75" s="43"/>
      <c r="AH75" s="43">
        <f t="shared" si="1"/>
        <v>0</v>
      </c>
    </row>
    <row r="76" spans="1:34" s="4" customFormat="1" x14ac:dyDescent="0.2">
      <c r="A76" s="4">
        <v>51</v>
      </c>
      <c r="B76" s="4" t="s">
        <v>581</v>
      </c>
      <c r="D76" s="4" t="s">
        <v>17</v>
      </c>
      <c r="F76" s="43">
        <v>0</v>
      </c>
      <c r="G76" s="43">
        <v>0</v>
      </c>
      <c r="H76" s="43">
        <v>37402741</v>
      </c>
      <c r="I76" s="43">
        <v>0</v>
      </c>
      <c r="J76" s="43">
        <v>2815724</v>
      </c>
      <c r="K76" s="43">
        <v>0</v>
      </c>
      <c r="L76" s="43">
        <v>0</v>
      </c>
      <c r="M76" s="43">
        <v>0</v>
      </c>
      <c r="N76" s="43">
        <v>5418805</v>
      </c>
      <c r="O76" s="43">
        <v>0</v>
      </c>
      <c r="P76" s="43">
        <v>13266890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33182659</v>
      </c>
      <c r="W76" s="43">
        <v>0</v>
      </c>
      <c r="X76" s="43">
        <v>2035000</v>
      </c>
      <c r="Y76" s="43">
        <v>0</v>
      </c>
      <c r="Z76" s="43">
        <v>3806296</v>
      </c>
      <c r="AA76" s="43">
        <v>0</v>
      </c>
      <c r="AB76" s="43">
        <v>5841296</v>
      </c>
      <c r="AC76" s="43">
        <v>0</v>
      </c>
      <c r="AD76" s="43">
        <v>0</v>
      </c>
      <c r="AE76" s="43">
        <v>0</v>
      </c>
      <c r="AF76" s="43">
        <v>2491500</v>
      </c>
      <c r="AG76" s="43"/>
      <c r="AH76" s="43">
        <f t="shared" si="1"/>
        <v>106260911</v>
      </c>
    </row>
    <row r="77" spans="1:34" s="4" customFormat="1" x14ac:dyDescent="0.2">
      <c r="B77" s="4" t="s">
        <v>602</v>
      </c>
      <c r="D77" s="4" t="s">
        <v>20</v>
      </c>
      <c r="F77" s="43">
        <v>388381</v>
      </c>
      <c r="G77" s="43">
        <v>0</v>
      </c>
      <c r="H77" s="43">
        <f>442516+1455150</f>
        <v>1897666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66892</v>
      </c>
      <c r="S77" s="43">
        <v>0</v>
      </c>
      <c r="T77" s="43">
        <v>6768</v>
      </c>
      <c r="U77" s="43">
        <v>0</v>
      </c>
      <c r="V77" s="43">
        <v>45423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3">
        <v>0</v>
      </c>
      <c r="AG77" s="43"/>
      <c r="AH77" s="43">
        <f t="shared" si="1"/>
        <v>2405130</v>
      </c>
    </row>
    <row r="78" spans="1:34" s="4" customFormat="1" x14ac:dyDescent="0.2">
      <c r="A78" s="4">
        <v>169</v>
      </c>
      <c r="B78" s="4" t="s">
        <v>122</v>
      </c>
      <c r="D78" s="4" t="s">
        <v>53</v>
      </c>
      <c r="F78" s="43">
        <v>0</v>
      </c>
      <c r="G78" s="43">
        <v>0</v>
      </c>
      <c r="H78" s="43">
        <v>15393305</v>
      </c>
      <c r="I78" s="43">
        <v>0</v>
      </c>
      <c r="J78" s="43">
        <v>5073937</v>
      </c>
      <c r="K78" s="43">
        <v>0</v>
      </c>
      <c r="L78" s="43">
        <v>833181</v>
      </c>
      <c r="M78" s="43">
        <v>0</v>
      </c>
      <c r="N78" s="43">
        <v>541301</v>
      </c>
      <c r="O78" s="43">
        <v>0</v>
      </c>
      <c r="P78" s="43">
        <v>3094897</v>
      </c>
      <c r="Q78" s="43">
        <v>0</v>
      </c>
      <c r="R78" s="43">
        <v>0</v>
      </c>
      <c r="S78" s="43">
        <v>0</v>
      </c>
      <c r="T78" s="43">
        <v>0</v>
      </c>
      <c r="U78" s="43">
        <v>0</v>
      </c>
      <c r="V78" s="43">
        <v>668035</v>
      </c>
      <c r="W78" s="43">
        <v>0</v>
      </c>
      <c r="X78" s="43">
        <v>0</v>
      </c>
      <c r="Y78" s="43">
        <v>0</v>
      </c>
      <c r="Z78" s="43">
        <v>0</v>
      </c>
      <c r="AA78" s="43">
        <v>0</v>
      </c>
      <c r="AB78" s="43">
        <v>57366</v>
      </c>
      <c r="AC78" s="43">
        <v>0</v>
      </c>
      <c r="AD78" s="43">
        <v>0</v>
      </c>
      <c r="AE78" s="43">
        <v>0</v>
      </c>
      <c r="AF78" s="43">
        <v>0</v>
      </c>
      <c r="AG78" s="43"/>
      <c r="AH78" s="43">
        <f t="shared" si="1"/>
        <v>25662022</v>
      </c>
    </row>
    <row r="79" spans="1:34" s="4" customFormat="1" hidden="1" x14ac:dyDescent="0.2">
      <c r="A79" s="4">
        <v>62</v>
      </c>
      <c r="B79" s="4" t="s">
        <v>123</v>
      </c>
      <c r="D79" s="4" t="s">
        <v>124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43">
        <v>0</v>
      </c>
      <c r="S79" s="43">
        <v>0</v>
      </c>
      <c r="T79" s="43">
        <v>0</v>
      </c>
      <c r="U79" s="43">
        <v>0</v>
      </c>
      <c r="V79" s="43">
        <v>0</v>
      </c>
      <c r="W79" s="43">
        <v>0</v>
      </c>
      <c r="X79" s="43">
        <v>0</v>
      </c>
      <c r="Y79" s="43">
        <v>0</v>
      </c>
      <c r="Z79" s="43">
        <v>0</v>
      </c>
      <c r="AA79" s="43">
        <v>0</v>
      </c>
      <c r="AB79" s="43">
        <v>0</v>
      </c>
      <c r="AC79" s="43">
        <v>0</v>
      </c>
      <c r="AD79" s="43">
        <v>0</v>
      </c>
      <c r="AE79" s="43">
        <v>0</v>
      </c>
      <c r="AF79" s="43">
        <v>0</v>
      </c>
      <c r="AG79" s="43"/>
      <c r="AH79" s="43">
        <f t="shared" si="1"/>
        <v>0</v>
      </c>
    </row>
    <row r="80" spans="1:34" s="4" customFormat="1" x14ac:dyDescent="0.2">
      <c r="A80" s="4">
        <v>64</v>
      </c>
      <c r="B80" s="4" t="s">
        <v>125</v>
      </c>
      <c r="D80" s="4" t="s">
        <v>68</v>
      </c>
      <c r="F80" s="43">
        <v>0</v>
      </c>
      <c r="G80" s="43">
        <v>0</v>
      </c>
      <c r="H80" s="43">
        <v>4737998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120798</v>
      </c>
      <c r="W80" s="43">
        <v>0</v>
      </c>
      <c r="X80" s="43">
        <v>0</v>
      </c>
      <c r="Y80" s="43">
        <v>0</v>
      </c>
      <c r="Z80" s="43">
        <v>0</v>
      </c>
      <c r="AA80" s="43">
        <v>0</v>
      </c>
      <c r="AB80" s="43">
        <v>0</v>
      </c>
      <c r="AC80" s="43">
        <v>0</v>
      </c>
      <c r="AD80" s="43">
        <v>0</v>
      </c>
      <c r="AE80" s="43">
        <v>0</v>
      </c>
      <c r="AF80" s="43">
        <v>0</v>
      </c>
      <c r="AG80" s="43"/>
      <c r="AH80" s="43">
        <f t="shared" si="1"/>
        <v>4858796</v>
      </c>
    </row>
    <row r="81" spans="1:34" s="4" customFormat="1" hidden="1" x14ac:dyDescent="0.2">
      <c r="A81" s="4">
        <v>4</v>
      </c>
      <c r="B81" s="4" t="s">
        <v>126</v>
      </c>
      <c r="D81" s="4" t="s">
        <v>95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0</v>
      </c>
      <c r="Y81" s="43">
        <v>0</v>
      </c>
      <c r="Z81" s="43">
        <v>0</v>
      </c>
      <c r="AA81" s="43">
        <v>0</v>
      </c>
      <c r="AB81" s="43">
        <v>0</v>
      </c>
      <c r="AC81" s="43">
        <v>0</v>
      </c>
      <c r="AD81" s="43">
        <v>0</v>
      </c>
      <c r="AE81" s="43">
        <v>0</v>
      </c>
      <c r="AF81" s="43">
        <v>0</v>
      </c>
      <c r="AG81" s="43"/>
      <c r="AH81" s="43">
        <f t="shared" si="1"/>
        <v>0</v>
      </c>
    </row>
    <row r="82" spans="1:34" s="4" customFormat="1" hidden="1" x14ac:dyDescent="0.2">
      <c r="A82" s="4">
        <v>83</v>
      </c>
      <c r="B82" s="4" t="s">
        <v>127</v>
      </c>
      <c r="D82" s="4" t="s">
        <v>40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3">
        <v>0</v>
      </c>
      <c r="Z82" s="43">
        <v>0</v>
      </c>
      <c r="AA82" s="43">
        <v>0</v>
      </c>
      <c r="AB82" s="43">
        <v>0</v>
      </c>
      <c r="AC82" s="43">
        <v>0</v>
      </c>
      <c r="AD82" s="43">
        <v>0</v>
      </c>
      <c r="AE82" s="43">
        <v>0</v>
      </c>
      <c r="AF82" s="43">
        <v>0</v>
      </c>
      <c r="AG82" s="43"/>
      <c r="AH82" s="43">
        <f t="shared" si="1"/>
        <v>0</v>
      </c>
    </row>
    <row r="83" spans="1:34" s="4" customFormat="1" x14ac:dyDescent="0.2">
      <c r="A83" s="4">
        <v>258</v>
      </c>
      <c r="B83" s="4" t="s">
        <v>128</v>
      </c>
      <c r="D83" s="15" t="s">
        <v>61</v>
      </c>
      <c r="F83" s="43">
        <v>0</v>
      </c>
      <c r="G83" s="43">
        <v>0</v>
      </c>
      <c r="H83" s="43">
        <v>127884</v>
      </c>
      <c r="I83" s="43">
        <v>0</v>
      </c>
      <c r="J83" s="43">
        <v>33570</v>
      </c>
      <c r="K83" s="43">
        <v>0</v>
      </c>
      <c r="L83" s="43">
        <v>15926</v>
      </c>
      <c r="M83" s="43">
        <v>0</v>
      </c>
      <c r="N83" s="43">
        <v>35780</v>
      </c>
      <c r="O83" s="43">
        <v>0</v>
      </c>
      <c r="P83" s="43">
        <v>122234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13391</v>
      </c>
      <c r="W83" s="43">
        <v>0</v>
      </c>
      <c r="X83" s="43">
        <v>0</v>
      </c>
      <c r="Y83" s="43">
        <v>0</v>
      </c>
      <c r="Z83" s="43">
        <v>0</v>
      </c>
      <c r="AA83" s="43">
        <v>0</v>
      </c>
      <c r="AB83" s="43">
        <v>50000</v>
      </c>
      <c r="AC83" s="43">
        <v>0</v>
      </c>
      <c r="AD83" s="43">
        <v>0</v>
      </c>
      <c r="AE83" s="43">
        <v>0</v>
      </c>
      <c r="AF83" s="43">
        <v>0</v>
      </c>
      <c r="AG83" s="43"/>
      <c r="AH83" s="43">
        <f t="shared" si="1"/>
        <v>398785</v>
      </c>
    </row>
    <row r="84" spans="1:34" s="4" customFormat="1" x14ac:dyDescent="0.2">
      <c r="A84" s="4">
        <v>232</v>
      </c>
      <c r="B84" s="4" t="s">
        <v>129</v>
      </c>
      <c r="D84" s="4" t="s">
        <v>24</v>
      </c>
      <c r="F84" s="43">
        <v>0</v>
      </c>
      <c r="G84" s="43">
        <v>0</v>
      </c>
      <c r="H84" s="43">
        <v>871885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43">
        <v>0</v>
      </c>
      <c r="S84" s="43">
        <v>0</v>
      </c>
      <c r="T84" s="43">
        <v>0</v>
      </c>
      <c r="U84" s="43">
        <v>0</v>
      </c>
      <c r="V84" s="43">
        <v>0</v>
      </c>
      <c r="W84" s="43">
        <v>0</v>
      </c>
      <c r="X84" s="43">
        <v>0</v>
      </c>
      <c r="Y84" s="43">
        <v>0</v>
      </c>
      <c r="Z84" s="43">
        <v>0</v>
      </c>
      <c r="AA84" s="43">
        <v>0</v>
      </c>
      <c r="AB84" s="43">
        <v>0</v>
      </c>
      <c r="AC84" s="43">
        <v>0</v>
      </c>
      <c r="AD84" s="43">
        <v>0</v>
      </c>
      <c r="AE84" s="43">
        <v>0</v>
      </c>
      <c r="AF84" s="43">
        <v>0</v>
      </c>
      <c r="AG84" s="43"/>
      <c r="AH84" s="43">
        <f t="shared" si="1"/>
        <v>871885</v>
      </c>
    </row>
    <row r="85" spans="1:34" s="4" customFormat="1" hidden="1" x14ac:dyDescent="0.2">
      <c r="A85" s="4">
        <v>88</v>
      </c>
      <c r="B85" s="4" t="s">
        <v>332</v>
      </c>
      <c r="D85" s="4" t="s">
        <v>130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3">
        <v>0</v>
      </c>
      <c r="Z85" s="43">
        <v>0</v>
      </c>
      <c r="AA85" s="43">
        <v>0</v>
      </c>
      <c r="AB85" s="43">
        <v>0</v>
      </c>
      <c r="AC85" s="43">
        <v>0</v>
      </c>
      <c r="AD85" s="43">
        <v>0</v>
      </c>
      <c r="AE85" s="43">
        <v>0</v>
      </c>
      <c r="AF85" s="43">
        <v>0</v>
      </c>
      <c r="AG85" s="43"/>
      <c r="AH85" s="43">
        <f t="shared" si="1"/>
        <v>0</v>
      </c>
    </row>
    <row r="86" spans="1:34" s="4" customFormat="1" x14ac:dyDescent="0.2">
      <c r="A86" s="4">
        <v>138</v>
      </c>
      <c r="B86" s="4" t="s">
        <v>131</v>
      </c>
      <c r="D86" s="4" t="s">
        <v>85</v>
      </c>
      <c r="F86" s="43">
        <v>13361</v>
      </c>
      <c r="G86" s="43">
        <v>0</v>
      </c>
      <c r="H86" s="43">
        <f>16958+5894+30723</f>
        <v>53575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4055</v>
      </c>
      <c r="S86" s="43">
        <v>0</v>
      </c>
      <c r="T86" s="43">
        <v>0</v>
      </c>
      <c r="U86" s="43">
        <v>0</v>
      </c>
      <c r="V86" s="43">
        <v>15211</v>
      </c>
      <c r="W86" s="43">
        <v>0</v>
      </c>
      <c r="X86" s="43">
        <v>0</v>
      </c>
      <c r="Y86" s="43">
        <v>0</v>
      </c>
      <c r="Z86" s="43">
        <v>0</v>
      </c>
      <c r="AA86" s="43">
        <v>0</v>
      </c>
      <c r="AB86" s="43">
        <v>0</v>
      </c>
      <c r="AC86" s="43">
        <v>0</v>
      </c>
      <c r="AD86" s="43">
        <v>0</v>
      </c>
      <c r="AE86" s="43">
        <v>0</v>
      </c>
      <c r="AF86" s="43">
        <v>0</v>
      </c>
      <c r="AG86" s="43"/>
      <c r="AH86" s="43">
        <f t="shared" si="1"/>
        <v>86202</v>
      </c>
    </row>
    <row r="87" spans="1:34" s="4" customFormat="1" hidden="1" x14ac:dyDescent="0.2">
      <c r="A87" s="4">
        <v>52</v>
      </c>
      <c r="B87" s="4" t="s">
        <v>447</v>
      </c>
      <c r="D87" s="4" t="s">
        <v>17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0</v>
      </c>
      <c r="S87" s="43">
        <v>0</v>
      </c>
      <c r="T87" s="43">
        <v>0</v>
      </c>
      <c r="U87" s="43">
        <v>0</v>
      </c>
      <c r="V87" s="43">
        <v>0</v>
      </c>
      <c r="W87" s="43">
        <v>0</v>
      </c>
      <c r="X87" s="43">
        <v>0</v>
      </c>
      <c r="Y87" s="43">
        <v>0</v>
      </c>
      <c r="Z87" s="43">
        <v>0</v>
      </c>
      <c r="AA87" s="43">
        <v>0</v>
      </c>
      <c r="AB87" s="43">
        <v>0</v>
      </c>
      <c r="AC87" s="43">
        <v>0</v>
      </c>
      <c r="AD87" s="43">
        <v>0</v>
      </c>
      <c r="AE87" s="43">
        <v>0</v>
      </c>
      <c r="AF87" s="43">
        <v>0</v>
      </c>
      <c r="AG87" s="43"/>
      <c r="AH87" s="43">
        <f t="shared" si="1"/>
        <v>0</v>
      </c>
    </row>
    <row r="88" spans="1:34" s="4" customFormat="1" hidden="1" x14ac:dyDescent="0.2">
      <c r="A88" s="4">
        <v>39</v>
      </c>
      <c r="B88" s="3" t="s">
        <v>553</v>
      </c>
      <c r="C88" s="3"/>
      <c r="D88" s="3" t="s">
        <v>49</v>
      </c>
      <c r="E88" s="3"/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3">
        <v>0</v>
      </c>
      <c r="Z88" s="43">
        <v>0</v>
      </c>
      <c r="AA88" s="43">
        <v>0</v>
      </c>
      <c r="AB88" s="43">
        <v>0</v>
      </c>
      <c r="AC88" s="43">
        <v>0</v>
      </c>
      <c r="AD88" s="43">
        <v>0</v>
      </c>
      <c r="AE88" s="43">
        <v>0</v>
      </c>
      <c r="AF88" s="43">
        <v>0</v>
      </c>
      <c r="AG88" s="43"/>
      <c r="AH88" s="43">
        <f t="shared" si="1"/>
        <v>0</v>
      </c>
    </row>
    <row r="89" spans="1:34" s="4" customFormat="1" hidden="1" x14ac:dyDescent="0.2">
      <c r="A89" s="4">
        <v>40</v>
      </c>
      <c r="B89" s="4" t="s">
        <v>132</v>
      </c>
      <c r="D89" s="4" t="s">
        <v>49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43">
        <v>0</v>
      </c>
      <c r="Y89" s="43">
        <v>0</v>
      </c>
      <c r="Z89" s="43">
        <v>0</v>
      </c>
      <c r="AA89" s="43">
        <v>0</v>
      </c>
      <c r="AB89" s="43">
        <v>0</v>
      </c>
      <c r="AC89" s="43">
        <v>0</v>
      </c>
      <c r="AD89" s="43">
        <v>0</v>
      </c>
      <c r="AE89" s="43">
        <v>0</v>
      </c>
      <c r="AF89" s="43">
        <v>0</v>
      </c>
      <c r="AG89" s="43"/>
      <c r="AH89" s="43">
        <f t="shared" ref="AH89:AH120" si="2">SUM(F89:AF89)</f>
        <v>0</v>
      </c>
    </row>
    <row r="90" spans="1:34" s="4" customFormat="1" x14ac:dyDescent="0.2">
      <c r="A90" s="4">
        <v>155</v>
      </c>
      <c r="B90" s="4" t="s">
        <v>421</v>
      </c>
      <c r="D90" s="4" t="s">
        <v>18</v>
      </c>
      <c r="F90" s="43">
        <v>0</v>
      </c>
      <c r="G90" s="43">
        <v>0</v>
      </c>
      <c r="H90" s="43">
        <v>533723</v>
      </c>
      <c r="I90" s="43">
        <v>0</v>
      </c>
      <c r="J90" s="43">
        <v>465808</v>
      </c>
      <c r="K90" s="43">
        <v>0</v>
      </c>
      <c r="L90" s="43">
        <v>148951</v>
      </c>
      <c r="M90" s="43">
        <v>0</v>
      </c>
      <c r="N90" s="43">
        <v>190156</v>
      </c>
      <c r="O90" s="43">
        <v>0</v>
      </c>
      <c r="P90" s="43">
        <v>541721</v>
      </c>
      <c r="Q90" s="43">
        <v>0</v>
      </c>
      <c r="R90" s="43">
        <v>0</v>
      </c>
      <c r="S90" s="43">
        <v>0</v>
      </c>
      <c r="T90" s="43">
        <v>0</v>
      </c>
      <c r="U90" s="43">
        <v>0</v>
      </c>
      <c r="V90" s="43">
        <v>47788</v>
      </c>
      <c r="W90" s="43">
        <v>0</v>
      </c>
      <c r="X90" s="43">
        <v>0</v>
      </c>
      <c r="Y90" s="43">
        <v>0</v>
      </c>
      <c r="Z90" s="43">
        <v>0</v>
      </c>
      <c r="AA90" s="43">
        <v>0</v>
      </c>
      <c r="AB90" s="43">
        <v>230</v>
      </c>
      <c r="AC90" s="43">
        <v>0</v>
      </c>
      <c r="AD90" s="43">
        <v>0</v>
      </c>
      <c r="AE90" s="43">
        <v>0</v>
      </c>
      <c r="AF90" s="43">
        <v>0</v>
      </c>
      <c r="AG90" s="43"/>
      <c r="AH90" s="43">
        <f t="shared" si="2"/>
        <v>1928377</v>
      </c>
    </row>
    <row r="91" spans="1:34" s="4" customFormat="1" hidden="1" x14ac:dyDescent="0.2">
      <c r="A91" s="4">
        <v>142</v>
      </c>
      <c r="B91" s="4" t="s">
        <v>133</v>
      </c>
      <c r="D91" s="4" t="s">
        <v>55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43">
        <v>0</v>
      </c>
      <c r="Y91" s="43">
        <v>0</v>
      </c>
      <c r="Z91" s="43">
        <v>0</v>
      </c>
      <c r="AA91" s="43">
        <v>0</v>
      </c>
      <c r="AB91" s="43">
        <v>0</v>
      </c>
      <c r="AC91" s="43">
        <v>0</v>
      </c>
      <c r="AD91" s="43">
        <v>0</v>
      </c>
      <c r="AE91" s="43">
        <v>0</v>
      </c>
      <c r="AF91" s="43">
        <v>0</v>
      </c>
      <c r="AG91" s="43"/>
      <c r="AH91" s="43">
        <f t="shared" si="2"/>
        <v>0</v>
      </c>
    </row>
    <row r="92" spans="1:34" s="4" customFormat="1" x14ac:dyDescent="0.2">
      <c r="A92" s="4">
        <v>53</v>
      </c>
      <c r="B92" s="4" t="s">
        <v>16</v>
      </c>
      <c r="D92" s="4" t="s">
        <v>17</v>
      </c>
      <c r="F92" s="43">
        <v>0</v>
      </c>
      <c r="G92" s="43">
        <v>0</v>
      </c>
      <c r="H92" s="43">
        <v>4478727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3">
        <v>0</v>
      </c>
      <c r="T92" s="43">
        <v>0</v>
      </c>
      <c r="U92" s="43">
        <v>0</v>
      </c>
      <c r="V92" s="43">
        <v>178646</v>
      </c>
      <c r="W92" s="43">
        <v>0</v>
      </c>
      <c r="X92" s="43">
        <v>0</v>
      </c>
      <c r="Y92" s="43">
        <v>0</v>
      </c>
      <c r="Z92" s="43">
        <v>0</v>
      </c>
      <c r="AA92" s="43">
        <v>0</v>
      </c>
      <c r="AB92" s="43">
        <v>0</v>
      </c>
      <c r="AC92" s="43">
        <v>0</v>
      </c>
      <c r="AD92" s="43">
        <v>0</v>
      </c>
      <c r="AE92" s="43">
        <v>0</v>
      </c>
      <c r="AF92" s="43">
        <v>0</v>
      </c>
      <c r="AG92" s="43"/>
      <c r="AH92" s="43">
        <f t="shared" si="2"/>
        <v>4657373</v>
      </c>
    </row>
    <row r="93" spans="1:34" s="4" customFormat="1" hidden="1" x14ac:dyDescent="0.2">
      <c r="A93" s="4">
        <v>84</v>
      </c>
      <c r="B93" s="4" t="s">
        <v>134</v>
      </c>
      <c r="D93" s="4" t="s">
        <v>40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  <c r="S93" s="43">
        <v>0</v>
      </c>
      <c r="T93" s="43">
        <v>0</v>
      </c>
      <c r="U93" s="43">
        <v>0</v>
      </c>
      <c r="V93" s="43">
        <v>0</v>
      </c>
      <c r="W93" s="43">
        <v>0</v>
      </c>
      <c r="X93" s="43">
        <v>0</v>
      </c>
      <c r="Y93" s="43">
        <v>0</v>
      </c>
      <c r="Z93" s="43">
        <v>0</v>
      </c>
      <c r="AA93" s="43">
        <v>0</v>
      </c>
      <c r="AB93" s="43">
        <v>0</v>
      </c>
      <c r="AC93" s="43">
        <v>0</v>
      </c>
      <c r="AD93" s="43">
        <v>0</v>
      </c>
      <c r="AE93" s="43">
        <v>0</v>
      </c>
      <c r="AF93" s="43">
        <v>0</v>
      </c>
      <c r="AG93" s="43"/>
      <c r="AH93" s="43">
        <f t="shared" si="2"/>
        <v>0</v>
      </c>
    </row>
    <row r="94" spans="1:34" s="4" customFormat="1" x14ac:dyDescent="0.2">
      <c r="B94" s="4" t="s">
        <v>619</v>
      </c>
      <c r="D94" s="4" t="s">
        <v>87</v>
      </c>
      <c r="F94" s="43">
        <v>0</v>
      </c>
      <c r="G94" s="43">
        <v>0</v>
      </c>
      <c r="H94" s="43">
        <v>15665</v>
      </c>
      <c r="I94" s="43">
        <v>0</v>
      </c>
      <c r="J94" s="43">
        <v>46477</v>
      </c>
      <c r="K94" s="43">
        <v>0</v>
      </c>
      <c r="L94" s="43">
        <v>1813</v>
      </c>
      <c r="M94" s="43">
        <v>0</v>
      </c>
      <c r="N94" s="43">
        <v>179904</v>
      </c>
      <c r="O94" s="43">
        <v>0</v>
      </c>
      <c r="P94" s="43">
        <v>571304</v>
      </c>
      <c r="Q94" s="43">
        <v>0</v>
      </c>
      <c r="R94" s="43">
        <v>0</v>
      </c>
      <c r="S94" s="43">
        <v>0</v>
      </c>
      <c r="T94" s="43">
        <v>0</v>
      </c>
      <c r="U94" s="43">
        <v>0</v>
      </c>
      <c r="V94" s="43">
        <v>0</v>
      </c>
      <c r="W94" s="43">
        <v>0</v>
      </c>
      <c r="X94" s="43">
        <v>0</v>
      </c>
      <c r="Y94" s="43">
        <v>0</v>
      </c>
      <c r="Z94" s="43">
        <v>0</v>
      </c>
      <c r="AA94" s="43">
        <v>0</v>
      </c>
      <c r="AB94" s="43">
        <v>0</v>
      </c>
      <c r="AC94" s="43">
        <v>0</v>
      </c>
      <c r="AD94" s="43">
        <v>0</v>
      </c>
      <c r="AE94" s="43">
        <v>0</v>
      </c>
      <c r="AF94" s="43">
        <v>0</v>
      </c>
      <c r="AG94" s="43"/>
      <c r="AH94" s="43">
        <f t="shared" si="2"/>
        <v>815163</v>
      </c>
    </row>
    <row r="95" spans="1:34" s="4" customFormat="1" x14ac:dyDescent="0.2">
      <c r="A95" s="4">
        <v>70</v>
      </c>
      <c r="B95" s="4" t="s">
        <v>428</v>
      </c>
      <c r="D95" s="4" t="s">
        <v>65</v>
      </c>
      <c r="F95" s="43">
        <v>0</v>
      </c>
      <c r="G95" s="43">
        <v>0</v>
      </c>
      <c r="H95" s="43">
        <v>3171478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3">
        <v>0</v>
      </c>
      <c r="Z95" s="43">
        <v>0</v>
      </c>
      <c r="AA95" s="43">
        <v>0</v>
      </c>
      <c r="AB95" s="43">
        <v>151212</v>
      </c>
      <c r="AC95" s="43">
        <v>0</v>
      </c>
      <c r="AD95" s="43">
        <v>0</v>
      </c>
      <c r="AE95" s="43">
        <v>0</v>
      </c>
      <c r="AF95" s="43">
        <v>0</v>
      </c>
      <c r="AG95" s="43"/>
      <c r="AH95" s="43">
        <f t="shared" si="2"/>
        <v>3322690</v>
      </c>
    </row>
    <row r="96" spans="1:34" s="4" customFormat="1" x14ac:dyDescent="0.2">
      <c r="A96" s="4">
        <v>123</v>
      </c>
      <c r="B96" s="4" t="s">
        <v>135</v>
      </c>
      <c r="D96" s="4" t="s">
        <v>13</v>
      </c>
      <c r="F96" s="43">
        <v>0</v>
      </c>
      <c r="G96" s="43">
        <v>0</v>
      </c>
      <c r="H96" s="43">
        <f>367718+1126</f>
        <v>368844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0</v>
      </c>
      <c r="X96" s="43">
        <v>0</v>
      </c>
      <c r="Y96" s="43">
        <v>0</v>
      </c>
      <c r="Z96" s="43">
        <v>0</v>
      </c>
      <c r="AA96" s="43">
        <v>0</v>
      </c>
      <c r="AB96" s="43">
        <v>0</v>
      </c>
      <c r="AC96" s="43">
        <v>0</v>
      </c>
      <c r="AD96" s="43">
        <v>0</v>
      </c>
      <c r="AE96" s="43">
        <v>0</v>
      </c>
      <c r="AF96" s="43">
        <v>0</v>
      </c>
      <c r="AG96" s="43"/>
      <c r="AH96" s="43">
        <f t="shared" si="2"/>
        <v>368844</v>
      </c>
    </row>
    <row r="97" spans="1:34" s="4" customFormat="1" hidden="1" x14ac:dyDescent="0.2">
      <c r="A97" s="4">
        <v>93</v>
      </c>
      <c r="B97" s="4" t="s">
        <v>582</v>
      </c>
      <c r="D97" s="4" t="s">
        <v>137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3">
        <v>0</v>
      </c>
      <c r="Z97" s="43">
        <v>0</v>
      </c>
      <c r="AA97" s="43">
        <v>0</v>
      </c>
      <c r="AB97" s="43">
        <v>0</v>
      </c>
      <c r="AC97" s="43">
        <v>0</v>
      </c>
      <c r="AD97" s="43">
        <v>0</v>
      </c>
      <c r="AE97" s="43">
        <v>0</v>
      </c>
      <c r="AF97" s="43">
        <v>0</v>
      </c>
      <c r="AG97" s="43"/>
      <c r="AH97" s="43">
        <f t="shared" si="2"/>
        <v>0</v>
      </c>
    </row>
    <row r="98" spans="1:34" s="4" customFormat="1" hidden="1" x14ac:dyDescent="0.2">
      <c r="A98" s="4">
        <v>93</v>
      </c>
      <c r="B98" s="4" t="s">
        <v>360</v>
      </c>
      <c r="D98" s="4" t="s">
        <v>51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43">
        <v>0</v>
      </c>
      <c r="AA98" s="43">
        <v>0</v>
      </c>
      <c r="AB98" s="43">
        <v>0</v>
      </c>
      <c r="AC98" s="43">
        <v>0</v>
      </c>
      <c r="AD98" s="43">
        <v>0</v>
      </c>
      <c r="AE98" s="43">
        <v>0</v>
      </c>
      <c r="AF98" s="43">
        <v>0</v>
      </c>
      <c r="AG98" s="43"/>
      <c r="AH98" s="43">
        <f t="shared" si="2"/>
        <v>0</v>
      </c>
    </row>
    <row r="99" spans="1:34" s="4" customFormat="1" hidden="1" x14ac:dyDescent="0.2">
      <c r="A99" s="4">
        <v>97</v>
      </c>
      <c r="B99" s="4" t="s">
        <v>138</v>
      </c>
      <c r="D99" s="4" t="s">
        <v>59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3">
        <v>0</v>
      </c>
      <c r="Z99" s="43">
        <v>0</v>
      </c>
      <c r="AA99" s="43">
        <v>0</v>
      </c>
      <c r="AB99" s="43">
        <v>0</v>
      </c>
      <c r="AC99" s="43">
        <v>0</v>
      </c>
      <c r="AD99" s="43">
        <v>0</v>
      </c>
      <c r="AE99" s="43">
        <v>0</v>
      </c>
      <c r="AF99" s="43">
        <v>0</v>
      </c>
      <c r="AG99" s="43"/>
      <c r="AH99" s="43">
        <f t="shared" si="2"/>
        <v>0</v>
      </c>
    </row>
    <row r="100" spans="1:34" s="4" customFormat="1" x14ac:dyDescent="0.2">
      <c r="A100" s="4">
        <v>159</v>
      </c>
      <c r="B100" s="4" t="s">
        <v>139</v>
      </c>
      <c r="D100" s="4" t="s">
        <v>48</v>
      </c>
      <c r="F100" s="43">
        <v>0</v>
      </c>
      <c r="G100" s="43">
        <v>0</v>
      </c>
      <c r="H100" s="43">
        <v>60010</v>
      </c>
      <c r="I100" s="43">
        <v>0</v>
      </c>
      <c r="J100" s="43">
        <v>17371</v>
      </c>
      <c r="K100" s="43">
        <v>0</v>
      </c>
      <c r="L100" s="43">
        <v>9554</v>
      </c>
      <c r="M100" s="43">
        <v>0</v>
      </c>
      <c r="N100" s="43">
        <v>8217</v>
      </c>
      <c r="O100" s="43">
        <v>0</v>
      </c>
      <c r="P100" s="43">
        <v>7397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1320</v>
      </c>
      <c r="W100" s="43">
        <v>0</v>
      </c>
      <c r="X100" s="43">
        <v>0</v>
      </c>
      <c r="Y100" s="43">
        <v>0</v>
      </c>
      <c r="Z100" s="43">
        <v>0</v>
      </c>
      <c r="AA100" s="43">
        <v>0</v>
      </c>
      <c r="AB100" s="43">
        <v>0</v>
      </c>
      <c r="AC100" s="43">
        <v>0</v>
      </c>
      <c r="AD100" s="43">
        <v>0</v>
      </c>
      <c r="AE100" s="43">
        <v>0</v>
      </c>
      <c r="AF100" s="43">
        <v>0</v>
      </c>
      <c r="AG100" s="43"/>
      <c r="AH100" s="43">
        <f t="shared" si="2"/>
        <v>103869</v>
      </c>
    </row>
    <row r="101" spans="1:34" s="4" customFormat="1" hidden="1" x14ac:dyDescent="0.2">
      <c r="A101" s="4">
        <v>240</v>
      </c>
      <c r="B101" s="4" t="s">
        <v>140</v>
      </c>
      <c r="D101" s="4" t="s">
        <v>52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0</v>
      </c>
      <c r="X101" s="43">
        <v>0</v>
      </c>
      <c r="Y101" s="43">
        <v>0</v>
      </c>
      <c r="Z101" s="43">
        <v>0</v>
      </c>
      <c r="AA101" s="43">
        <v>0</v>
      </c>
      <c r="AB101" s="43">
        <v>0</v>
      </c>
      <c r="AC101" s="43">
        <v>0</v>
      </c>
      <c r="AD101" s="43">
        <v>0</v>
      </c>
      <c r="AE101" s="43">
        <v>0</v>
      </c>
      <c r="AF101" s="43">
        <v>0</v>
      </c>
      <c r="AG101" s="43"/>
      <c r="AH101" s="43">
        <f t="shared" si="2"/>
        <v>0</v>
      </c>
    </row>
    <row r="102" spans="1:34" s="4" customFormat="1" hidden="1" x14ac:dyDescent="0.2">
      <c r="A102" s="4">
        <v>48</v>
      </c>
      <c r="B102" s="4" t="s">
        <v>141</v>
      </c>
      <c r="D102" s="4" t="s">
        <v>50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43">
        <v>0</v>
      </c>
      <c r="Y102" s="43">
        <v>0</v>
      </c>
      <c r="Z102" s="43">
        <v>0</v>
      </c>
      <c r="AA102" s="43">
        <v>0</v>
      </c>
      <c r="AB102" s="43">
        <v>0</v>
      </c>
      <c r="AC102" s="43">
        <v>0</v>
      </c>
      <c r="AD102" s="43">
        <v>0</v>
      </c>
      <c r="AE102" s="43">
        <v>0</v>
      </c>
      <c r="AF102" s="43">
        <v>0</v>
      </c>
      <c r="AG102" s="43"/>
      <c r="AH102" s="43">
        <f t="shared" si="2"/>
        <v>0</v>
      </c>
    </row>
    <row r="103" spans="1:34" s="4" customFormat="1" x14ac:dyDescent="0.2">
      <c r="A103" s="4">
        <v>190</v>
      </c>
      <c r="B103" s="4" t="s">
        <v>142</v>
      </c>
      <c r="D103" s="4" t="s">
        <v>143</v>
      </c>
      <c r="F103" s="43">
        <v>0</v>
      </c>
      <c r="G103" s="43">
        <v>0</v>
      </c>
      <c r="H103" s="43">
        <v>1051975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140227</v>
      </c>
      <c r="W103" s="43">
        <v>0</v>
      </c>
      <c r="X103" s="43">
        <v>0</v>
      </c>
      <c r="Y103" s="43">
        <v>0</v>
      </c>
      <c r="Z103" s="43">
        <v>0</v>
      </c>
      <c r="AA103" s="43">
        <v>0</v>
      </c>
      <c r="AB103" s="43">
        <v>113015</v>
      </c>
      <c r="AC103" s="43">
        <v>0</v>
      </c>
      <c r="AD103" s="43">
        <v>0</v>
      </c>
      <c r="AE103" s="43">
        <v>0</v>
      </c>
      <c r="AF103" s="43">
        <v>0</v>
      </c>
      <c r="AG103" s="43"/>
      <c r="AH103" s="43">
        <f t="shared" si="2"/>
        <v>1305217</v>
      </c>
    </row>
    <row r="104" spans="1:34" s="4" customFormat="1" x14ac:dyDescent="0.2">
      <c r="A104" s="4">
        <v>90</v>
      </c>
      <c r="B104" s="4" t="s">
        <v>144</v>
      </c>
      <c r="D104" s="4" t="s">
        <v>15</v>
      </c>
      <c r="F104" s="43">
        <v>0</v>
      </c>
      <c r="G104" s="43">
        <v>0</v>
      </c>
      <c r="H104" s="43">
        <v>2787906</v>
      </c>
      <c r="I104" s="43">
        <v>0</v>
      </c>
      <c r="J104" s="43">
        <v>1663503</v>
      </c>
      <c r="K104" s="43">
        <v>0</v>
      </c>
      <c r="L104" s="43">
        <v>564244</v>
      </c>
      <c r="M104" s="43">
        <v>0</v>
      </c>
      <c r="N104" s="43">
        <v>1985449</v>
      </c>
      <c r="O104" s="43">
        <v>0</v>
      </c>
      <c r="P104" s="43">
        <v>841729</v>
      </c>
      <c r="Q104" s="43">
        <v>0</v>
      </c>
      <c r="R104" s="43">
        <v>0</v>
      </c>
      <c r="S104" s="43">
        <v>0</v>
      </c>
      <c r="T104" s="43">
        <v>0</v>
      </c>
      <c r="U104" s="43">
        <v>0</v>
      </c>
      <c r="V104" s="43">
        <v>531600</v>
      </c>
      <c r="W104" s="43">
        <v>0</v>
      </c>
      <c r="X104" s="43">
        <v>0</v>
      </c>
      <c r="Y104" s="43">
        <v>0</v>
      </c>
      <c r="Z104" s="43">
        <v>0</v>
      </c>
      <c r="AA104" s="43">
        <v>0</v>
      </c>
      <c r="AB104" s="43">
        <v>900000</v>
      </c>
      <c r="AC104" s="43">
        <v>0</v>
      </c>
      <c r="AD104" s="43">
        <v>7938</v>
      </c>
      <c r="AE104" s="43">
        <v>0</v>
      </c>
      <c r="AF104" s="43">
        <v>0</v>
      </c>
      <c r="AG104" s="43"/>
      <c r="AH104" s="43">
        <f t="shared" si="2"/>
        <v>9282369</v>
      </c>
    </row>
    <row r="105" spans="1:34" s="4" customFormat="1" hidden="1" x14ac:dyDescent="0.2">
      <c r="A105" s="4">
        <v>170</v>
      </c>
      <c r="B105" s="4" t="s">
        <v>145</v>
      </c>
      <c r="D105" s="4" t="s">
        <v>53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43">
        <v>0</v>
      </c>
      <c r="X105" s="43">
        <v>0</v>
      </c>
      <c r="Y105" s="43">
        <v>0</v>
      </c>
      <c r="Z105" s="43">
        <v>0</v>
      </c>
      <c r="AA105" s="43">
        <v>0</v>
      </c>
      <c r="AB105" s="43">
        <v>0</v>
      </c>
      <c r="AC105" s="43">
        <v>0</v>
      </c>
      <c r="AD105" s="43">
        <v>0</v>
      </c>
      <c r="AE105" s="43">
        <v>0</v>
      </c>
      <c r="AF105" s="43">
        <v>0</v>
      </c>
      <c r="AG105" s="43"/>
      <c r="AH105" s="43">
        <f t="shared" si="2"/>
        <v>0</v>
      </c>
    </row>
    <row r="106" spans="1:34" s="4" customFormat="1" hidden="1" x14ac:dyDescent="0.2">
      <c r="A106" s="4">
        <v>170</v>
      </c>
      <c r="B106" s="4" t="s">
        <v>32</v>
      </c>
      <c r="D106" s="4" t="s">
        <v>54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3">
        <v>0</v>
      </c>
      <c r="Z106" s="43">
        <v>0</v>
      </c>
      <c r="AA106" s="43">
        <v>0</v>
      </c>
      <c r="AB106" s="43">
        <v>0</v>
      </c>
      <c r="AC106" s="43">
        <v>0</v>
      </c>
      <c r="AD106" s="43">
        <v>0</v>
      </c>
      <c r="AE106" s="43">
        <v>0</v>
      </c>
      <c r="AF106" s="43">
        <v>0</v>
      </c>
      <c r="AG106" s="43"/>
      <c r="AH106" s="43">
        <f t="shared" si="2"/>
        <v>0</v>
      </c>
    </row>
    <row r="107" spans="1:34" s="4" customFormat="1" hidden="1" x14ac:dyDescent="0.2">
      <c r="A107" s="4">
        <v>224</v>
      </c>
      <c r="B107" s="4" t="s">
        <v>33</v>
      </c>
      <c r="D107" s="4" t="s">
        <v>24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/>
      <c r="AH107" s="43">
        <f t="shared" si="2"/>
        <v>0</v>
      </c>
    </row>
    <row r="108" spans="1:34" s="4" customFormat="1" x14ac:dyDescent="0.2">
      <c r="A108" s="4">
        <v>143</v>
      </c>
      <c r="B108" s="4" t="s">
        <v>146</v>
      </c>
      <c r="D108" s="4" t="s">
        <v>55</v>
      </c>
      <c r="F108" s="43">
        <v>0</v>
      </c>
      <c r="G108" s="43">
        <v>0</v>
      </c>
      <c r="H108" s="43">
        <v>654633</v>
      </c>
      <c r="I108" s="43">
        <v>0</v>
      </c>
      <c r="J108" s="43">
        <v>141648</v>
      </c>
      <c r="K108" s="43">
        <v>0</v>
      </c>
      <c r="L108" s="43">
        <v>0</v>
      </c>
      <c r="M108" s="43">
        <v>0</v>
      </c>
      <c r="N108" s="43">
        <v>109067</v>
      </c>
      <c r="O108" s="43">
        <v>0</v>
      </c>
      <c r="P108" s="43">
        <v>21746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222685</v>
      </c>
      <c r="W108" s="43">
        <v>0</v>
      </c>
      <c r="X108" s="43">
        <v>0</v>
      </c>
      <c r="Y108" s="43">
        <v>0</v>
      </c>
      <c r="Z108" s="43">
        <v>0</v>
      </c>
      <c r="AA108" s="43">
        <v>0</v>
      </c>
      <c r="AB108" s="43">
        <v>150000</v>
      </c>
      <c r="AC108" s="43">
        <v>0</v>
      </c>
      <c r="AD108" s="43">
        <v>0</v>
      </c>
      <c r="AE108" s="43">
        <v>0</v>
      </c>
      <c r="AF108" s="43">
        <v>9883</v>
      </c>
      <c r="AG108" s="43"/>
      <c r="AH108" s="43">
        <f t="shared" si="2"/>
        <v>1309662</v>
      </c>
    </row>
    <row r="109" spans="1:34" s="4" customFormat="1" hidden="1" x14ac:dyDescent="0.2">
      <c r="A109" s="4">
        <v>11</v>
      </c>
      <c r="B109" s="4" t="s">
        <v>302</v>
      </c>
      <c r="D109" s="4" t="s">
        <v>41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  <c r="S109" s="43">
        <v>0</v>
      </c>
      <c r="T109" s="43">
        <v>0</v>
      </c>
      <c r="U109" s="43">
        <v>0</v>
      </c>
      <c r="V109" s="43">
        <v>0</v>
      </c>
      <c r="W109" s="43">
        <v>0</v>
      </c>
      <c r="X109" s="43">
        <v>0</v>
      </c>
      <c r="Y109" s="43">
        <v>0</v>
      </c>
      <c r="Z109" s="43">
        <v>0</v>
      </c>
      <c r="AA109" s="43">
        <v>0</v>
      </c>
      <c r="AB109" s="43">
        <v>0</v>
      </c>
      <c r="AC109" s="43">
        <v>0</v>
      </c>
      <c r="AD109" s="43">
        <v>0</v>
      </c>
      <c r="AE109" s="43">
        <v>0</v>
      </c>
      <c r="AF109" s="43">
        <v>0</v>
      </c>
      <c r="AG109" s="43"/>
      <c r="AH109" s="43">
        <f t="shared" si="2"/>
        <v>0</v>
      </c>
    </row>
    <row r="110" spans="1:34" s="4" customFormat="1" x14ac:dyDescent="0.2">
      <c r="A110" s="4">
        <v>77</v>
      </c>
      <c r="B110" s="4" t="s">
        <v>147</v>
      </c>
      <c r="D110" s="4" t="s">
        <v>90</v>
      </c>
      <c r="F110" s="43">
        <v>0</v>
      </c>
      <c r="G110" s="43">
        <v>0</v>
      </c>
      <c r="H110" s="43">
        <v>2337736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75454</v>
      </c>
      <c r="W110" s="43">
        <v>0</v>
      </c>
      <c r="X110" s="43">
        <v>36000</v>
      </c>
      <c r="Y110" s="43">
        <v>0</v>
      </c>
      <c r="Z110" s="43">
        <v>1147</v>
      </c>
      <c r="AA110" s="43">
        <v>0</v>
      </c>
      <c r="AB110" s="43">
        <v>99</v>
      </c>
      <c r="AC110" s="43">
        <v>0</v>
      </c>
      <c r="AD110" s="43">
        <v>0</v>
      </c>
      <c r="AE110" s="43">
        <v>0</v>
      </c>
      <c r="AF110" s="43">
        <v>0</v>
      </c>
      <c r="AG110" s="43"/>
      <c r="AH110" s="43">
        <f t="shared" si="2"/>
        <v>2450436</v>
      </c>
    </row>
    <row r="111" spans="1:34" s="4" customFormat="1" hidden="1" x14ac:dyDescent="0.2">
      <c r="A111" s="4">
        <v>132</v>
      </c>
      <c r="B111" s="4" t="s">
        <v>148</v>
      </c>
      <c r="D111" s="4" t="s">
        <v>39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3">
        <v>0</v>
      </c>
      <c r="Z111" s="43">
        <v>0</v>
      </c>
      <c r="AA111" s="43">
        <v>0</v>
      </c>
      <c r="AB111" s="43">
        <v>0</v>
      </c>
      <c r="AC111" s="43">
        <v>0</v>
      </c>
      <c r="AD111" s="43">
        <v>0</v>
      </c>
      <c r="AE111" s="43">
        <v>0</v>
      </c>
      <c r="AF111" s="43">
        <v>0</v>
      </c>
      <c r="AG111" s="43"/>
      <c r="AH111" s="43">
        <f t="shared" si="2"/>
        <v>0</v>
      </c>
    </row>
    <row r="112" spans="1:34" s="4" customFormat="1" x14ac:dyDescent="0.2">
      <c r="A112" s="4">
        <v>91</v>
      </c>
      <c r="B112" s="4" t="s">
        <v>583</v>
      </c>
      <c r="D112" s="4" t="s">
        <v>150</v>
      </c>
      <c r="F112" s="43">
        <v>0</v>
      </c>
      <c r="G112" s="43">
        <v>0</v>
      </c>
      <c r="H112" s="43">
        <f>3541526+1328777</f>
        <v>4870303</v>
      </c>
      <c r="I112" s="43">
        <v>0</v>
      </c>
      <c r="J112" s="43">
        <v>720961</v>
      </c>
      <c r="K112" s="43">
        <v>0</v>
      </c>
      <c r="L112" s="43">
        <v>400997</v>
      </c>
      <c r="M112" s="43">
        <v>0</v>
      </c>
      <c r="N112" s="43">
        <v>595381</v>
      </c>
      <c r="O112" s="43">
        <v>0</v>
      </c>
      <c r="P112" s="43">
        <v>1373400</v>
      </c>
      <c r="Q112" s="43"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559059</v>
      </c>
      <c r="W112" s="43">
        <v>0</v>
      </c>
      <c r="X112" s="43">
        <v>0</v>
      </c>
      <c r="Y112" s="43">
        <v>0</v>
      </c>
      <c r="Z112" s="43">
        <v>0</v>
      </c>
      <c r="AA112" s="43">
        <v>0</v>
      </c>
      <c r="AB112" s="43">
        <v>108495</v>
      </c>
      <c r="AC112" s="43">
        <v>0</v>
      </c>
      <c r="AD112" s="43">
        <v>0</v>
      </c>
      <c r="AE112" s="43">
        <v>0</v>
      </c>
      <c r="AF112" s="43">
        <v>0</v>
      </c>
      <c r="AG112" s="43"/>
      <c r="AH112" s="43">
        <f t="shared" si="2"/>
        <v>8628596</v>
      </c>
    </row>
    <row r="113" spans="1:34" s="4" customFormat="1" hidden="1" x14ac:dyDescent="0.2">
      <c r="A113" s="4">
        <v>59</v>
      </c>
      <c r="B113" s="4" t="s">
        <v>151</v>
      </c>
      <c r="D113" s="4" t="s">
        <v>79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0</v>
      </c>
      <c r="Y113" s="43">
        <v>0</v>
      </c>
      <c r="Z113" s="43">
        <v>0</v>
      </c>
      <c r="AA113" s="43">
        <v>0</v>
      </c>
      <c r="AB113" s="43">
        <v>0</v>
      </c>
      <c r="AC113" s="43">
        <v>0</v>
      </c>
      <c r="AD113" s="43">
        <v>0</v>
      </c>
      <c r="AE113" s="43">
        <v>0</v>
      </c>
      <c r="AF113" s="43">
        <v>0</v>
      </c>
      <c r="AG113" s="43"/>
      <c r="AH113" s="43">
        <f t="shared" si="2"/>
        <v>0</v>
      </c>
    </row>
    <row r="114" spans="1:34" s="4" customFormat="1" x14ac:dyDescent="0.2">
      <c r="A114" s="4">
        <v>92</v>
      </c>
      <c r="B114" s="4" t="s">
        <v>584</v>
      </c>
      <c r="D114" s="4" t="s">
        <v>152</v>
      </c>
      <c r="F114" s="43">
        <v>0</v>
      </c>
      <c r="G114" s="43">
        <v>0</v>
      </c>
      <c r="H114" s="43">
        <v>659650</v>
      </c>
      <c r="I114" s="43">
        <v>0</v>
      </c>
      <c r="J114" s="43">
        <v>157683</v>
      </c>
      <c r="K114" s="43">
        <v>0</v>
      </c>
      <c r="L114" s="43">
        <v>110682</v>
      </c>
      <c r="M114" s="43">
        <v>0</v>
      </c>
      <c r="N114" s="43">
        <v>199377</v>
      </c>
      <c r="O114" s="43">
        <v>0</v>
      </c>
      <c r="P114" s="43">
        <v>373248</v>
      </c>
      <c r="Q114" s="43">
        <v>0</v>
      </c>
      <c r="R114" s="43">
        <v>0</v>
      </c>
      <c r="S114" s="43">
        <v>0</v>
      </c>
      <c r="T114" s="43">
        <v>0</v>
      </c>
      <c r="U114" s="43">
        <v>0</v>
      </c>
      <c r="V114" s="43">
        <v>317346</v>
      </c>
      <c r="W114" s="43">
        <v>0</v>
      </c>
      <c r="X114" s="43">
        <v>0</v>
      </c>
      <c r="Y114" s="43">
        <v>0</v>
      </c>
      <c r="Z114" s="43">
        <v>0</v>
      </c>
      <c r="AA114" s="43">
        <v>0</v>
      </c>
      <c r="AB114" s="43">
        <v>315500</v>
      </c>
      <c r="AC114" s="43">
        <v>0</v>
      </c>
      <c r="AD114" s="43">
        <v>0</v>
      </c>
      <c r="AE114" s="43">
        <v>0</v>
      </c>
      <c r="AF114" s="43">
        <v>0</v>
      </c>
      <c r="AG114" s="43"/>
      <c r="AH114" s="43">
        <f t="shared" si="2"/>
        <v>2133486</v>
      </c>
    </row>
    <row r="115" spans="1:34" s="4" customFormat="1" hidden="1" x14ac:dyDescent="0.2">
      <c r="A115" s="4">
        <v>12</v>
      </c>
      <c r="B115" s="4" t="s">
        <v>153</v>
      </c>
      <c r="D115" s="4" t="s">
        <v>41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0</v>
      </c>
      <c r="T115" s="43">
        <v>0</v>
      </c>
      <c r="U115" s="43">
        <v>0</v>
      </c>
      <c r="V115" s="43">
        <v>0</v>
      </c>
      <c r="W115" s="43">
        <v>0</v>
      </c>
      <c r="X115" s="43">
        <v>0</v>
      </c>
      <c r="Y115" s="43">
        <v>0</v>
      </c>
      <c r="Z115" s="43">
        <v>0</v>
      </c>
      <c r="AA115" s="43">
        <v>0</v>
      </c>
      <c r="AB115" s="43">
        <v>0</v>
      </c>
      <c r="AC115" s="43">
        <v>0</v>
      </c>
      <c r="AD115" s="43">
        <v>0</v>
      </c>
      <c r="AE115" s="43">
        <v>0</v>
      </c>
      <c r="AF115" s="43">
        <v>0</v>
      </c>
      <c r="AG115" s="43"/>
      <c r="AH115" s="43">
        <f t="shared" si="2"/>
        <v>0</v>
      </c>
    </row>
    <row r="116" spans="1:34" s="4" customFormat="1" x14ac:dyDescent="0.2">
      <c r="A116" s="4">
        <v>98</v>
      </c>
      <c r="B116" s="4" t="s">
        <v>154</v>
      </c>
      <c r="D116" s="4" t="s">
        <v>59</v>
      </c>
      <c r="F116" s="43">
        <v>0</v>
      </c>
      <c r="G116" s="43">
        <v>0</v>
      </c>
      <c r="H116" s="43">
        <v>0</v>
      </c>
      <c r="I116" s="43">
        <v>0</v>
      </c>
      <c r="J116" s="43">
        <v>7497</v>
      </c>
      <c r="K116" s="43">
        <v>0</v>
      </c>
      <c r="L116" s="43">
        <v>13602</v>
      </c>
      <c r="M116" s="43">
        <v>0</v>
      </c>
      <c r="N116" s="43">
        <v>3674</v>
      </c>
      <c r="O116" s="43">
        <v>0</v>
      </c>
      <c r="P116" s="43">
        <v>61153</v>
      </c>
      <c r="Q116" s="43">
        <v>0</v>
      </c>
      <c r="R116" s="43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0</v>
      </c>
      <c r="Y116" s="43">
        <v>0</v>
      </c>
      <c r="Z116" s="43">
        <v>0</v>
      </c>
      <c r="AA116" s="43">
        <v>0</v>
      </c>
      <c r="AB116" s="43">
        <v>0</v>
      </c>
      <c r="AC116" s="43">
        <v>0</v>
      </c>
      <c r="AD116" s="43">
        <v>0</v>
      </c>
      <c r="AE116" s="43">
        <v>0</v>
      </c>
      <c r="AF116" s="43">
        <v>0</v>
      </c>
      <c r="AG116" s="43"/>
      <c r="AH116" s="43">
        <f t="shared" si="2"/>
        <v>85926</v>
      </c>
    </row>
    <row r="117" spans="1:34" s="4" customFormat="1" x14ac:dyDescent="0.2">
      <c r="A117" s="4">
        <v>181</v>
      </c>
      <c r="B117" s="4" t="s">
        <v>155</v>
      </c>
      <c r="D117" s="4" t="s">
        <v>156</v>
      </c>
      <c r="F117" s="43">
        <v>0</v>
      </c>
      <c r="G117" s="43">
        <v>0</v>
      </c>
      <c r="H117" s="43">
        <v>117034</v>
      </c>
      <c r="I117" s="43">
        <v>0</v>
      </c>
      <c r="J117" s="43">
        <v>56948</v>
      </c>
      <c r="K117" s="43">
        <v>0</v>
      </c>
      <c r="L117" s="43">
        <v>0</v>
      </c>
      <c r="M117" s="43">
        <v>0</v>
      </c>
      <c r="N117" s="43">
        <v>59476</v>
      </c>
      <c r="O117" s="43">
        <v>0</v>
      </c>
      <c r="P117" s="43">
        <v>234444</v>
      </c>
      <c r="Q117" s="43">
        <v>0</v>
      </c>
      <c r="R117" s="43">
        <v>0</v>
      </c>
      <c r="S117" s="43">
        <v>0</v>
      </c>
      <c r="T117" s="43">
        <v>0</v>
      </c>
      <c r="U117" s="43">
        <v>0</v>
      </c>
      <c r="V117" s="43">
        <v>14854</v>
      </c>
      <c r="W117" s="43">
        <v>0</v>
      </c>
      <c r="X117" s="43">
        <v>0</v>
      </c>
      <c r="Y117" s="43">
        <v>0</v>
      </c>
      <c r="Z117" s="43">
        <v>0</v>
      </c>
      <c r="AA117" s="43">
        <v>0</v>
      </c>
      <c r="AB117" s="43">
        <v>0</v>
      </c>
      <c r="AC117" s="43">
        <v>0</v>
      </c>
      <c r="AD117" s="43">
        <v>0</v>
      </c>
      <c r="AE117" s="43">
        <v>0</v>
      </c>
      <c r="AF117" s="43">
        <v>0</v>
      </c>
      <c r="AG117" s="43"/>
      <c r="AH117" s="43">
        <f t="shared" si="2"/>
        <v>482756</v>
      </c>
    </row>
    <row r="118" spans="1:34" s="4" customFormat="1" hidden="1" x14ac:dyDescent="0.2">
      <c r="A118" s="4">
        <v>13</v>
      </c>
      <c r="B118" s="4" t="s">
        <v>303</v>
      </c>
      <c r="D118" s="4" t="s">
        <v>41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  <c r="X118" s="43">
        <v>0</v>
      </c>
      <c r="Y118" s="43">
        <v>0</v>
      </c>
      <c r="Z118" s="43">
        <v>0</v>
      </c>
      <c r="AA118" s="43">
        <v>0</v>
      </c>
      <c r="AB118" s="43">
        <v>0</v>
      </c>
      <c r="AC118" s="43">
        <v>0</v>
      </c>
      <c r="AD118" s="43">
        <v>0</v>
      </c>
      <c r="AE118" s="43">
        <v>0</v>
      </c>
      <c r="AF118" s="43">
        <v>0</v>
      </c>
      <c r="AG118" s="43"/>
      <c r="AH118" s="43">
        <f t="shared" si="2"/>
        <v>0</v>
      </c>
    </row>
    <row r="119" spans="1:34" s="4" customFormat="1" hidden="1" x14ac:dyDescent="0.2">
      <c r="A119" s="4">
        <v>239</v>
      </c>
      <c r="B119" s="4" t="s">
        <v>157</v>
      </c>
      <c r="D119" s="4" t="s">
        <v>158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0</v>
      </c>
      <c r="U119" s="43">
        <v>0</v>
      </c>
      <c r="V119" s="43">
        <v>0</v>
      </c>
      <c r="W119" s="43">
        <v>0</v>
      </c>
      <c r="X119" s="43">
        <v>0</v>
      </c>
      <c r="Y119" s="43">
        <v>0</v>
      </c>
      <c r="Z119" s="43">
        <v>0</v>
      </c>
      <c r="AA119" s="43">
        <v>0</v>
      </c>
      <c r="AB119" s="43">
        <v>0</v>
      </c>
      <c r="AC119" s="43">
        <v>0</v>
      </c>
      <c r="AD119" s="43">
        <v>0</v>
      </c>
      <c r="AE119" s="43">
        <v>0</v>
      </c>
      <c r="AF119" s="43">
        <v>0</v>
      </c>
      <c r="AG119" s="43"/>
      <c r="AH119" s="43">
        <f t="shared" si="2"/>
        <v>0</v>
      </c>
    </row>
    <row r="120" spans="1:34" s="4" customFormat="1" hidden="1" x14ac:dyDescent="0.2">
      <c r="A120" s="4">
        <v>144</v>
      </c>
      <c r="B120" s="4" t="s">
        <v>449</v>
      </c>
      <c r="D120" s="4" t="s">
        <v>55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0</v>
      </c>
      <c r="AC120" s="43">
        <v>0</v>
      </c>
      <c r="AD120" s="43">
        <v>0</v>
      </c>
      <c r="AE120" s="43">
        <v>0</v>
      </c>
      <c r="AF120" s="43">
        <v>0</v>
      </c>
      <c r="AG120" s="43"/>
      <c r="AH120" s="43">
        <f t="shared" si="2"/>
        <v>0</v>
      </c>
    </row>
    <row r="121" spans="1:34" s="4" customFormat="1" x14ac:dyDescent="0.2">
      <c r="A121" s="4">
        <v>107</v>
      </c>
      <c r="B121" s="4" t="s">
        <v>601</v>
      </c>
      <c r="D121" s="4" t="s">
        <v>56</v>
      </c>
      <c r="F121" s="43">
        <v>0</v>
      </c>
      <c r="G121" s="43">
        <v>0</v>
      </c>
      <c r="H121" s="43">
        <v>1145647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f>40552</f>
        <v>40552</v>
      </c>
      <c r="W121" s="43">
        <v>0</v>
      </c>
      <c r="X121" s="43">
        <v>0</v>
      </c>
      <c r="Y121" s="43">
        <v>0</v>
      </c>
      <c r="Z121" s="43">
        <v>0</v>
      </c>
      <c r="AA121" s="43">
        <v>0</v>
      </c>
      <c r="AB121" s="43">
        <v>0</v>
      </c>
      <c r="AC121" s="43">
        <v>0</v>
      </c>
      <c r="AD121" s="43">
        <v>0</v>
      </c>
      <c r="AE121" s="43">
        <v>0</v>
      </c>
      <c r="AF121" s="43">
        <v>0</v>
      </c>
      <c r="AG121" s="43"/>
      <c r="AH121" s="43">
        <f t="shared" ref="AH121:AH155" si="3">SUM(F121:AF121)</f>
        <v>1186199</v>
      </c>
    </row>
    <row r="122" spans="1:34" s="4" customFormat="1" x14ac:dyDescent="0.2">
      <c r="A122" s="4">
        <v>103</v>
      </c>
      <c r="B122" s="4" t="s">
        <v>160</v>
      </c>
      <c r="D122" s="4" t="s">
        <v>58</v>
      </c>
      <c r="F122" s="43">
        <v>0</v>
      </c>
      <c r="G122" s="43">
        <v>0</v>
      </c>
      <c r="H122" s="43">
        <v>102830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3">
        <v>0</v>
      </c>
      <c r="X122" s="43">
        <v>0</v>
      </c>
      <c r="Y122" s="43">
        <v>0</v>
      </c>
      <c r="Z122" s="43">
        <v>0</v>
      </c>
      <c r="AA122" s="43">
        <v>0</v>
      </c>
      <c r="AB122" s="43">
        <v>0</v>
      </c>
      <c r="AC122" s="43">
        <v>0</v>
      </c>
      <c r="AD122" s="43">
        <v>0</v>
      </c>
      <c r="AE122" s="43">
        <v>0</v>
      </c>
      <c r="AF122" s="43">
        <v>0</v>
      </c>
      <c r="AG122" s="43"/>
      <c r="AH122" s="43">
        <f t="shared" si="3"/>
        <v>102830</v>
      </c>
    </row>
    <row r="123" spans="1:34" s="4" customFormat="1" hidden="1" x14ac:dyDescent="0.2">
      <c r="A123" s="4">
        <v>109</v>
      </c>
      <c r="B123" s="4" t="s">
        <v>585</v>
      </c>
      <c r="D123" s="4" t="s">
        <v>161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43">
        <v>0</v>
      </c>
      <c r="AB123" s="43">
        <v>0</v>
      </c>
      <c r="AC123" s="43">
        <v>0</v>
      </c>
      <c r="AD123" s="43">
        <v>0</v>
      </c>
      <c r="AE123" s="43">
        <v>0</v>
      </c>
      <c r="AF123" s="43">
        <v>0</v>
      </c>
      <c r="AG123" s="43"/>
      <c r="AH123" s="43">
        <f t="shared" si="3"/>
        <v>0</v>
      </c>
    </row>
    <row r="124" spans="1:34" s="4" customFormat="1" hidden="1" x14ac:dyDescent="0.2">
      <c r="A124" s="4">
        <v>133</v>
      </c>
      <c r="B124" s="4" t="s">
        <v>304</v>
      </c>
      <c r="D124" s="4" t="s">
        <v>39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3">
        <v>0</v>
      </c>
      <c r="Z124" s="43">
        <v>0</v>
      </c>
      <c r="AA124" s="43">
        <v>0</v>
      </c>
      <c r="AB124" s="43">
        <v>0</v>
      </c>
      <c r="AC124" s="43">
        <v>0</v>
      </c>
      <c r="AD124" s="43">
        <v>0</v>
      </c>
      <c r="AE124" s="43">
        <v>0</v>
      </c>
      <c r="AF124" s="43">
        <v>0</v>
      </c>
      <c r="AG124" s="43"/>
      <c r="AH124" s="43">
        <f t="shared" si="3"/>
        <v>0</v>
      </c>
    </row>
    <row r="125" spans="1:34" s="4" customFormat="1" hidden="1" x14ac:dyDescent="0.2">
      <c r="A125" s="4">
        <v>225</v>
      </c>
      <c r="B125" s="4" t="s">
        <v>450</v>
      </c>
      <c r="D125" s="4" t="s">
        <v>54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3">
        <v>0</v>
      </c>
      <c r="Z125" s="43">
        <v>0</v>
      </c>
      <c r="AA125" s="43">
        <v>0</v>
      </c>
      <c r="AB125" s="43">
        <v>0</v>
      </c>
      <c r="AC125" s="43">
        <v>0</v>
      </c>
      <c r="AD125" s="43">
        <v>0</v>
      </c>
      <c r="AE125" s="43">
        <v>0</v>
      </c>
      <c r="AF125" s="43">
        <v>0</v>
      </c>
      <c r="AG125" s="43"/>
      <c r="AH125" s="43">
        <f t="shared" si="3"/>
        <v>0</v>
      </c>
    </row>
    <row r="126" spans="1:34" s="4" customFormat="1" x14ac:dyDescent="0.2">
      <c r="A126" s="4">
        <v>218</v>
      </c>
      <c r="B126" s="4" t="s">
        <v>333</v>
      </c>
      <c r="D126" s="4" t="s">
        <v>20</v>
      </c>
      <c r="F126" s="43">
        <v>0</v>
      </c>
      <c r="G126" s="43">
        <v>0</v>
      </c>
      <c r="H126" s="43">
        <v>1276420</v>
      </c>
      <c r="I126" s="43">
        <v>0</v>
      </c>
      <c r="J126" s="43">
        <v>539576</v>
      </c>
      <c r="K126" s="43">
        <v>0</v>
      </c>
      <c r="L126" s="43">
        <v>284045</v>
      </c>
      <c r="M126" s="43">
        <v>0</v>
      </c>
      <c r="N126" s="43">
        <v>382554</v>
      </c>
      <c r="O126" s="43">
        <v>0</v>
      </c>
      <c r="P126" s="43">
        <v>144759</v>
      </c>
      <c r="Q126" s="43">
        <v>0</v>
      </c>
      <c r="R126" s="43">
        <v>0</v>
      </c>
      <c r="S126" s="43">
        <v>0</v>
      </c>
      <c r="T126" s="43">
        <v>0</v>
      </c>
      <c r="U126" s="43">
        <v>0</v>
      </c>
      <c r="V126" s="43">
        <v>10323</v>
      </c>
      <c r="W126" s="43">
        <v>0</v>
      </c>
      <c r="X126" s="43">
        <v>0</v>
      </c>
      <c r="Y126" s="43">
        <v>0</v>
      </c>
      <c r="Z126" s="43">
        <v>0</v>
      </c>
      <c r="AA126" s="43">
        <v>0</v>
      </c>
      <c r="AB126" s="43">
        <v>116284</v>
      </c>
      <c r="AC126" s="43">
        <v>0</v>
      </c>
      <c r="AD126" s="43">
        <v>0</v>
      </c>
      <c r="AE126" s="43">
        <v>0</v>
      </c>
      <c r="AF126" s="43">
        <v>0</v>
      </c>
      <c r="AG126" s="43"/>
      <c r="AH126" s="43">
        <f t="shared" si="3"/>
        <v>2753961</v>
      </c>
    </row>
    <row r="127" spans="1:34" s="4" customFormat="1" hidden="1" x14ac:dyDescent="0.2">
      <c r="A127" s="4">
        <v>66</v>
      </c>
      <c r="B127" s="4" t="s">
        <v>164</v>
      </c>
      <c r="D127" s="4" t="s">
        <v>165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  <c r="Z127" s="43">
        <v>0</v>
      </c>
      <c r="AA127" s="43">
        <v>0</v>
      </c>
      <c r="AB127" s="43">
        <v>0</v>
      </c>
      <c r="AC127" s="43">
        <v>0</v>
      </c>
      <c r="AD127" s="43">
        <v>0</v>
      </c>
      <c r="AE127" s="43">
        <v>0</v>
      </c>
      <c r="AF127" s="43">
        <v>0</v>
      </c>
      <c r="AG127" s="43"/>
      <c r="AH127" s="43">
        <f t="shared" si="3"/>
        <v>0</v>
      </c>
    </row>
    <row r="128" spans="1:34" s="4" customFormat="1" hidden="1" x14ac:dyDescent="0.2">
      <c r="A128" s="4">
        <v>148</v>
      </c>
      <c r="B128" s="4" t="s">
        <v>35</v>
      </c>
      <c r="D128" s="4" t="s">
        <v>10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0</v>
      </c>
      <c r="X128" s="43">
        <v>0</v>
      </c>
      <c r="Y128" s="43">
        <v>0</v>
      </c>
      <c r="Z128" s="43">
        <v>0</v>
      </c>
      <c r="AA128" s="43">
        <v>0</v>
      </c>
      <c r="AB128" s="43">
        <v>0</v>
      </c>
      <c r="AC128" s="43">
        <v>0</v>
      </c>
      <c r="AD128" s="43">
        <v>0</v>
      </c>
      <c r="AE128" s="43">
        <v>0</v>
      </c>
      <c r="AF128" s="43">
        <v>0</v>
      </c>
      <c r="AG128" s="43"/>
      <c r="AH128" s="43">
        <f t="shared" si="3"/>
        <v>0</v>
      </c>
    </row>
    <row r="129" spans="1:34" s="4" customFormat="1" x14ac:dyDescent="0.2">
      <c r="A129" s="4">
        <v>182</v>
      </c>
      <c r="B129" s="4" t="s">
        <v>166</v>
      </c>
      <c r="D129" s="4" t="s">
        <v>156</v>
      </c>
      <c r="F129" s="43">
        <v>0</v>
      </c>
      <c r="G129" s="43">
        <v>0</v>
      </c>
      <c r="H129" s="43">
        <v>23613</v>
      </c>
      <c r="I129" s="43">
        <v>0</v>
      </c>
      <c r="J129" s="43">
        <v>217183</v>
      </c>
      <c r="K129" s="43">
        <v>0</v>
      </c>
      <c r="L129" s="43">
        <v>2365</v>
      </c>
      <c r="M129" s="43">
        <v>0</v>
      </c>
      <c r="N129" s="43">
        <v>108724</v>
      </c>
      <c r="O129" s="43">
        <v>0</v>
      </c>
      <c r="P129" s="43">
        <v>589275</v>
      </c>
      <c r="Q129" s="43">
        <v>0</v>
      </c>
      <c r="R129" s="43">
        <v>0</v>
      </c>
      <c r="S129" s="43">
        <v>0</v>
      </c>
      <c r="T129" s="43">
        <v>0</v>
      </c>
      <c r="U129" s="43">
        <v>0</v>
      </c>
      <c r="V129" s="43">
        <v>118296</v>
      </c>
      <c r="W129" s="43">
        <v>0</v>
      </c>
      <c r="X129" s="43">
        <v>0</v>
      </c>
      <c r="Y129" s="43">
        <v>0</v>
      </c>
      <c r="Z129" s="43">
        <v>0</v>
      </c>
      <c r="AA129" s="43">
        <v>0</v>
      </c>
      <c r="AB129" s="43">
        <v>7675</v>
      </c>
      <c r="AC129" s="43">
        <v>0</v>
      </c>
      <c r="AD129" s="43">
        <v>0</v>
      </c>
      <c r="AE129" s="43">
        <v>0</v>
      </c>
      <c r="AF129" s="43">
        <v>0</v>
      </c>
      <c r="AG129" s="43"/>
      <c r="AH129" s="43">
        <f t="shared" si="3"/>
        <v>1067131</v>
      </c>
    </row>
    <row r="130" spans="1:34" s="4" customFormat="1" hidden="1" x14ac:dyDescent="0.2">
      <c r="A130" s="4">
        <v>164</v>
      </c>
      <c r="B130" s="4" t="s">
        <v>335</v>
      </c>
      <c r="D130" s="4" t="s">
        <v>51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3">
        <v>0</v>
      </c>
      <c r="Z130" s="43">
        <v>0</v>
      </c>
      <c r="AA130" s="43">
        <v>0</v>
      </c>
      <c r="AB130" s="43">
        <v>0</v>
      </c>
      <c r="AC130" s="43">
        <v>0</v>
      </c>
      <c r="AD130" s="43">
        <v>0</v>
      </c>
      <c r="AE130" s="43">
        <v>0</v>
      </c>
      <c r="AF130" s="43">
        <v>0</v>
      </c>
      <c r="AG130" s="43"/>
      <c r="AH130" s="43">
        <f t="shared" si="3"/>
        <v>0</v>
      </c>
    </row>
    <row r="131" spans="1:34" s="4" customFormat="1" hidden="1" x14ac:dyDescent="0.2">
      <c r="A131" s="4">
        <v>115</v>
      </c>
      <c r="B131" s="4" t="s">
        <v>167</v>
      </c>
      <c r="D131" s="4" t="s">
        <v>168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43">
        <v>0</v>
      </c>
      <c r="Y131" s="43">
        <v>0</v>
      </c>
      <c r="Z131" s="43">
        <v>0</v>
      </c>
      <c r="AA131" s="43">
        <v>0</v>
      </c>
      <c r="AB131" s="43">
        <v>0</v>
      </c>
      <c r="AC131" s="43">
        <v>0</v>
      </c>
      <c r="AD131" s="43">
        <v>0</v>
      </c>
      <c r="AE131" s="43">
        <v>0</v>
      </c>
      <c r="AF131" s="43">
        <v>0</v>
      </c>
      <c r="AG131" s="43"/>
      <c r="AH131" s="43">
        <f t="shared" si="3"/>
        <v>0</v>
      </c>
    </row>
    <row r="132" spans="1:34" s="4" customFormat="1" hidden="1" x14ac:dyDescent="0.2">
      <c r="A132" s="4">
        <v>173</v>
      </c>
      <c r="B132" s="4" t="s">
        <v>334</v>
      </c>
      <c r="D132" s="4" t="s">
        <v>57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0</v>
      </c>
      <c r="S132" s="43">
        <v>0</v>
      </c>
      <c r="T132" s="43">
        <v>0</v>
      </c>
      <c r="U132" s="43">
        <v>0</v>
      </c>
      <c r="V132" s="43">
        <v>0</v>
      </c>
      <c r="W132" s="43">
        <v>0</v>
      </c>
      <c r="X132" s="43">
        <v>0</v>
      </c>
      <c r="Y132" s="43">
        <v>0</v>
      </c>
      <c r="Z132" s="43">
        <v>0</v>
      </c>
      <c r="AA132" s="43">
        <v>0</v>
      </c>
      <c r="AB132" s="43">
        <v>0</v>
      </c>
      <c r="AC132" s="43">
        <v>0</v>
      </c>
      <c r="AD132" s="43">
        <v>0</v>
      </c>
      <c r="AE132" s="43">
        <v>0</v>
      </c>
      <c r="AF132" s="43">
        <v>0</v>
      </c>
      <c r="AG132" s="43"/>
      <c r="AH132" s="43">
        <f t="shared" si="3"/>
        <v>0</v>
      </c>
    </row>
    <row r="133" spans="1:34" s="4" customFormat="1" x14ac:dyDescent="0.2">
      <c r="A133" s="4">
        <v>205</v>
      </c>
      <c r="B133" s="4" t="s">
        <v>169</v>
      </c>
      <c r="D133" s="4" t="s">
        <v>43</v>
      </c>
      <c r="F133" s="43">
        <v>73400.66</v>
      </c>
      <c r="G133" s="43">
        <v>0</v>
      </c>
      <c r="H133" s="43">
        <f>430505.67+89678.99</f>
        <v>520184.66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15388.14</v>
      </c>
      <c r="S133" s="43">
        <v>0</v>
      </c>
      <c r="T133" s="43">
        <f>4491+26698.42</f>
        <v>31189.42</v>
      </c>
      <c r="U133" s="43">
        <v>0</v>
      </c>
      <c r="V133" s="43">
        <v>2844.41</v>
      </c>
      <c r="W133" s="43">
        <v>0</v>
      </c>
      <c r="X133" s="43">
        <v>0</v>
      </c>
      <c r="Y133" s="43">
        <v>0</v>
      </c>
      <c r="Z133" s="43">
        <v>0</v>
      </c>
      <c r="AA133" s="43">
        <v>0</v>
      </c>
      <c r="AB133" s="43">
        <v>0</v>
      </c>
      <c r="AC133" s="43">
        <v>0</v>
      </c>
      <c r="AD133" s="43">
        <v>0</v>
      </c>
      <c r="AE133" s="43">
        <v>0</v>
      </c>
      <c r="AF133" s="43">
        <v>0</v>
      </c>
      <c r="AG133" s="43"/>
      <c r="AH133" s="43">
        <f t="shared" si="3"/>
        <v>643007.29</v>
      </c>
    </row>
    <row r="134" spans="1:34" s="4" customFormat="1" hidden="1" x14ac:dyDescent="0.2">
      <c r="A134" s="4">
        <v>191</v>
      </c>
      <c r="B134" s="4" t="s">
        <v>170</v>
      </c>
      <c r="D134" s="4" t="s">
        <v>171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3">
        <v>0</v>
      </c>
      <c r="Z134" s="43">
        <v>0</v>
      </c>
      <c r="AA134" s="43">
        <v>0</v>
      </c>
      <c r="AB134" s="43">
        <v>0</v>
      </c>
      <c r="AC134" s="43">
        <v>0</v>
      </c>
      <c r="AD134" s="43">
        <v>0</v>
      </c>
      <c r="AE134" s="43">
        <v>0</v>
      </c>
      <c r="AF134" s="43">
        <v>0</v>
      </c>
      <c r="AG134" s="43"/>
      <c r="AH134" s="43">
        <f t="shared" si="3"/>
        <v>0</v>
      </c>
    </row>
    <row r="135" spans="1:34" s="4" customFormat="1" hidden="1" x14ac:dyDescent="0.2">
      <c r="A135" s="4">
        <v>14</v>
      </c>
      <c r="B135" s="4" t="s">
        <v>172</v>
      </c>
      <c r="D135" s="4" t="s">
        <v>41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/>
      <c r="AH135" s="43">
        <f t="shared" si="3"/>
        <v>0</v>
      </c>
    </row>
    <row r="136" spans="1:34" s="4" customFormat="1" hidden="1" x14ac:dyDescent="0.2">
      <c r="A136" s="4">
        <v>226</v>
      </c>
      <c r="B136" s="4" t="s">
        <v>173</v>
      </c>
      <c r="D136" s="4" t="s">
        <v>54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0</v>
      </c>
      <c r="AB136" s="43">
        <v>0</v>
      </c>
      <c r="AC136" s="43">
        <v>0</v>
      </c>
      <c r="AD136" s="43">
        <v>0</v>
      </c>
      <c r="AE136" s="43">
        <v>0</v>
      </c>
      <c r="AF136" s="43">
        <v>0</v>
      </c>
      <c r="AG136" s="43"/>
      <c r="AH136" s="43">
        <f t="shared" si="3"/>
        <v>0</v>
      </c>
    </row>
    <row r="137" spans="1:34" s="4" customFormat="1" hidden="1" x14ac:dyDescent="0.2">
      <c r="A137" s="4">
        <v>124</v>
      </c>
      <c r="B137" s="4" t="s">
        <v>174</v>
      </c>
      <c r="D137" s="4" t="s">
        <v>13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  <c r="X137" s="43">
        <v>0</v>
      </c>
      <c r="Y137" s="43">
        <v>0</v>
      </c>
      <c r="Z137" s="43">
        <v>0</v>
      </c>
      <c r="AA137" s="43">
        <v>0</v>
      </c>
      <c r="AB137" s="43">
        <v>0</v>
      </c>
      <c r="AC137" s="43">
        <v>0</v>
      </c>
      <c r="AD137" s="43">
        <v>0</v>
      </c>
      <c r="AE137" s="43">
        <v>0</v>
      </c>
      <c r="AF137" s="43">
        <v>0</v>
      </c>
      <c r="AG137" s="43"/>
      <c r="AH137" s="43">
        <f t="shared" si="3"/>
        <v>0</v>
      </c>
    </row>
    <row r="138" spans="1:34" s="4" customFormat="1" x14ac:dyDescent="0.2">
      <c r="A138" s="4">
        <v>54</v>
      </c>
      <c r="B138" s="15" t="s">
        <v>429</v>
      </c>
      <c r="C138" s="15"/>
      <c r="D138" s="15" t="s">
        <v>17</v>
      </c>
      <c r="E138" s="15"/>
      <c r="F138" s="43">
        <v>0</v>
      </c>
      <c r="G138" s="43">
        <v>0</v>
      </c>
      <c r="H138" s="43">
        <v>1282857</v>
      </c>
      <c r="I138" s="43">
        <v>0</v>
      </c>
      <c r="J138" s="43">
        <v>1316372</v>
      </c>
      <c r="K138" s="43">
        <v>0</v>
      </c>
      <c r="L138" s="43">
        <v>125635</v>
      </c>
      <c r="M138" s="43">
        <v>0</v>
      </c>
      <c r="N138" s="43">
        <v>613160</v>
      </c>
      <c r="O138" s="43">
        <v>0</v>
      </c>
      <c r="P138" s="43">
        <v>332048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80108</v>
      </c>
      <c r="W138" s="43">
        <v>0</v>
      </c>
      <c r="X138" s="43">
        <v>0</v>
      </c>
      <c r="Y138" s="43">
        <v>0</v>
      </c>
      <c r="Z138" s="43">
        <v>0</v>
      </c>
      <c r="AA138" s="43">
        <v>0</v>
      </c>
      <c r="AB138" s="43">
        <v>0</v>
      </c>
      <c r="AC138" s="43">
        <v>0</v>
      </c>
      <c r="AD138" s="43">
        <v>0</v>
      </c>
      <c r="AE138" s="43">
        <v>0</v>
      </c>
      <c r="AF138" s="43">
        <v>0</v>
      </c>
      <c r="AG138" s="43"/>
      <c r="AH138" s="43">
        <f t="shared" si="3"/>
        <v>3750180</v>
      </c>
    </row>
    <row r="139" spans="1:34" s="4" customFormat="1" x14ac:dyDescent="0.2">
      <c r="A139" s="4">
        <v>25</v>
      </c>
      <c r="B139" s="4" t="s">
        <v>7</v>
      </c>
      <c r="D139" s="4" t="s">
        <v>8</v>
      </c>
      <c r="F139" s="43">
        <v>0</v>
      </c>
      <c r="G139" s="43">
        <v>0</v>
      </c>
      <c r="H139" s="43">
        <v>2191836</v>
      </c>
      <c r="I139" s="43">
        <v>0</v>
      </c>
      <c r="J139" s="43">
        <v>1719953</v>
      </c>
      <c r="K139" s="43">
        <v>0</v>
      </c>
      <c r="L139" s="43">
        <v>240037</v>
      </c>
      <c r="M139" s="43">
        <v>0</v>
      </c>
      <c r="N139" s="43">
        <v>607419</v>
      </c>
      <c r="O139" s="43">
        <v>0</v>
      </c>
      <c r="P139" s="43">
        <v>857567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292791</v>
      </c>
      <c r="W139" s="43">
        <v>0</v>
      </c>
      <c r="X139" s="43">
        <v>0</v>
      </c>
      <c r="Y139" s="43">
        <v>0</v>
      </c>
      <c r="Z139" s="43">
        <v>0</v>
      </c>
      <c r="AA139" s="43">
        <v>0</v>
      </c>
      <c r="AB139" s="43">
        <v>1200000</v>
      </c>
      <c r="AC139" s="43">
        <v>0</v>
      </c>
      <c r="AD139" s="43">
        <v>0</v>
      </c>
      <c r="AE139" s="43">
        <v>0</v>
      </c>
      <c r="AF139" s="43">
        <v>0</v>
      </c>
      <c r="AG139" s="43"/>
      <c r="AH139" s="43">
        <f t="shared" si="3"/>
        <v>7109603</v>
      </c>
    </row>
    <row r="140" spans="1:34" s="4" customFormat="1" hidden="1" x14ac:dyDescent="0.2">
      <c r="A140" s="4">
        <v>241</v>
      </c>
      <c r="B140" s="4" t="s">
        <v>175</v>
      </c>
      <c r="D140" s="4" t="s">
        <v>52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  <c r="X140" s="43">
        <v>0</v>
      </c>
      <c r="Y140" s="43">
        <v>0</v>
      </c>
      <c r="Z140" s="43">
        <v>0</v>
      </c>
      <c r="AA140" s="43">
        <v>0</v>
      </c>
      <c r="AB140" s="43">
        <v>0</v>
      </c>
      <c r="AC140" s="43">
        <v>0</v>
      </c>
      <c r="AD140" s="43">
        <v>0</v>
      </c>
      <c r="AE140" s="43">
        <v>0</v>
      </c>
      <c r="AF140" s="43">
        <v>0</v>
      </c>
      <c r="AG140" s="43"/>
      <c r="AH140" s="43">
        <f t="shared" si="3"/>
        <v>0</v>
      </c>
    </row>
    <row r="141" spans="1:34" s="4" customFormat="1" hidden="1" x14ac:dyDescent="0.2">
      <c r="A141" s="4">
        <v>41</v>
      </c>
      <c r="B141" s="4" t="s">
        <v>305</v>
      </c>
      <c r="D141" s="4" t="s">
        <v>49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43">
        <v>0</v>
      </c>
      <c r="Y141" s="43">
        <v>0</v>
      </c>
      <c r="Z141" s="43">
        <v>0</v>
      </c>
      <c r="AA141" s="43">
        <v>0</v>
      </c>
      <c r="AB141" s="43">
        <v>0</v>
      </c>
      <c r="AC141" s="43">
        <v>0</v>
      </c>
      <c r="AD141" s="43">
        <v>0</v>
      </c>
      <c r="AE141" s="43">
        <v>0</v>
      </c>
      <c r="AF141" s="43">
        <v>0</v>
      </c>
      <c r="AG141" s="43"/>
      <c r="AH141" s="43">
        <f t="shared" si="3"/>
        <v>0</v>
      </c>
    </row>
    <row r="142" spans="1:34" s="4" customFormat="1" hidden="1" x14ac:dyDescent="0.2">
      <c r="A142" s="4">
        <v>42</v>
      </c>
      <c r="B142" s="4" t="s">
        <v>176</v>
      </c>
      <c r="D142" s="4" t="s">
        <v>49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3">
        <v>0</v>
      </c>
      <c r="Z142" s="43">
        <v>0</v>
      </c>
      <c r="AA142" s="43">
        <v>0</v>
      </c>
      <c r="AB142" s="43">
        <v>0</v>
      </c>
      <c r="AC142" s="43">
        <v>0</v>
      </c>
      <c r="AD142" s="43">
        <v>0</v>
      </c>
      <c r="AE142" s="43">
        <v>0</v>
      </c>
      <c r="AF142" s="43">
        <v>0</v>
      </c>
      <c r="AG142" s="43"/>
      <c r="AH142" s="43">
        <f t="shared" si="3"/>
        <v>0</v>
      </c>
    </row>
    <row r="143" spans="1:34" s="4" customFormat="1" hidden="1" x14ac:dyDescent="0.2">
      <c r="A143" s="4">
        <v>104</v>
      </c>
      <c r="B143" s="4" t="s">
        <v>177</v>
      </c>
      <c r="D143" s="4" t="s">
        <v>58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3">
        <v>0</v>
      </c>
      <c r="Z143" s="43">
        <v>0</v>
      </c>
      <c r="AA143" s="43">
        <v>0</v>
      </c>
      <c r="AB143" s="43">
        <v>0</v>
      </c>
      <c r="AC143" s="43">
        <v>0</v>
      </c>
      <c r="AD143" s="43">
        <v>0</v>
      </c>
      <c r="AE143" s="43">
        <v>0</v>
      </c>
      <c r="AF143" s="43">
        <v>0</v>
      </c>
      <c r="AG143" s="43"/>
      <c r="AH143" s="43">
        <f t="shared" si="3"/>
        <v>0</v>
      </c>
    </row>
    <row r="144" spans="1:34" s="4" customFormat="1" x14ac:dyDescent="0.2">
      <c r="A144" s="4">
        <v>134</v>
      </c>
      <c r="B144" s="4" t="s">
        <v>558</v>
      </c>
      <c r="D144" s="4" t="s">
        <v>39</v>
      </c>
      <c r="F144" s="43">
        <v>0</v>
      </c>
      <c r="G144" s="43">
        <v>0</v>
      </c>
      <c r="H144" s="43">
        <v>1855264</v>
      </c>
      <c r="I144" s="43">
        <v>0</v>
      </c>
      <c r="J144" s="43">
        <v>866595</v>
      </c>
      <c r="K144" s="43">
        <v>0</v>
      </c>
      <c r="L144" s="43">
        <v>100673</v>
      </c>
      <c r="M144" s="43">
        <v>0</v>
      </c>
      <c r="N144" s="43">
        <v>398727</v>
      </c>
      <c r="O144" s="43">
        <v>0</v>
      </c>
      <c r="P144" s="43">
        <v>594444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619784</v>
      </c>
      <c r="W144" s="43">
        <v>0</v>
      </c>
      <c r="X144" s="43">
        <v>0</v>
      </c>
      <c r="Y144" s="43">
        <v>0</v>
      </c>
      <c r="Z144" s="43">
        <v>0</v>
      </c>
      <c r="AA144" s="43">
        <v>0</v>
      </c>
      <c r="AB144" s="43">
        <v>650017</v>
      </c>
      <c r="AC144" s="43">
        <v>0</v>
      </c>
      <c r="AD144" s="43">
        <v>0</v>
      </c>
      <c r="AE144" s="43">
        <v>0</v>
      </c>
      <c r="AF144" s="43">
        <v>0</v>
      </c>
      <c r="AG144" s="43"/>
      <c r="AH144" s="43">
        <f t="shared" si="3"/>
        <v>5085504</v>
      </c>
    </row>
    <row r="145" spans="1:34" s="4" customFormat="1" x14ac:dyDescent="0.2">
      <c r="A145" s="4">
        <v>5</v>
      </c>
      <c r="B145" s="4" t="s">
        <v>178</v>
      </c>
      <c r="D145" s="4" t="s">
        <v>95</v>
      </c>
      <c r="F145" s="43">
        <v>0</v>
      </c>
      <c r="G145" s="43">
        <v>0</v>
      </c>
      <c r="H145" s="43">
        <v>1631552</v>
      </c>
      <c r="I145" s="43">
        <v>0</v>
      </c>
      <c r="J145" s="43">
        <v>212251</v>
      </c>
      <c r="K145" s="43">
        <v>0</v>
      </c>
      <c r="L145" s="43">
        <v>14516</v>
      </c>
      <c r="M145" s="43">
        <v>0</v>
      </c>
      <c r="N145" s="43">
        <v>148113</v>
      </c>
      <c r="O145" s="43">
        <v>0</v>
      </c>
      <c r="P145" s="43">
        <v>8789</v>
      </c>
      <c r="Q145" s="43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203574</v>
      </c>
      <c r="W145" s="43">
        <v>0</v>
      </c>
      <c r="X145" s="43">
        <v>39213</v>
      </c>
      <c r="Y145" s="43">
        <v>0</v>
      </c>
      <c r="Z145" s="43">
        <v>35125</v>
      </c>
      <c r="AA145" s="43">
        <v>0</v>
      </c>
      <c r="AB145" s="43">
        <v>205800</v>
      </c>
      <c r="AC145" s="43">
        <v>0</v>
      </c>
      <c r="AD145" s="43">
        <v>0</v>
      </c>
      <c r="AE145" s="43">
        <v>0</v>
      </c>
      <c r="AF145" s="43">
        <v>0</v>
      </c>
      <c r="AG145" s="43"/>
      <c r="AH145" s="43">
        <f t="shared" si="3"/>
        <v>2498933</v>
      </c>
    </row>
    <row r="146" spans="1:34" s="4" customFormat="1" x14ac:dyDescent="0.2">
      <c r="A146" s="4">
        <v>5</v>
      </c>
      <c r="B146" s="4" t="s">
        <v>640</v>
      </c>
      <c r="D146" s="4" t="s">
        <v>95</v>
      </c>
      <c r="F146" s="43">
        <v>0</v>
      </c>
      <c r="G146" s="43">
        <v>0</v>
      </c>
      <c r="H146" s="43">
        <v>3492.23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221672.89</v>
      </c>
      <c r="O146" s="43">
        <v>0</v>
      </c>
      <c r="P146" s="43">
        <v>36934.94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  <c r="X146" s="43">
        <v>0</v>
      </c>
      <c r="Y146" s="43">
        <v>0</v>
      </c>
      <c r="Z146" s="43">
        <v>0</v>
      </c>
      <c r="AA146" s="43">
        <v>0</v>
      </c>
      <c r="AB146" s="43">
        <v>0</v>
      </c>
      <c r="AC146" s="43">
        <v>0</v>
      </c>
      <c r="AD146" s="43">
        <v>0</v>
      </c>
      <c r="AE146" s="43">
        <v>0</v>
      </c>
      <c r="AF146" s="43">
        <v>0</v>
      </c>
      <c r="AG146" s="43"/>
      <c r="AH146" s="43">
        <f t="shared" ref="AH146" si="4">SUM(F146:AF146)</f>
        <v>262100.06000000003</v>
      </c>
    </row>
    <row r="147" spans="1:34" s="4" customFormat="1" x14ac:dyDescent="0.2">
      <c r="A147" s="4">
        <v>139</v>
      </c>
      <c r="B147" s="4" t="s">
        <v>643</v>
      </c>
      <c r="D147" s="4" t="s">
        <v>85</v>
      </c>
      <c r="F147" s="43">
        <v>0</v>
      </c>
      <c r="G147" s="43">
        <v>0</v>
      </c>
      <c r="H147" s="43">
        <v>5061</v>
      </c>
      <c r="I147" s="43">
        <v>0</v>
      </c>
      <c r="J147" s="43">
        <v>0</v>
      </c>
      <c r="K147" s="43">
        <v>0</v>
      </c>
      <c r="L147" s="43">
        <v>146188</v>
      </c>
      <c r="M147" s="43">
        <v>0</v>
      </c>
      <c r="N147" s="43">
        <v>156698</v>
      </c>
      <c r="O147" s="43">
        <v>0</v>
      </c>
      <c r="P147" s="43">
        <v>903432</v>
      </c>
      <c r="Q147" s="43">
        <v>0</v>
      </c>
      <c r="R147" s="43">
        <v>0</v>
      </c>
      <c r="S147" s="43">
        <v>0</v>
      </c>
      <c r="T147" s="43">
        <v>23623</v>
      </c>
      <c r="U147" s="43">
        <v>0</v>
      </c>
      <c r="V147" s="43">
        <v>138096</v>
      </c>
      <c r="W147" s="43">
        <v>0</v>
      </c>
      <c r="X147" s="43">
        <v>0</v>
      </c>
      <c r="Y147" s="43">
        <v>0</v>
      </c>
      <c r="Z147" s="43">
        <v>0</v>
      </c>
      <c r="AA147" s="43">
        <v>0</v>
      </c>
      <c r="AB147" s="43">
        <v>0</v>
      </c>
      <c r="AC147" s="43">
        <v>0</v>
      </c>
      <c r="AD147" s="43">
        <v>0</v>
      </c>
      <c r="AE147" s="43">
        <v>0</v>
      </c>
      <c r="AF147" s="43">
        <v>0</v>
      </c>
      <c r="AG147" s="43"/>
      <c r="AH147" s="43">
        <f t="shared" si="3"/>
        <v>1373098</v>
      </c>
    </row>
    <row r="148" spans="1:34" s="4" customFormat="1" x14ac:dyDescent="0.2">
      <c r="A148" s="4">
        <v>108</v>
      </c>
      <c r="B148" s="4" t="s">
        <v>559</v>
      </c>
      <c r="D148" s="4" t="s">
        <v>179</v>
      </c>
      <c r="F148" s="43">
        <v>0</v>
      </c>
      <c r="G148" s="43">
        <v>0</v>
      </c>
      <c r="H148" s="43">
        <v>0</v>
      </c>
      <c r="I148" s="43">
        <v>0</v>
      </c>
      <c r="J148" s="43">
        <v>134735</v>
      </c>
      <c r="K148" s="43">
        <v>0</v>
      </c>
      <c r="L148" s="43">
        <v>11083</v>
      </c>
      <c r="M148" s="43">
        <v>0</v>
      </c>
      <c r="N148" s="43">
        <v>187816</v>
      </c>
      <c r="O148" s="43">
        <v>0</v>
      </c>
      <c r="P148" s="43">
        <v>465910</v>
      </c>
      <c r="Q148" s="43">
        <v>0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0</v>
      </c>
      <c r="X148" s="43">
        <v>0</v>
      </c>
      <c r="Y148" s="43">
        <v>0</v>
      </c>
      <c r="Z148" s="43">
        <v>0</v>
      </c>
      <c r="AA148" s="43">
        <v>0</v>
      </c>
      <c r="AB148" s="43">
        <v>0</v>
      </c>
      <c r="AC148" s="43">
        <v>0</v>
      </c>
      <c r="AD148" s="43">
        <v>0</v>
      </c>
      <c r="AE148" s="43">
        <v>0</v>
      </c>
      <c r="AF148" s="43">
        <v>0</v>
      </c>
      <c r="AG148" s="43"/>
      <c r="AH148" s="43">
        <f t="shared" si="3"/>
        <v>799544</v>
      </c>
    </row>
    <row r="149" spans="1:34" s="4" customFormat="1" x14ac:dyDescent="0.2">
      <c r="A149" s="4">
        <v>149</v>
      </c>
      <c r="B149" s="4" t="s">
        <v>9</v>
      </c>
      <c r="D149" s="4" t="s">
        <v>10</v>
      </c>
      <c r="F149" s="43">
        <v>0</v>
      </c>
      <c r="G149" s="43">
        <v>0</v>
      </c>
      <c r="H149" s="43">
        <v>285778</v>
      </c>
      <c r="I149" s="43">
        <v>0</v>
      </c>
      <c r="J149" s="43">
        <v>109979</v>
      </c>
      <c r="K149" s="43">
        <v>0</v>
      </c>
      <c r="L149" s="43">
        <v>31316</v>
      </c>
      <c r="M149" s="43">
        <v>0</v>
      </c>
      <c r="N149" s="43">
        <v>96002</v>
      </c>
      <c r="O149" s="43">
        <v>0</v>
      </c>
      <c r="P149" s="43">
        <v>213622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54507</v>
      </c>
      <c r="W149" s="43">
        <v>0</v>
      </c>
      <c r="X149" s="43">
        <v>0</v>
      </c>
      <c r="Y149" s="43">
        <v>0</v>
      </c>
      <c r="Z149" s="43">
        <v>0</v>
      </c>
      <c r="AA149" s="43">
        <v>0</v>
      </c>
      <c r="AB149" s="43">
        <v>100000</v>
      </c>
      <c r="AC149" s="43">
        <v>0</v>
      </c>
      <c r="AD149" s="43">
        <v>0</v>
      </c>
      <c r="AE149" s="43">
        <v>0</v>
      </c>
      <c r="AF149" s="43">
        <v>0</v>
      </c>
      <c r="AG149" s="43"/>
      <c r="AH149" s="43">
        <f t="shared" si="3"/>
        <v>891204</v>
      </c>
    </row>
    <row r="150" spans="1:34" s="4" customFormat="1" x14ac:dyDescent="0.2">
      <c r="A150" s="4">
        <v>145</v>
      </c>
      <c r="B150" s="4" t="s">
        <v>180</v>
      </c>
      <c r="D150" s="4" t="s">
        <v>55</v>
      </c>
      <c r="F150" s="43">
        <v>0</v>
      </c>
      <c r="G150" s="43">
        <v>0</v>
      </c>
      <c r="H150" s="43">
        <v>6320734</v>
      </c>
      <c r="I150" s="43">
        <v>0</v>
      </c>
      <c r="J150" s="43">
        <v>1246134</v>
      </c>
      <c r="K150" s="43">
        <v>0</v>
      </c>
      <c r="L150" s="43">
        <v>0</v>
      </c>
      <c r="M150" s="43">
        <v>0</v>
      </c>
      <c r="N150" s="43">
        <v>389576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239227</v>
      </c>
      <c r="W150" s="43">
        <v>0</v>
      </c>
      <c r="X150" s="43">
        <v>0</v>
      </c>
      <c r="Y150" s="43">
        <v>0</v>
      </c>
      <c r="Z150" s="43">
        <v>0</v>
      </c>
      <c r="AA150" s="43">
        <v>0</v>
      </c>
      <c r="AB150" s="43">
        <v>0</v>
      </c>
      <c r="AC150" s="43">
        <v>0</v>
      </c>
      <c r="AD150" s="43">
        <v>0</v>
      </c>
      <c r="AE150" s="43">
        <v>0</v>
      </c>
      <c r="AF150" s="43">
        <v>1381521</v>
      </c>
      <c r="AG150" s="43"/>
      <c r="AH150" s="43">
        <f t="shared" si="3"/>
        <v>9577192</v>
      </c>
    </row>
    <row r="151" spans="1:34" s="4" customFormat="1" x14ac:dyDescent="0.2">
      <c r="A151" s="4">
        <v>7</v>
      </c>
      <c r="B151" s="4" t="s">
        <v>181</v>
      </c>
      <c r="D151" s="4" t="s">
        <v>81</v>
      </c>
      <c r="F151" s="43">
        <v>0</v>
      </c>
      <c r="G151" s="43">
        <v>0</v>
      </c>
      <c r="H151" s="43">
        <v>191419</v>
      </c>
      <c r="I151" s="43">
        <v>0</v>
      </c>
      <c r="J151" s="43">
        <v>97789</v>
      </c>
      <c r="K151" s="43">
        <v>0</v>
      </c>
      <c r="L151" s="43">
        <v>46134</v>
      </c>
      <c r="M151" s="43">
        <v>0</v>
      </c>
      <c r="N151" s="43">
        <v>70308</v>
      </c>
      <c r="O151" s="43">
        <v>0</v>
      </c>
      <c r="P151" s="43">
        <v>152575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25926</v>
      </c>
      <c r="W151" s="43">
        <v>0</v>
      </c>
      <c r="X151" s="43">
        <v>19122</v>
      </c>
      <c r="Y151" s="43">
        <v>0</v>
      </c>
      <c r="Z151" s="43">
        <v>2749</v>
      </c>
      <c r="AA151" s="43">
        <v>0</v>
      </c>
      <c r="AB151" s="43">
        <v>0</v>
      </c>
      <c r="AC151" s="43">
        <v>0</v>
      </c>
      <c r="AD151" s="43">
        <v>0</v>
      </c>
      <c r="AE151" s="43">
        <v>0</v>
      </c>
      <c r="AF151" s="43">
        <v>0</v>
      </c>
      <c r="AG151" s="43"/>
      <c r="AH151" s="43">
        <f t="shared" si="3"/>
        <v>606022</v>
      </c>
    </row>
    <row r="152" spans="1:34" s="4" customFormat="1" hidden="1" x14ac:dyDescent="0.2">
      <c r="A152" s="4">
        <v>210</v>
      </c>
      <c r="B152" s="4" t="s">
        <v>306</v>
      </c>
      <c r="D152" s="4" t="s">
        <v>23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3">
        <v>0</v>
      </c>
      <c r="Q152" s="43">
        <v>0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0</v>
      </c>
      <c r="X152" s="43">
        <v>0</v>
      </c>
      <c r="Y152" s="43">
        <v>0</v>
      </c>
      <c r="Z152" s="43">
        <v>0</v>
      </c>
      <c r="AA152" s="43">
        <v>0</v>
      </c>
      <c r="AB152" s="43">
        <v>0</v>
      </c>
      <c r="AC152" s="43">
        <v>0</v>
      </c>
      <c r="AD152" s="43">
        <v>0</v>
      </c>
      <c r="AE152" s="43">
        <v>0</v>
      </c>
      <c r="AF152" s="43">
        <v>0</v>
      </c>
      <c r="AG152" s="43"/>
      <c r="AH152" s="43">
        <f t="shared" si="3"/>
        <v>0</v>
      </c>
    </row>
    <row r="153" spans="1:34" s="4" customFormat="1" x14ac:dyDescent="0.2">
      <c r="A153" s="4">
        <v>125</v>
      </c>
      <c r="B153" s="4" t="s">
        <v>182</v>
      </c>
      <c r="D153" s="4" t="s">
        <v>13</v>
      </c>
      <c r="F153" s="43">
        <v>0</v>
      </c>
      <c r="G153" s="43">
        <v>0</v>
      </c>
      <c r="H153" s="43">
        <v>455172</v>
      </c>
      <c r="I153" s="43">
        <v>0</v>
      </c>
      <c r="J153" s="43">
        <v>309781</v>
      </c>
      <c r="K153" s="43">
        <v>0</v>
      </c>
      <c r="L153" s="43">
        <v>13645</v>
      </c>
      <c r="M153" s="43">
        <v>0</v>
      </c>
      <c r="N153" s="43">
        <v>143724</v>
      </c>
      <c r="O153" s="43">
        <v>0</v>
      </c>
      <c r="P153" s="43">
        <v>293433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3">
        <v>0</v>
      </c>
      <c r="X153" s="43">
        <v>0</v>
      </c>
      <c r="Y153" s="43">
        <v>0</v>
      </c>
      <c r="Z153" s="43">
        <v>0</v>
      </c>
      <c r="AA153" s="43">
        <v>0</v>
      </c>
      <c r="AB153" s="43">
        <v>0</v>
      </c>
      <c r="AC153" s="43">
        <v>0</v>
      </c>
      <c r="AD153" s="43">
        <v>0</v>
      </c>
      <c r="AE153" s="43">
        <v>0</v>
      </c>
      <c r="AF153" s="43">
        <v>0</v>
      </c>
      <c r="AG153" s="43"/>
      <c r="AH153" s="43">
        <f t="shared" si="3"/>
        <v>1215755</v>
      </c>
    </row>
    <row r="154" spans="1:34" s="4" customFormat="1" x14ac:dyDescent="0.2">
      <c r="A154" s="4">
        <v>197</v>
      </c>
      <c r="B154" s="4" t="s">
        <v>586</v>
      </c>
      <c r="D154" s="4" t="s">
        <v>183</v>
      </c>
      <c r="F154" s="43">
        <v>0</v>
      </c>
      <c r="G154" s="43">
        <v>0</v>
      </c>
      <c r="H154" s="43">
        <v>4059245</v>
      </c>
      <c r="I154" s="43">
        <v>0</v>
      </c>
      <c r="J154" s="43">
        <v>1435100</v>
      </c>
      <c r="K154" s="43">
        <v>0</v>
      </c>
      <c r="L154" s="43">
        <v>365797</v>
      </c>
      <c r="M154" s="43">
        <v>0</v>
      </c>
      <c r="N154" s="43">
        <v>754998</v>
      </c>
      <c r="O154" s="43">
        <v>0</v>
      </c>
      <c r="P154" s="43">
        <v>689979</v>
      </c>
      <c r="Q154" s="43">
        <v>0</v>
      </c>
      <c r="R154" s="43">
        <v>0</v>
      </c>
      <c r="S154" s="43">
        <v>0</v>
      </c>
      <c r="T154" s="43">
        <v>0</v>
      </c>
      <c r="U154" s="43">
        <v>0</v>
      </c>
      <c r="V154" s="43">
        <v>91590</v>
      </c>
      <c r="W154" s="43">
        <v>0</v>
      </c>
      <c r="X154" s="43">
        <v>0</v>
      </c>
      <c r="Y154" s="43">
        <v>0</v>
      </c>
      <c r="Z154" s="43">
        <v>0</v>
      </c>
      <c r="AA154" s="43">
        <v>0</v>
      </c>
      <c r="AB154" s="43">
        <v>235000</v>
      </c>
      <c r="AC154" s="43">
        <v>0</v>
      </c>
      <c r="AD154" s="43">
        <v>0</v>
      </c>
      <c r="AE154" s="43">
        <v>0</v>
      </c>
      <c r="AF154" s="43">
        <v>0</v>
      </c>
      <c r="AG154" s="43"/>
      <c r="AH154" s="43">
        <f t="shared" si="3"/>
        <v>7631709</v>
      </c>
    </row>
    <row r="155" spans="1:34" s="4" customFormat="1" hidden="1" x14ac:dyDescent="0.2">
      <c r="A155" s="4">
        <v>195</v>
      </c>
      <c r="B155" s="4" t="s">
        <v>184</v>
      </c>
      <c r="D155" s="4" t="s">
        <v>100</v>
      </c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>
        <f t="shared" si="3"/>
        <v>0</v>
      </c>
    </row>
    <row r="156" spans="1:34" s="4" customFormat="1" x14ac:dyDescent="0.2">
      <c r="A156" s="4">
        <v>154</v>
      </c>
      <c r="B156" s="3" t="s">
        <v>185</v>
      </c>
      <c r="C156" s="3"/>
      <c r="D156" s="3" t="s">
        <v>186</v>
      </c>
      <c r="E156" s="3"/>
      <c r="F156" s="43">
        <v>0</v>
      </c>
      <c r="G156" s="43">
        <v>0</v>
      </c>
      <c r="H156" s="43">
        <f>1726505+222723+131279</f>
        <v>2080507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3">
        <v>0</v>
      </c>
      <c r="Z156" s="43">
        <v>0</v>
      </c>
      <c r="AA156" s="43">
        <v>0</v>
      </c>
      <c r="AB156" s="43">
        <v>0</v>
      </c>
      <c r="AC156" s="43">
        <v>0</v>
      </c>
      <c r="AD156" s="43">
        <v>0</v>
      </c>
      <c r="AE156" s="43">
        <v>0</v>
      </c>
      <c r="AF156" s="43">
        <v>0</v>
      </c>
      <c r="AG156" s="43"/>
      <c r="AH156" s="43">
        <f t="shared" ref="AH156:AH198" si="5">SUM(F156:AF156)</f>
        <v>2080507</v>
      </c>
    </row>
    <row r="157" spans="1:34" s="4" customFormat="1" hidden="1" x14ac:dyDescent="0.2">
      <c r="A157" s="4">
        <v>21</v>
      </c>
      <c r="B157" s="4" t="s">
        <v>422</v>
      </c>
      <c r="D157" s="4" t="s">
        <v>11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3">
        <v>0</v>
      </c>
      <c r="Z157" s="43">
        <v>0</v>
      </c>
      <c r="AA157" s="43">
        <v>0</v>
      </c>
      <c r="AB157" s="43">
        <v>0</v>
      </c>
      <c r="AC157" s="43">
        <v>0</v>
      </c>
      <c r="AD157" s="43">
        <v>0</v>
      </c>
      <c r="AE157" s="43">
        <v>0</v>
      </c>
      <c r="AF157" s="43">
        <v>0</v>
      </c>
      <c r="AG157" s="43"/>
      <c r="AH157" s="43">
        <f t="shared" si="5"/>
        <v>0</v>
      </c>
    </row>
    <row r="158" spans="1:34" s="4" customFormat="1" hidden="1" x14ac:dyDescent="0.2">
      <c r="A158" s="4">
        <v>198</v>
      </c>
      <c r="B158" s="4" t="s">
        <v>187</v>
      </c>
      <c r="D158" s="4" t="s">
        <v>183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0</v>
      </c>
      <c r="Z158" s="43">
        <v>0</v>
      </c>
      <c r="AA158" s="43">
        <v>0</v>
      </c>
      <c r="AB158" s="43">
        <v>0</v>
      </c>
      <c r="AC158" s="43">
        <v>0</v>
      </c>
      <c r="AD158" s="43">
        <v>0</v>
      </c>
      <c r="AE158" s="43">
        <v>0</v>
      </c>
      <c r="AF158" s="43">
        <v>0</v>
      </c>
      <c r="AG158" s="43"/>
      <c r="AH158" s="43">
        <f t="shared" si="5"/>
        <v>0</v>
      </c>
    </row>
    <row r="159" spans="1:34" s="4" customFormat="1" hidden="1" x14ac:dyDescent="0.2">
      <c r="A159" s="4">
        <v>242</v>
      </c>
      <c r="B159" s="4" t="s">
        <v>188</v>
      </c>
      <c r="D159" s="4" t="s">
        <v>52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0</v>
      </c>
      <c r="V159" s="43">
        <v>0</v>
      </c>
      <c r="W159" s="43">
        <v>0</v>
      </c>
      <c r="X159" s="43">
        <v>0</v>
      </c>
      <c r="Y159" s="43">
        <v>0</v>
      </c>
      <c r="Z159" s="43">
        <v>0</v>
      </c>
      <c r="AA159" s="43">
        <v>0</v>
      </c>
      <c r="AB159" s="43">
        <v>0</v>
      </c>
      <c r="AC159" s="43">
        <v>0</v>
      </c>
      <c r="AD159" s="43">
        <v>0</v>
      </c>
      <c r="AE159" s="43">
        <v>0</v>
      </c>
      <c r="AF159" s="43">
        <v>0</v>
      </c>
      <c r="AG159" s="43"/>
      <c r="AH159" s="43">
        <f t="shared" si="5"/>
        <v>0</v>
      </c>
    </row>
    <row r="160" spans="1:34" s="4" customFormat="1" hidden="1" x14ac:dyDescent="0.2">
      <c r="A160" s="4">
        <v>99</v>
      </c>
      <c r="B160" s="4" t="s">
        <v>189</v>
      </c>
      <c r="D160" s="4" t="s">
        <v>59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0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43">
        <v>0</v>
      </c>
      <c r="AA160" s="43">
        <v>0</v>
      </c>
      <c r="AB160" s="43">
        <v>0</v>
      </c>
      <c r="AC160" s="43">
        <v>0</v>
      </c>
      <c r="AD160" s="43">
        <v>0</v>
      </c>
      <c r="AE160" s="43">
        <v>0</v>
      </c>
      <c r="AF160" s="43">
        <v>0</v>
      </c>
      <c r="AG160" s="43"/>
      <c r="AH160" s="43">
        <f t="shared" si="5"/>
        <v>0</v>
      </c>
    </row>
    <row r="161" spans="1:34" s="4" customFormat="1" x14ac:dyDescent="0.2">
      <c r="A161" s="4">
        <v>237</v>
      </c>
      <c r="B161" s="4" t="s">
        <v>190</v>
      </c>
      <c r="D161" s="4" t="s">
        <v>191</v>
      </c>
      <c r="F161" s="43">
        <v>0</v>
      </c>
      <c r="G161" s="43">
        <v>0</v>
      </c>
      <c r="H161" s="43">
        <v>656694</v>
      </c>
      <c r="I161" s="43">
        <v>0</v>
      </c>
      <c r="J161" s="43">
        <v>448938</v>
      </c>
      <c r="K161" s="43">
        <v>0</v>
      </c>
      <c r="L161" s="43">
        <v>39990</v>
      </c>
      <c r="M161" s="43">
        <v>0</v>
      </c>
      <c r="N161" s="43">
        <v>134224</v>
      </c>
      <c r="O161" s="43">
        <v>0</v>
      </c>
      <c r="P161" s="43">
        <v>223833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204604</v>
      </c>
      <c r="W161" s="43">
        <v>0</v>
      </c>
      <c r="X161" s="43">
        <v>0</v>
      </c>
      <c r="Y161" s="43">
        <v>0</v>
      </c>
      <c r="Z161" s="43">
        <v>0</v>
      </c>
      <c r="AA161" s="43">
        <v>0</v>
      </c>
      <c r="AB161" s="43">
        <v>0</v>
      </c>
      <c r="AC161" s="43">
        <v>0</v>
      </c>
      <c r="AD161" s="43">
        <v>0</v>
      </c>
      <c r="AE161" s="43">
        <v>0</v>
      </c>
      <c r="AF161" s="43">
        <v>0</v>
      </c>
      <c r="AG161" s="43"/>
      <c r="AH161" s="43">
        <f t="shared" si="5"/>
        <v>1708283</v>
      </c>
    </row>
    <row r="162" spans="1:34" s="4" customFormat="1" hidden="1" x14ac:dyDescent="0.2">
      <c r="A162" s="4">
        <v>243</v>
      </c>
      <c r="B162" s="4" t="s">
        <v>192</v>
      </c>
      <c r="D162" s="4" t="s">
        <v>52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3">
        <v>0</v>
      </c>
      <c r="R162" s="43">
        <v>0</v>
      </c>
      <c r="S162" s="43">
        <v>0</v>
      </c>
      <c r="T162" s="43">
        <v>0</v>
      </c>
      <c r="U162" s="43">
        <v>0</v>
      </c>
      <c r="V162" s="43">
        <v>0</v>
      </c>
      <c r="W162" s="43">
        <v>0</v>
      </c>
      <c r="X162" s="43">
        <v>0</v>
      </c>
      <c r="Y162" s="43">
        <v>0</v>
      </c>
      <c r="Z162" s="43">
        <v>0</v>
      </c>
      <c r="AA162" s="43">
        <v>0</v>
      </c>
      <c r="AB162" s="43">
        <v>0</v>
      </c>
      <c r="AC162" s="43">
        <v>0</v>
      </c>
      <c r="AD162" s="43">
        <v>0</v>
      </c>
      <c r="AE162" s="43">
        <v>0</v>
      </c>
      <c r="AF162" s="43">
        <v>0</v>
      </c>
      <c r="AG162" s="43"/>
      <c r="AH162" s="43">
        <f t="shared" si="5"/>
        <v>0</v>
      </c>
    </row>
    <row r="163" spans="1:34" s="4" customFormat="1" x14ac:dyDescent="0.2">
      <c r="A163" s="4">
        <v>211</v>
      </c>
      <c r="B163" s="4" t="s">
        <v>193</v>
      </c>
      <c r="D163" s="4" t="s">
        <v>23</v>
      </c>
      <c r="F163" s="43">
        <v>0</v>
      </c>
      <c r="G163" s="43">
        <v>0</v>
      </c>
      <c r="H163" s="43">
        <v>2259092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31101</v>
      </c>
      <c r="W163" s="43">
        <v>0</v>
      </c>
      <c r="X163" s="43">
        <v>0</v>
      </c>
      <c r="Y163" s="43">
        <v>0</v>
      </c>
      <c r="Z163" s="43">
        <v>0</v>
      </c>
      <c r="AA163" s="43">
        <v>0</v>
      </c>
      <c r="AB163" s="43">
        <v>30000</v>
      </c>
      <c r="AC163" s="43">
        <v>0</v>
      </c>
      <c r="AD163" s="43">
        <v>0</v>
      </c>
      <c r="AE163" s="43">
        <v>0</v>
      </c>
      <c r="AF163" s="43">
        <v>0</v>
      </c>
      <c r="AG163" s="43"/>
      <c r="AH163" s="43">
        <f t="shared" si="5"/>
        <v>2320193</v>
      </c>
    </row>
    <row r="164" spans="1:34" s="4" customFormat="1" hidden="1" x14ac:dyDescent="0.2">
      <c r="A164" s="4">
        <v>94</v>
      </c>
      <c r="B164" s="4" t="s">
        <v>336</v>
      </c>
      <c r="D164" s="4" t="s">
        <v>137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3">
        <v>0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3">
        <v>0</v>
      </c>
      <c r="Z164" s="43">
        <v>0</v>
      </c>
      <c r="AA164" s="43">
        <v>0</v>
      </c>
      <c r="AB164" s="43">
        <v>0</v>
      </c>
      <c r="AC164" s="43">
        <v>0</v>
      </c>
      <c r="AD164" s="43">
        <v>0</v>
      </c>
      <c r="AE164" s="43">
        <v>0</v>
      </c>
      <c r="AF164" s="43">
        <v>0</v>
      </c>
      <c r="AG164" s="43"/>
      <c r="AH164" s="43">
        <f t="shared" si="5"/>
        <v>0</v>
      </c>
    </row>
    <row r="165" spans="1:34" s="4" customFormat="1" x14ac:dyDescent="0.2">
      <c r="A165" s="4">
        <v>227</v>
      </c>
      <c r="B165" s="4" t="s">
        <v>431</v>
      </c>
      <c r="D165" s="4" t="s">
        <v>54</v>
      </c>
      <c r="F165" s="43">
        <v>0</v>
      </c>
      <c r="G165" s="43">
        <v>0</v>
      </c>
      <c r="H165" s="43">
        <v>119236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104239</v>
      </c>
      <c r="W165" s="43">
        <v>0</v>
      </c>
      <c r="X165" s="43">
        <v>0</v>
      </c>
      <c r="Y165" s="43">
        <v>0</v>
      </c>
      <c r="Z165" s="43">
        <v>0</v>
      </c>
      <c r="AA165" s="43">
        <v>0</v>
      </c>
      <c r="AB165" s="43">
        <v>0</v>
      </c>
      <c r="AC165" s="43">
        <v>0</v>
      </c>
      <c r="AD165" s="43">
        <v>38782</v>
      </c>
      <c r="AE165" s="43">
        <v>0</v>
      </c>
      <c r="AF165" s="43">
        <v>0</v>
      </c>
      <c r="AG165" s="43"/>
      <c r="AH165" s="43">
        <f t="shared" si="5"/>
        <v>262257</v>
      </c>
    </row>
    <row r="166" spans="1:34" s="4" customFormat="1" hidden="1" x14ac:dyDescent="0.2">
      <c r="A166" s="4">
        <v>29</v>
      </c>
      <c r="B166" s="4" t="s">
        <v>194</v>
      </c>
      <c r="D166" s="4" t="s">
        <v>60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0</v>
      </c>
      <c r="S166" s="43">
        <v>0</v>
      </c>
      <c r="T166" s="43">
        <v>0</v>
      </c>
      <c r="U166" s="43">
        <v>0</v>
      </c>
      <c r="V166" s="43">
        <v>0</v>
      </c>
      <c r="W166" s="43">
        <v>0</v>
      </c>
      <c r="X166" s="43">
        <v>0</v>
      </c>
      <c r="Y166" s="43">
        <v>0</v>
      </c>
      <c r="Z166" s="43">
        <v>0</v>
      </c>
      <c r="AA166" s="43">
        <v>0</v>
      </c>
      <c r="AB166" s="43">
        <v>0</v>
      </c>
      <c r="AC166" s="43">
        <v>0</v>
      </c>
      <c r="AD166" s="43">
        <v>0</v>
      </c>
      <c r="AE166" s="43">
        <v>0</v>
      </c>
      <c r="AF166" s="43">
        <v>0</v>
      </c>
      <c r="AG166" s="43"/>
      <c r="AH166" s="43">
        <f t="shared" si="5"/>
        <v>0</v>
      </c>
    </row>
    <row r="167" spans="1:34" s="4" customFormat="1" x14ac:dyDescent="0.2">
      <c r="A167" s="4">
        <v>156</v>
      </c>
      <c r="B167" s="4" t="s">
        <v>587</v>
      </c>
      <c r="D167" s="4" t="s">
        <v>18</v>
      </c>
      <c r="F167" s="43">
        <v>0</v>
      </c>
      <c r="G167" s="43">
        <v>0</v>
      </c>
      <c r="H167" s="43">
        <v>3415408</v>
      </c>
      <c r="I167" s="43">
        <v>0</v>
      </c>
      <c r="J167" s="43">
        <v>1656156</v>
      </c>
      <c r="K167" s="43">
        <v>0</v>
      </c>
      <c r="L167" s="43">
        <v>233939</v>
      </c>
      <c r="M167" s="43">
        <v>0</v>
      </c>
      <c r="N167" s="43">
        <v>953832</v>
      </c>
      <c r="O167" s="43">
        <v>0</v>
      </c>
      <c r="P167" s="43">
        <v>1396322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424844</v>
      </c>
      <c r="W167" s="43">
        <v>0</v>
      </c>
      <c r="X167" s="43">
        <v>2015000</v>
      </c>
      <c r="Y167" s="43">
        <v>0</v>
      </c>
      <c r="Z167" s="43">
        <v>1054661</v>
      </c>
      <c r="AA167" s="43">
        <v>0</v>
      </c>
      <c r="AB167" s="43">
        <v>0</v>
      </c>
      <c r="AC167" s="43">
        <v>0</v>
      </c>
      <c r="AD167" s="43">
        <v>0</v>
      </c>
      <c r="AE167" s="43">
        <v>0</v>
      </c>
      <c r="AF167" s="43">
        <v>0</v>
      </c>
      <c r="AG167" s="43"/>
      <c r="AH167" s="43">
        <f t="shared" si="5"/>
        <v>11150162</v>
      </c>
    </row>
    <row r="168" spans="1:34" s="4" customFormat="1" hidden="1" x14ac:dyDescent="0.2">
      <c r="A168" s="4">
        <v>157</v>
      </c>
      <c r="B168" s="4" t="s">
        <v>481</v>
      </c>
      <c r="D168" s="4" t="s">
        <v>424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43">
        <v>0</v>
      </c>
      <c r="Y168" s="43">
        <v>0</v>
      </c>
      <c r="Z168" s="43">
        <v>0</v>
      </c>
      <c r="AA168" s="43">
        <v>0</v>
      </c>
      <c r="AB168" s="43">
        <v>0</v>
      </c>
      <c r="AC168" s="43">
        <v>0</v>
      </c>
      <c r="AD168" s="43">
        <v>0</v>
      </c>
      <c r="AE168" s="43">
        <v>0</v>
      </c>
      <c r="AF168" s="43">
        <v>0</v>
      </c>
      <c r="AG168" s="43"/>
      <c r="AH168" s="43">
        <f t="shared" si="5"/>
        <v>0</v>
      </c>
    </row>
    <row r="169" spans="1:34" s="4" customFormat="1" x14ac:dyDescent="0.2">
      <c r="A169" s="4">
        <v>126</v>
      </c>
      <c r="B169" s="4" t="s">
        <v>12</v>
      </c>
      <c r="D169" s="4" t="s">
        <v>13</v>
      </c>
      <c r="F169" s="43">
        <v>0</v>
      </c>
      <c r="G169" s="43">
        <v>0</v>
      </c>
      <c r="H169" s="43">
        <v>1182440</v>
      </c>
      <c r="I169" s="43">
        <v>0</v>
      </c>
      <c r="J169" s="43">
        <v>874212</v>
      </c>
      <c r="K169" s="43">
        <v>0</v>
      </c>
      <c r="L169" s="43">
        <v>283977</v>
      </c>
      <c r="M169" s="43">
        <v>0</v>
      </c>
      <c r="N169" s="43">
        <v>394089</v>
      </c>
      <c r="O169" s="43">
        <v>0</v>
      </c>
      <c r="P169" s="43">
        <v>616197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226862</v>
      </c>
      <c r="W169" s="43">
        <v>0</v>
      </c>
      <c r="X169" s="43">
        <v>67500</v>
      </c>
      <c r="Y169" s="43">
        <v>0</v>
      </c>
      <c r="Z169" s="43">
        <v>14069</v>
      </c>
      <c r="AA169" s="43">
        <v>0</v>
      </c>
      <c r="AB169" s="43">
        <v>277425</v>
      </c>
      <c r="AC169" s="43"/>
      <c r="AD169" s="43">
        <v>0</v>
      </c>
      <c r="AE169" s="43">
        <v>0</v>
      </c>
      <c r="AF169" s="43">
        <v>0</v>
      </c>
      <c r="AG169" s="43"/>
      <c r="AH169" s="43">
        <f t="shared" si="5"/>
        <v>3936771</v>
      </c>
    </row>
    <row r="170" spans="1:34" s="4" customFormat="1" hidden="1" x14ac:dyDescent="0.2">
      <c r="A170" s="4">
        <v>160</v>
      </c>
      <c r="B170" s="4" t="s">
        <v>588</v>
      </c>
      <c r="D170" s="4" t="s">
        <v>48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3">
        <v>0</v>
      </c>
      <c r="Q170" s="43">
        <v>0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43">
        <v>0</v>
      </c>
      <c r="Y170" s="43">
        <v>0</v>
      </c>
      <c r="Z170" s="43">
        <v>0</v>
      </c>
      <c r="AA170" s="43">
        <v>0</v>
      </c>
      <c r="AB170" s="43">
        <v>0</v>
      </c>
      <c r="AC170" s="43">
        <v>0</v>
      </c>
      <c r="AD170" s="43">
        <v>0</v>
      </c>
      <c r="AE170" s="43">
        <v>0</v>
      </c>
      <c r="AF170" s="43">
        <v>0</v>
      </c>
      <c r="AG170" s="43"/>
      <c r="AH170" s="43">
        <f t="shared" si="5"/>
        <v>0</v>
      </c>
    </row>
    <row r="171" spans="1:34" s="4" customFormat="1" hidden="1" x14ac:dyDescent="0.2">
      <c r="A171" s="4">
        <v>26</v>
      </c>
      <c r="B171" s="4" t="s">
        <v>195</v>
      </c>
      <c r="D171" s="4" t="s">
        <v>8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3">
        <v>0</v>
      </c>
      <c r="Z171" s="43">
        <v>0</v>
      </c>
      <c r="AA171" s="43">
        <v>0</v>
      </c>
      <c r="AB171" s="43">
        <v>0</v>
      </c>
      <c r="AC171" s="43">
        <v>0</v>
      </c>
      <c r="AD171" s="43">
        <v>0</v>
      </c>
      <c r="AE171" s="43">
        <v>0</v>
      </c>
      <c r="AF171" s="43">
        <v>0</v>
      </c>
      <c r="AG171" s="43"/>
      <c r="AH171" s="43">
        <f t="shared" si="5"/>
        <v>0</v>
      </c>
    </row>
    <row r="172" spans="1:34" s="4" customFormat="1" x14ac:dyDescent="0.2">
      <c r="A172" s="4">
        <v>126</v>
      </c>
      <c r="B172" s="4" t="s">
        <v>653</v>
      </c>
      <c r="D172" s="4" t="s">
        <v>8</v>
      </c>
      <c r="F172" s="43">
        <v>0</v>
      </c>
      <c r="G172" s="43">
        <v>0</v>
      </c>
      <c r="H172" s="43">
        <v>2214195</v>
      </c>
      <c r="I172" s="43">
        <v>0</v>
      </c>
      <c r="J172" s="43">
        <v>1656985</v>
      </c>
      <c r="K172" s="43">
        <v>0</v>
      </c>
      <c r="L172" s="43">
        <v>155341</v>
      </c>
      <c r="M172" s="43">
        <v>0</v>
      </c>
      <c r="N172" s="43">
        <v>754328</v>
      </c>
      <c r="O172" s="43">
        <v>0</v>
      </c>
      <c r="P172" s="43">
        <v>862935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855935</v>
      </c>
      <c r="W172" s="43">
        <v>0</v>
      </c>
      <c r="X172" s="43">
        <v>0</v>
      </c>
      <c r="Y172" s="43">
        <v>0</v>
      </c>
      <c r="Z172" s="43">
        <v>0</v>
      </c>
      <c r="AA172" s="43">
        <v>0</v>
      </c>
      <c r="AB172" s="43">
        <v>1500000</v>
      </c>
      <c r="AC172" s="43"/>
      <c r="AD172" s="43">
        <v>0</v>
      </c>
      <c r="AE172" s="43">
        <v>0</v>
      </c>
      <c r="AF172" s="43">
        <v>0</v>
      </c>
      <c r="AG172" s="43"/>
      <c r="AH172" s="43">
        <f t="shared" ref="AH172" si="6">SUM(F172:AF172)</f>
        <v>7999719</v>
      </c>
    </row>
    <row r="173" spans="1:34" s="4" customFormat="1" hidden="1" x14ac:dyDescent="0.2">
      <c r="A173" s="4">
        <v>67</v>
      </c>
      <c r="B173" s="4" t="s">
        <v>196</v>
      </c>
      <c r="D173" s="4" t="s">
        <v>165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43">
        <v>0</v>
      </c>
      <c r="Y173" s="43">
        <v>0</v>
      </c>
      <c r="Z173" s="43">
        <v>0</v>
      </c>
      <c r="AA173" s="43">
        <v>0</v>
      </c>
      <c r="AB173" s="43">
        <v>0</v>
      </c>
      <c r="AC173" s="43">
        <v>0</v>
      </c>
      <c r="AD173" s="43">
        <v>0</v>
      </c>
      <c r="AE173" s="43">
        <v>0</v>
      </c>
      <c r="AF173" s="43">
        <v>0</v>
      </c>
      <c r="AG173" s="43"/>
      <c r="AH173" s="43">
        <f t="shared" si="5"/>
        <v>0</v>
      </c>
    </row>
    <row r="174" spans="1:34" s="4" customFormat="1" hidden="1" x14ac:dyDescent="0.2">
      <c r="A174" s="4">
        <v>165</v>
      </c>
      <c r="B174" s="4" t="s">
        <v>197</v>
      </c>
      <c r="D174" s="4" t="s">
        <v>51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43">
        <v>0</v>
      </c>
      <c r="Y174" s="43">
        <v>0</v>
      </c>
      <c r="Z174" s="43">
        <v>0</v>
      </c>
      <c r="AA174" s="43">
        <v>0</v>
      </c>
      <c r="AB174" s="43">
        <v>0</v>
      </c>
      <c r="AC174" s="43">
        <v>0</v>
      </c>
      <c r="AD174" s="43">
        <v>0</v>
      </c>
      <c r="AE174" s="43">
        <v>0</v>
      </c>
      <c r="AF174" s="43">
        <v>0</v>
      </c>
      <c r="AG174" s="43"/>
      <c r="AH174" s="43">
        <f t="shared" si="5"/>
        <v>0</v>
      </c>
    </row>
    <row r="175" spans="1:34" s="4" customFormat="1" hidden="1" x14ac:dyDescent="0.2">
      <c r="A175" s="4">
        <v>212</v>
      </c>
      <c r="B175" s="4" t="s">
        <v>198</v>
      </c>
      <c r="D175" s="4" t="s">
        <v>23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3">
        <v>0</v>
      </c>
      <c r="Z175" s="43">
        <v>0</v>
      </c>
      <c r="AA175" s="43">
        <v>0</v>
      </c>
      <c r="AB175" s="43">
        <v>0</v>
      </c>
      <c r="AC175" s="43">
        <v>0</v>
      </c>
      <c r="AD175" s="43">
        <v>0</v>
      </c>
      <c r="AE175" s="43">
        <v>0</v>
      </c>
      <c r="AF175" s="43">
        <v>0</v>
      </c>
      <c r="AG175" s="43"/>
      <c r="AH175" s="43">
        <f t="shared" si="5"/>
        <v>0</v>
      </c>
    </row>
    <row r="176" spans="1:34" s="4" customFormat="1" hidden="1" x14ac:dyDescent="0.2">
      <c r="A176" s="4">
        <v>259</v>
      </c>
      <c r="B176" s="4" t="s">
        <v>307</v>
      </c>
      <c r="D176" s="4" t="s">
        <v>61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0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3">
        <v>0</v>
      </c>
      <c r="Z176" s="43">
        <v>0</v>
      </c>
      <c r="AA176" s="43">
        <v>0</v>
      </c>
      <c r="AB176" s="43">
        <v>0</v>
      </c>
      <c r="AC176" s="43">
        <v>0</v>
      </c>
      <c r="AD176" s="43">
        <v>0</v>
      </c>
      <c r="AE176" s="43">
        <v>0</v>
      </c>
      <c r="AF176" s="43">
        <v>0</v>
      </c>
      <c r="AG176" s="43"/>
      <c r="AH176" s="43">
        <f t="shared" si="5"/>
        <v>0</v>
      </c>
    </row>
    <row r="177" spans="1:34" s="4" customFormat="1" hidden="1" x14ac:dyDescent="0.2">
      <c r="A177" s="4">
        <v>168</v>
      </c>
      <c r="B177" s="4" t="s">
        <v>499</v>
      </c>
      <c r="D177" s="4" t="s">
        <v>62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0</v>
      </c>
      <c r="Y177" s="43">
        <v>0</v>
      </c>
      <c r="Z177" s="43">
        <v>0</v>
      </c>
      <c r="AA177" s="43">
        <v>0</v>
      </c>
      <c r="AB177" s="43">
        <v>0</v>
      </c>
      <c r="AC177" s="43">
        <v>0</v>
      </c>
      <c r="AD177" s="43">
        <v>0</v>
      </c>
      <c r="AE177" s="43">
        <v>0</v>
      </c>
      <c r="AF177" s="43">
        <v>0</v>
      </c>
      <c r="AG177" s="43"/>
      <c r="AH177" s="43">
        <f t="shared" si="5"/>
        <v>0</v>
      </c>
    </row>
    <row r="178" spans="1:34" s="4" customFormat="1" x14ac:dyDescent="0.2">
      <c r="A178" s="4">
        <v>111</v>
      </c>
      <c r="B178" s="4" t="s">
        <v>200</v>
      </c>
      <c r="D178" s="4" t="s">
        <v>87</v>
      </c>
      <c r="F178" s="43">
        <v>0</v>
      </c>
      <c r="G178" s="43">
        <v>0</v>
      </c>
      <c r="H178" s="43">
        <v>119522</v>
      </c>
      <c r="I178" s="43">
        <v>0</v>
      </c>
      <c r="J178" s="43">
        <v>0</v>
      </c>
      <c r="K178" s="43">
        <v>0</v>
      </c>
      <c r="L178" s="43">
        <v>717</v>
      </c>
      <c r="M178" s="43">
        <v>0</v>
      </c>
      <c r="N178" s="43">
        <v>23726</v>
      </c>
      <c r="O178" s="43">
        <v>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3">
        <v>0</v>
      </c>
      <c r="Z178" s="43">
        <v>0</v>
      </c>
      <c r="AA178" s="43">
        <v>0</v>
      </c>
      <c r="AB178" s="43">
        <v>0</v>
      </c>
      <c r="AC178" s="43">
        <v>0</v>
      </c>
      <c r="AD178" s="43">
        <v>0</v>
      </c>
      <c r="AE178" s="43">
        <v>0</v>
      </c>
      <c r="AF178" s="43">
        <v>0</v>
      </c>
      <c r="AG178" s="43"/>
      <c r="AH178" s="43">
        <f t="shared" si="5"/>
        <v>143965</v>
      </c>
    </row>
    <row r="179" spans="1:34" s="4" customFormat="1" x14ac:dyDescent="0.2">
      <c r="A179" s="4">
        <v>248</v>
      </c>
      <c r="B179" s="4" t="s">
        <v>201</v>
      </c>
      <c r="D179" s="4" t="s">
        <v>202</v>
      </c>
      <c r="F179" s="43">
        <v>0</v>
      </c>
      <c r="G179" s="43">
        <v>0</v>
      </c>
      <c r="H179" s="43">
        <v>1942</v>
      </c>
      <c r="I179" s="43">
        <v>0</v>
      </c>
      <c r="J179" s="43">
        <v>29588</v>
      </c>
      <c r="K179" s="43">
        <v>0</v>
      </c>
      <c r="L179" s="43">
        <v>0</v>
      </c>
      <c r="M179" s="43">
        <v>0</v>
      </c>
      <c r="N179" s="43">
        <v>36327</v>
      </c>
      <c r="O179" s="43">
        <v>0</v>
      </c>
      <c r="P179" s="43">
        <v>122341</v>
      </c>
      <c r="Q179" s="43">
        <v>0</v>
      </c>
      <c r="R179" s="43">
        <v>0</v>
      </c>
      <c r="S179" s="43">
        <v>0</v>
      </c>
      <c r="T179" s="43">
        <v>0</v>
      </c>
      <c r="U179" s="43">
        <v>0</v>
      </c>
      <c r="V179" s="43">
        <v>9079</v>
      </c>
      <c r="W179" s="43">
        <v>0</v>
      </c>
      <c r="X179" s="43">
        <v>0</v>
      </c>
      <c r="Y179" s="43">
        <v>0</v>
      </c>
      <c r="Z179" s="43">
        <v>0</v>
      </c>
      <c r="AA179" s="43">
        <v>0</v>
      </c>
      <c r="AB179" s="43">
        <v>0</v>
      </c>
      <c r="AC179" s="43">
        <v>0</v>
      </c>
      <c r="AD179" s="43">
        <v>0</v>
      </c>
      <c r="AE179" s="43">
        <v>0</v>
      </c>
      <c r="AF179" s="43">
        <v>0</v>
      </c>
      <c r="AG179" s="43"/>
      <c r="AH179" s="43">
        <f t="shared" si="5"/>
        <v>199277</v>
      </c>
    </row>
    <row r="180" spans="1:34" s="4" customFormat="1" x14ac:dyDescent="0.2"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H180" s="8" t="s">
        <v>576</v>
      </c>
    </row>
    <row r="181" spans="1:34" s="4" customFormat="1" hidden="1" x14ac:dyDescent="0.2"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4" x14ac:dyDescent="0.2">
      <c r="B182" s="3" t="s">
        <v>516</v>
      </c>
    </row>
    <row r="183" spans="1:34" x14ac:dyDescent="0.2">
      <c r="B183" s="3" t="s">
        <v>632</v>
      </c>
    </row>
    <row r="184" spans="1:34" hidden="1" x14ac:dyDescent="0.2"/>
    <row r="185" spans="1:34" s="36" customFormat="1" x14ac:dyDescent="0.2">
      <c r="B185" s="83" t="s">
        <v>5</v>
      </c>
      <c r="H185" s="36" t="s">
        <v>6</v>
      </c>
    </row>
    <row r="186" spans="1:34" s="36" customFormat="1" x14ac:dyDescent="0.2">
      <c r="F186" s="36" t="s">
        <v>319</v>
      </c>
      <c r="H186" s="36" t="s">
        <v>545</v>
      </c>
      <c r="J186" s="36" t="s">
        <v>622</v>
      </c>
      <c r="N186" s="36" t="s">
        <v>544</v>
      </c>
      <c r="Z186" s="36" t="s">
        <v>326</v>
      </c>
      <c r="AF186" s="36" t="s">
        <v>0</v>
      </c>
    </row>
    <row r="187" spans="1:34" s="36" customFormat="1" x14ac:dyDescent="0.2">
      <c r="F187" s="36" t="s">
        <v>320</v>
      </c>
      <c r="H187" s="36" t="s">
        <v>321</v>
      </c>
      <c r="J187" s="36" t="s">
        <v>623</v>
      </c>
      <c r="L187" s="36" t="s">
        <v>322</v>
      </c>
      <c r="N187" s="36" t="s">
        <v>542</v>
      </c>
      <c r="P187" s="36" t="s">
        <v>625</v>
      </c>
      <c r="V187" s="36" t="s">
        <v>28</v>
      </c>
      <c r="X187" s="36" t="s">
        <v>324</v>
      </c>
      <c r="Z187" s="36" t="s">
        <v>327</v>
      </c>
      <c r="AF187" s="36" t="s">
        <v>294</v>
      </c>
    </row>
    <row r="188" spans="1:34" s="36" customFormat="1" ht="12" customHeight="1" x14ac:dyDescent="0.2">
      <c r="A188" s="36" t="s">
        <v>563</v>
      </c>
      <c r="B188" s="37" t="s">
        <v>6</v>
      </c>
      <c r="C188" s="44"/>
      <c r="D188" s="37" t="s">
        <v>4</v>
      </c>
      <c r="E188" s="44"/>
      <c r="F188" s="37" t="s">
        <v>27</v>
      </c>
      <c r="G188" s="44"/>
      <c r="H188" s="37" t="s">
        <v>322</v>
      </c>
      <c r="I188" s="44"/>
      <c r="J188" s="37" t="s">
        <v>624</v>
      </c>
      <c r="K188" s="44"/>
      <c r="L188" s="37" t="s">
        <v>27</v>
      </c>
      <c r="M188" s="44"/>
      <c r="N188" s="37" t="s">
        <v>543</v>
      </c>
      <c r="O188" s="44"/>
      <c r="P188" s="45" t="s">
        <v>626</v>
      </c>
      <c r="Q188" s="44"/>
      <c r="R188" s="37" t="s">
        <v>2</v>
      </c>
      <c r="S188" s="44"/>
      <c r="T188" s="37" t="s">
        <v>0</v>
      </c>
      <c r="U188" s="44"/>
      <c r="V188" s="37" t="s">
        <v>323</v>
      </c>
      <c r="W188" s="44"/>
      <c r="X188" s="37" t="s">
        <v>325</v>
      </c>
      <c r="Y188" s="44"/>
      <c r="Z188" s="37" t="s">
        <v>328</v>
      </c>
      <c r="AA188" s="44"/>
      <c r="AB188" s="37" t="s">
        <v>497</v>
      </c>
      <c r="AC188" s="44"/>
      <c r="AD188" s="37" t="s">
        <v>498</v>
      </c>
      <c r="AE188" s="44"/>
      <c r="AF188" s="37" t="s">
        <v>329</v>
      </c>
      <c r="AG188" s="44"/>
      <c r="AH188" s="45" t="s">
        <v>26</v>
      </c>
    </row>
    <row r="189" spans="1:34" s="36" customFormat="1" ht="12" customHeight="1" x14ac:dyDescent="0.2"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57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57"/>
    </row>
    <row r="190" spans="1:34" s="4" customFormat="1" x14ac:dyDescent="0.2">
      <c r="A190" s="4">
        <v>127</v>
      </c>
      <c r="B190" s="42" t="s">
        <v>203</v>
      </c>
      <c r="C190" s="42"/>
      <c r="D190" s="42" t="s">
        <v>13</v>
      </c>
      <c r="E190" s="42"/>
      <c r="F190" s="90">
        <v>0</v>
      </c>
      <c r="G190" s="90">
        <v>0</v>
      </c>
      <c r="H190" s="90">
        <v>2470238</v>
      </c>
      <c r="I190" s="90">
        <v>0</v>
      </c>
      <c r="J190" s="90">
        <v>0</v>
      </c>
      <c r="K190" s="90">
        <v>0</v>
      </c>
      <c r="L190" s="90">
        <v>0</v>
      </c>
      <c r="M190" s="90">
        <v>0</v>
      </c>
      <c r="N190" s="90">
        <v>0</v>
      </c>
      <c r="O190" s="90">
        <v>0</v>
      </c>
      <c r="P190" s="90">
        <v>0</v>
      </c>
      <c r="Q190" s="90">
        <v>0</v>
      </c>
      <c r="R190" s="90">
        <v>0</v>
      </c>
      <c r="S190" s="90">
        <v>0</v>
      </c>
      <c r="T190" s="90">
        <v>0</v>
      </c>
      <c r="U190" s="90">
        <v>0</v>
      </c>
      <c r="V190" s="90">
        <v>21435</v>
      </c>
      <c r="W190" s="90">
        <v>0</v>
      </c>
      <c r="X190" s="90">
        <v>7015000</v>
      </c>
      <c r="Y190" s="90">
        <v>0</v>
      </c>
      <c r="Z190" s="90">
        <v>350197</v>
      </c>
      <c r="AA190" s="90">
        <v>0</v>
      </c>
      <c r="AB190" s="90">
        <v>6565406</v>
      </c>
      <c r="AC190" s="90">
        <v>0</v>
      </c>
      <c r="AD190" s="90">
        <v>0</v>
      </c>
      <c r="AE190" s="90">
        <v>0</v>
      </c>
      <c r="AF190" s="90">
        <v>107692</v>
      </c>
      <c r="AG190" s="90"/>
      <c r="AH190" s="90">
        <f>SUM(F190:AF190)</f>
        <v>16529968</v>
      </c>
    </row>
    <row r="191" spans="1:34" s="4" customFormat="1" hidden="1" x14ac:dyDescent="0.2">
      <c r="A191" s="4">
        <v>175</v>
      </c>
      <c r="B191" s="4" t="s">
        <v>204</v>
      </c>
      <c r="D191" s="4" t="s">
        <v>66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43">
        <v>0</v>
      </c>
      <c r="S191" s="43">
        <v>0</v>
      </c>
      <c r="T191" s="43">
        <v>0</v>
      </c>
      <c r="U191" s="43">
        <v>0</v>
      </c>
      <c r="V191" s="43">
        <v>0</v>
      </c>
      <c r="W191" s="43">
        <v>0</v>
      </c>
      <c r="X191" s="43">
        <v>0</v>
      </c>
      <c r="Y191" s="43">
        <v>0</v>
      </c>
      <c r="Z191" s="43">
        <v>0</v>
      </c>
      <c r="AA191" s="43">
        <v>0</v>
      </c>
      <c r="AB191" s="43">
        <v>0</v>
      </c>
      <c r="AC191" s="43">
        <v>0</v>
      </c>
      <c r="AD191" s="43">
        <v>0</v>
      </c>
      <c r="AE191" s="43">
        <v>0</v>
      </c>
      <c r="AF191" s="43">
        <v>0</v>
      </c>
      <c r="AG191" s="43"/>
      <c r="AH191" s="43">
        <f>SUM(F191:AF191)</f>
        <v>0</v>
      </c>
    </row>
    <row r="192" spans="1:34" s="4" customFormat="1" hidden="1" x14ac:dyDescent="0.2">
      <c r="A192" s="4">
        <v>150</v>
      </c>
      <c r="B192" s="4" t="s">
        <v>205</v>
      </c>
      <c r="D192" s="4" t="s">
        <v>10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3">
        <v>0</v>
      </c>
      <c r="Q192" s="43">
        <v>0</v>
      </c>
      <c r="R192" s="43">
        <v>0</v>
      </c>
      <c r="S192" s="43">
        <v>0</v>
      </c>
      <c r="T192" s="43">
        <v>0</v>
      </c>
      <c r="U192" s="43">
        <v>0</v>
      </c>
      <c r="V192" s="43">
        <v>0</v>
      </c>
      <c r="W192" s="43">
        <v>0</v>
      </c>
      <c r="X192" s="43">
        <v>0</v>
      </c>
      <c r="Y192" s="43">
        <v>0</v>
      </c>
      <c r="Z192" s="43">
        <v>0</v>
      </c>
      <c r="AA192" s="43">
        <v>0</v>
      </c>
      <c r="AB192" s="43">
        <v>0</v>
      </c>
      <c r="AC192" s="43">
        <v>0</v>
      </c>
      <c r="AD192" s="43">
        <v>0</v>
      </c>
      <c r="AE192" s="43">
        <v>0</v>
      </c>
      <c r="AF192" s="43">
        <v>0</v>
      </c>
      <c r="AG192" s="43"/>
      <c r="AH192" s="43">
        <f>SUM(F192:AF192)</f>
        <v>0</v>
      </c>
    </row>
    <row r="193" spans="1:34" s="4" customFormat="1" x14ac:dyDescent="0.2">
      <c r="A193" s="4">
        <v>122</v>
      </c>
      <c r="B193" s="4" t="s">
        <v>423</v>
      </c>
      <c r="D193" s="4" t="s">
        <v>14</v>
      </c>
      <c r="F193" s="43">
        <v>0</v>
      </c>
      <c r="G193" s="43">
        <v>0</v>
      </c>
      <c r="H193" s="43">
        <v>2262583</v>
      </c>
      <c r="I193" s="43">
        <v>0</v>
      </c>
      <c r="J193" s="43">
        <v>197036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401198</v>
      </c>
      <c r="W193" s="43">
        <v>0</v>
      </c>
      <c r="X193" s="43">
        <v>0</v>
      </c>
      <c r="Y193" s="43">
        <v>0</v>
      </c>
      <c r="Z193" s="43">
        <v>0</v>
      </c>
      <c r="AA193" s="43">
        <v>0</v>
      </c>
      <c r="AB193" s="43">
        <v>200000</v>
      </c>
      <c r="AC193" s="43">
        <v>0</v>
      </c>
      <c r="AD193" s="43">
        <v>0</v>
      </c>
      <c r="AE193" s="43">
        <v>0</v>
      </c>
      <c r="AF193" s="43">
        <v>0</v>
      </c>
      <c r="AG193" s="43"/>
      <c r="AH193" s="43">
        <f>SUM(F193:AF193)</f>
        <v>3060817</v>
      </c>
    </row>
    <row r="194" spans="1:34" s="4" customFormat="1" x14ac:dyDescent="0.2">
      <c r="A194" s="4">
        <v>178</v>
      </c>
      <c r="B194" s="4" t="s">
        <v>589</v>
      </c>
      <c r="D194" s="4" t="s">
        <v>207</v>
      </c>
      <c r="F194" s="88">
        <v>0</v>
      </c>
      <c r="G194" s="88">
        <v>0</v>
      </c>
      <c r="H194" s="88">
        <v>1410711</v>
      </c>
      <c r="I194" s="88">
        <v>0</v>
      </c>
      <c r="J194" s="88">
        <v>655574</v>
      </c>
      <c r="K194" s="88">
        <v>0</v>
      </c>
      <c r="L194" s="88">
        <v>119856</v>
      </c>
      <c r="M194" s="88">
        <v>0</v>
      </c>
      <c r="N194" s="88">
        <v>396444</v>
      </c>
      <c r="O194" s="88">
        <v>0</v>
      </c>
      <c r="P194" s="88">
        <v>805207</v>
      </c>
      <c r="Q194" s="88">
        <v>0</v>
      </c>
      <c r="R194" s="88">
        <v>0</v>
      </c>
      <c r="S194" s="88">
        <v>0</v>
      </c>
      <c r="T194" s="88">
        <v>0</v>
      </c>
      <c r="U194" s="88">
        <v>0</v>
      </c>
      <c r="V194" s="88">
        <v>307377</v>
      </c>
      <c r="W194" s="88">
        <v>0</v>
      </c>
      <c r="X194" s="88">
        <v>0</v>
      </c>
      <c r="Y194" s="88">
        <v>0</v>
      </c>
      <c r="Z194" s="88">
        <v>0</v>
      </c>
      <c r="AA194" s="88">
        <v>0</v>
      </c>
      <c r="AB194" s="88">
        <v>0</v>
      </c>
      <c r="AC194" s="88">
        <v>0</v>
      </c>
      <c r="AD194" s="88">
        <v>0</v>
      </c>
      <c r="AE194" s="88">
        <v>0</v>
      </c>
      <c r="AF194" s="88">
        <v>0</v>
      </c>
      <c r="AG194" s="88"/>
      <c r="AH194" s="88">
        <f t="shared" si="5"/>
        <v>3695169</v>
      </c>
    </row>
    <row r="195" spans="1:34" s="4" customFormat="1" hidden="1" x14ac:dyDescent="0.2">
      <c r="A195" s="4">
        <v>105</v>
      </c>
      <c r="B195" s="4" t="s">
        <v>330</v>
      </c>
      <c r="D195" s="4" t="s">
        <v>58</v>
      </c>
      <c r="F195" s="88">
        <v>0</v>
      </c>
      <c r="G195" s="88">
        <v>0</v>
      </c>
      <c r="H195" s="88">
        <v>0</v>
      </c>
      <c r="I195" s="88">
        <v>0</v>
      </c>
      <c r="J195" s="88">
        <v>0</v>
      </c>
      <c r="K195" s="88">
        <v>0</v>
      </c>
      <c r="L195" s="88">
        <v>0</v>
      </c>
      <c r="M195" s="88">
        <v>0</v>
      </c>
      <c r="N195" s="88">
        <v>0</v>
      </c>
      <c r="O195" s="88">
        <v>0</v>
      </c>
      <c r="P195" s="88">
        <v>0</v>
      </c>
      <c r="Q195" s="88">
        <v>0</v>
      </c>
      <c r="R195" s="88">
        <v>0</v>
      </c>
      <c r="S195" s="88">
        <v>0</v>
      </c>
      <c r="T195" s="88">
        <v>0</v>
      </c>
      <c r="U195" s="88">
        <v>0</v>
      </c>
      <c r="V195" s="88">
        <v>0</v>
      </c>
      <c r="W195" s="88">
        <v>0</v>
      </c>
      <c r="X195" s="88">
        <v>0</v>
      </c>
      <c r="Y195" s="88">
        <v>0</v>
      </c>
      <c r="Z195" s="88">
        <v>0</v>
      </c>
      <c r="AA195" s="88">
        <v>0</v>
      </c>
      <c r="AB195" s="88">
        <v>0</v>
      </c>
      <c r="AC195" s="88">
        <v>0</v>
      </c>
      <c r="AD195" s="88">
        <v>0</v>
      </c>
      <c r="AE195" s="88">
        <v>0</v>
      </c>
      <c r="AF195" s="88">
        <v>0</v>
      </c>
      <c r="AG195" s="88"/>
      <c r="AH195" s="88">
        <f t="shared" si="5"/>
        <v>0</v>
      </c>
    </row>
    <row r="196" spans="1:34" s="4" customFormat="1" hidden="1" x14ac:dyDescent="0.2">
      <c r="A196" s="4">
        <v>16</v>
      </c>
      <c r="B196" s="4" t="s">
        <v>452</v>
      </c>
      <c r="D196" s="4" t="s">
        <v>208</v>
      </c>
      <c r="F196" s="88">
        <v>0</v>
      </c>
      <c r="G196" s="88">
        <v>0</v>
      </c>
      <c r="H196" s="88">
        <v>0</v>
      </c>
      <c r="I196" s="88">
        <v>0</v>
      </c>
      <c r="J196" s="88">
        <v>0</v>
      </c>
      <c r="K196" s="88">
        <v>0</v>
      </c>
      <c r="L196" s="88">
        <v>0</v>
      </c>
      <c r="M196" s="88">
        <v>0</v>
      </c>
      <c r="N196" s="88">
        <v>0</v>
      </c>
      <c r="O196" s="88">
        <v>0</v>
      </c>
      <c r="P196" s="88">
        <v>0</v>
      </c>
      <c r="Q196" s="88">
        <v>0</v>
      </c>
      <c r="R196" s="88">
        <v>0</v>
      </c>
      <c r="S196" s="88">
        <v>0</v>
      </c>
      <c r="T196" s="88">
        <v>0</v>
      </c>
      <c r="U196" s="88">
        <v>0</v>
      </c>
      <c r="V196" s="88">
        <v>0</v>
      </c>
      <c r="W196" s="88">
        <v>0</v>
      </c>
      <c r="X196" s="88">
        <v>0</v>
      </c>
      <c r="Y196" s="88">
        <v>0</v>
      </c>
      <c r="Z196" s="88">
        <v>0</v>
      </c>
      <c r="AA196" s="88">
        <v>0</v>
      </c>
      <c r="AB196" s="88">
        <v>0</v>
      </c>
      <c r="AC196" s="88">
        <v>0</v>
      </c>
      <c r="AD196" s="88">
        <v>0</v>
      </c>
      <c r="AE196" s="88">
        <v>0</v>
      </c>
      <c r="AF196" s="88">
        <v>0</v>
      </c>
      <c r="AG196" s="88"/>
      <c r="AH196" s="88">
        <f t="shared" si="5"/>
        <v>0</v>
      </c>
    </row>
    <row r="197" spans="1:34" s="4" customFormat="1" hidden="1" x14ac:dyDescent="0.2">
      <c r="A197" s="4">
        <v>228</v>
      </c>
      <c r="B197" s="4" t="s">
        <v>432</v>
      </c>
      <c r="D197" s="4" t="s">
        <v>54</v>
      </c>
      <c r="F197" s="88">
        <v>0</v>
      </c>
      <c r="G197" s="88">
        <v>0</v>
      </c>
      <c r="H197" s="88">
        <v>0</v>
      </c>
      <c r="I197" s="88">
        <v>0</v>
      </c>
      <c r="J197" s="88">
        <v>0</v>
      </c>
      <c r="K197" s="88">
        <v>0</v>
      </c>
      <c r="L197" s="88">
        <v>0</v>
      </c>
      <c r="M197" s="88">
        <v>0</v>
      </c>
      <c r="N197" s="88">
        <v>0</v>
      </c>
      <c r="O197" s="88">
        <v>0</v>
      </c>
      <c r="P197" s="88">
        <v>0</v>
      </c>
      <c r="Q197" s="88">
        <v>0</v>
      </c>
      <c r="R197" s="88">
        <v>0</v>
      </c>
      <c r="S197" s="88">
        <v>0</v>
      </c>
      <c r="T197" s="88">
        <v>0</v>
      </c>
      <c r="U197" s="88">
        <v>0</v>
      </c>
      <c r="V197" s="88">
        <v>0</v>
      </c>
      <c r="W197" s="88">
        <v>0</v>
      </c>
      <c r="X197" s="88">
        <v>0</v>
      </c>
      <c r="Y197" s="88">
        <v>0</v>
      </c>
      <c r="Z197" s="88">
        <v>0</v>
      </c>
      <c r="AA197" s="88">
        <v>0</v>
      </c>
      <c r="AB197" s="88">
        <v>0</v>
      </c>
      <c r="AC197" s="88">
        <v>0</v>
      </c>
      <c r="AD197" s="88">
        <v>0</v>
      </c>
      <c r="AE197" s="88">
        <v>0</v>
      </c>
      <c r="AF197" s="88">
        <v>0</v>
      </c>
      <c r="AG197" s="88"/>
      <c r="AH197" s="88">
        <f t="shared" si="5"/>
        <v>0</v>
      </c>
    </row>
    <row r="198" spans="1:34" s="4" customFormat="1" hidden="1" x14ac:dyDescent="0.2">
      <c r="A198" s="4">
        <v>33</v>
      </c>
      <c r="B198" s="4" t="s">
        <v>453</v>
      </c>
      <c r="D198" s="4" t="s">
        <v>112</v>
      </c>
      <c r="F198" s="88">
        <v>0</v>
      </c>
      <c r="G198" s="88">
        <v>0</v>
      </c>
      <c r="H198" s="88">
        <v>0</v>
      </c>
      <c r="I198" s="88">
        <v>0</v>
      </c>
      <c r="J198" s="88">
        <v>0</v>
      </c>
      <c r="K198" s="88">
        <v>0</v>
      </c>
      <c r="L198" s="88">
        <v>0</v>
      </c>
      <c r="M198" s="88">
        <v>0</v>
      </c>
      <c r="N198" s="88">
        <v>0</v>
      </c>
      <c r="O198" s="88">
        <v>0</v>
      </c>
      <c r="P198" s="88">
        <v>0</v>
      </c>
      <c r="Q198" s="88">
        <v>0</v>
      </c>
      <c r="R198" s="88">
        <v>0</v>
      </c>
      <c r="S198" s="88">
        <v>0</v>
      </c>
      <c r="T198" s="88">
        <v>0</v>
      </c>
      <c r="U198" s="88">
        <v>0</v>
      </c>
      <c r="V198" s="88">
        <v>0</v>
      </c>
      <c r="W198" s="88">
        <v>0</v>
      </c>
      <c r="X198" s="88">
        <v>0</v>
      </c>
      <c r="Y198" s="88">
        <v>0</v>
      </c>
      <c r="Z198" s="88">
        <v>0</v>
      </c>
      <c r="AA198" s="88">
        <v>0</v>
      </c>
      <c r="AB198" s="88">
        <v>0</v>
      </c>
      <c r="AC198" s="88">
        <v>0</v>
      </c>
      <c r="AD198" s="88">
        <v>0</v>
      </c>
      <c r="AE198" s="88">
        <v>0</v>
      </c>
      <c r="AF198" s="88">
        <v>0</v>
      </c>
      <c r="AG198" s="88"/>
      <c r="AH198" s="88">
        <f t="shared" si="5"/>
        <v>0</v>
      </c>
    </row>
    <row r="199" spans="1:34" s="4" customFormat="1" x14ac:dyDescent="0.2">
      <c r="A199" s="4">
        <v>112</v>
      </c>
      <c r="B199" s="4" t="s">
        <v>337</v>
      </c>
      <c r="D199" s="4" t="s">
        <v>87</v>
      </c>
      <c r="F199" s="43">
        <v>18712.7</v>
      </c>
      <c r="G199" s="43">
        <v>0</v>
      </c>
      <c r="H199" s="43">
        <f>166020.53+38167.45</f>
        <v>204187.97999999998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3">
        <v>0</v>
      </c>
      <c r="Q199" s="43">
        <v>0</v>
      </c>
      <c r="R199" s="43">
        <v>3973.25</v>
      </c>
      <c r="S199" s="43">
        <v>0</v>
      </c>
      <c r="T199" s="43">
        <v>2659</v>
      </c>
      <c r="U199" s="43">
        <v>0</v>
      </c>
      <c r="V199" s="43">
        <v>29024.639999999999</v>
      </c>
      <c r="W199" s="43">
        <v>0</v>
      </c>
      <c r="X199" s="43">
        <v>0</v>
      </c>
      <c r="Y199" s="43">
        <v>0</v>
      </c>
      <c r="Z199" s="43">
        <v>0</v>
      </c>
      <c r="AA199" s="43">
        <v>0</v>
      </c>
      <c r="AB199" s="43">
        <v>12553.46</v>
      </c>
      <c r="AC199" s="43">
        <v>0</v>
      </c>
      <c r="AD199" s="43">
        <v>0</v>
      </c>
      <c r="AE199" s="43">
        <v>0</v>
      </c>
      <c r="AF199" s="43">
        <v>0</v>
      </c>
      <c r="AG199" s="43"/>
      <c r="AH199" s="43">
        <f t="shared" ref="AH199:AH233" si="7">SUM(F199:AF199)</f>
        <v>271111.03000000003</v>
      </c>
    </row>
    <row r="200" spans="1:34" s="4" customFormat="1" hidden="1" x14ac:dyDescent="0.2">
      <c r="A200" s="4">
        <v>60</v>
      </c>
      <c r="B200" s="4" t="s">
        <v>209</v>
      </c>
      <c r="D200" s="4" t="s">
        <v>79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0</v>
      </c>
      <c r="S200" s="43">
        <v>0</v>
      </c>
      <c r="T200" s="43">
        <v>0</v>
      </c>
      <c r="U200" s="43">
        <v>0</v>
      </c>
      <c r="V200" s="43">
        <v>0</v>
      </c>
      <c r="W200" s="43">
        <v>0</v>
      </c>
      <c r="X200" s="43">
        <v>0</v>
      </c>
      <c r="Y200" s="43">
        <v>0</v>
      </c>
      <c r="Z200" s="43">
        <v>0</v>
      </c>
      <c r="AA200" s="43">
        <v>0</v>
      </c>
      <c r="AB200" s="43">
        <v>0</v>
      </c>
      <c r="AC200" s="43">
        <v>0</v>
      </c>
      <c r="AD200" s="43">
        <v>0</v>
      </c>
      <c r="AE200" s="43">
        <v>0</v>
      </c>
      <c r="AF200" s="43">
        <v>0</v>
      </c>
      <c r="AG200" s="43"/>
      <c r="AH200" s="43">
        <f t="shared" si="7"/>
        <v>0</v>
      </c>
    </row>
    <row r="201" spans="1:34" s="4" customFormat="1" hidden="1" x14ac:dyDescent="0.2">
      <c r="A201" s="4">
        <v>186</v>
      </c>
      <c r="B201" s="4" t="s">
        <v>454</v>
      </c>
      <c r="D201" s="4" t="s">
        <v>64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3">
        <v>0</v>
      </c>
      <c r="Q201" s="43">
        <v>0</v>
      </c>
      <c r="R201" s="43">
        <v>0</v>
      </c>
      <c r="S201" s="43">
        <v>0</v>
      </c>
      <c r="T201" s="43">
        <v>0</v>
      </c>
      <c r="U201" s="43">
        <v>0</v>
      </c>
      <c r="V201" s="43">
        <v>0</v>
      </c>
      <c r="W201" s="43">
        <v>0</v>
      </c>
      <c r="X201" s="43">
        <v>0</v>
      </c>
      <c r="Y201" s="43">
        <v>0</v>
      </c>
      <c r="Z201" s="43">
        <v>0</v>
      </c>
      <c r="AA201" s="43">
        <v>0</v>
      </c>
      <c r="AB201" s="43">
        <v>0</v>
      </c>
      <c r="AC201" s="43">
        <v>0</v>
      </c>
      <c r="AD201" s="43">
        <v>0</v>
      </c>
      <c r="AE201" s="43">
        <v>0</v>
      </c>
      <c r="AF201" s="43">
        <v>0</v>
      </c>
      <c r="AG201" s="43"/>
      <c r="AH201" s="43">
        <f t="shared" si="7"/>
        <v>0</v>
      </c>
    </row>
    <row r="202" spans="1:34" s="4" customFormat="1" hidden="1" x14ac:dyDescent="0.2">
      <c r="A202" s="4">
        <v>235</v>
      </c>
      <c r="B202" s="4" t="s">
        <v>210</v>
      </c>
      <c r="D202" s="4" t="s">
        <v>24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43">
        <v>0</v>
      </c>
      <c r="R202" s="43">
        <v>0</v>
      </c>
      <c r="S202" s="43">
        <v>0</v>
      </c>
      <c r="T202" s="43">
        <v>0</v>
      </c>
      <c r="U202" s="43">
        <v>0</v>
      </c>
      <c r="V202" s="43">
        <v>0</v>
      </c>
      <c r="W202" s="43">
        <v>0</v>
      </c>
      <c r="X202" s="43">
        <v>0</v>
      </c>
      <c r="Y202" s="43">
        <v>0</v>
      </c>
      <c r="Z202" s="43">
        <v>0</v>
      </c>
      <c r="AA202" s="43">
        <v>0</v>
      </c>
      <c r="AB202" s="43">
        <v>0</v>
      </c>
      <c r="AC202" s="43">
        <v>0</v>
      </c>
      <c r="AD202" s="43">
        <v>0</v>
      </c>
      <c r="AE202" s="43">
        <v>0</v>
      </c>
      <c r="AF202" s="43">
        <v>0</v>
      </c>
      <c r="AG202" s="43"/>
      <c r="AH202" s="43">
        <f t="shared" si="7"/>
        <v>0</v>
      </c>
    </row>
    <row r="203" spans="1:34" s="4" customFormat="1" x14ac:dyDescent="0.2">
      <c r="A203" s="4">
        <v>229</v>
      </c>
      <c r="B203" s="4" t="s">
        <v>211</v>
      </c>
      <c r="D203" s="4" t="s">
        <v>54</v>
      </c>
      <c r="F203" s="43">
        <v>0</v>
      </c>
      <c r="G203" s="43">
        <v>0</v>
      </c>
      <c r="H203" s="43">
        <v>218613</v>
      </c>
      <c r="I203" s="43">
        <v>0</v>
      </c>
      <c r="J203" s="43">
        <v>132044</v>
      </c>
      <c r="K203" s="43">
        <v>0</v>
      </c>
      <c r="L203" s="43">
        <v>11787</v>
      </c>
      <c r="M203" s="43">
        <v>0</v>
      </c>
      <c r="N203" s="43">
        <v>101397</v>
      </c>
      <c r="O203" s="43">
        <v>0</v>
      </c>
      <c r="P203" s="43">
        <v>193520</v>
      </c>
      <c r="Q203" s="43">
        <v>0</v>
      </c>
      <c r="R203" s="43">
        <v>0</v>
      </c>
      <c r="S203" s="43">
        <v>0</v>
      </c>
      <c r="T203" s="43">
        <v>0</v>
      </c>
      <c r="U203" s="43">
        <v>0</v>
      </c>
      <c r="V203" s="43">
        <v>28733</v>
      </c>
      <c r="W203" s="43">
        <v>0</v>
      </c>
      <c r="X203" s="43">
        <v>0</v>
      </c>
      <c r="Y203" s="43">
        <v>0</v>
      </c>
      <c r="Z203" s="43">
        <v>0</v>
      </c>
      <c r="AA203" s="43">
        <v>0</v>
      </c>
      <c r="AB203" s="43">
        <v>0</v>
      </c>
      <c r="AC203" s="43">
        <v>0</v>
      </c>
      <c r="AD203" s="43">
        <v>0</v>
      </c>
      <c r="AE203" s="43">
        <v>0</v>
      </c>
      <c r="AF203" s="43">
        <v>0</v>
      </c>
      <c r="AG203" s="43"/>
      <c r="AH203" s="43">
        <f t="shared" si="7"/>
        <v>686094</v>
      </c>
    </row>
    <row r="204" spans="1:34" s="4" customFormat="1" hidden="1" x14ac:dyDescent="0.2">
      <c r="A204" s="4">
        <v>85</v>
      </c>
      <c r="B204" s="4" t="s">
        <v>214</v>
      </c>
      <c r="D204" s="4" t="s">
        <v>40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0</v>
      </c>
      <c r="S204" s="43">
        <v>0</v>
      </c>
      <c r="T204" s="43">
        <v>0</v>
      </c>
      <c r="U204" s="43">
        <v>0</v>
      </c>
      <c r="V204" s="43">
        <v>0</v>
      </c>
      <c r="W204" s="43">
        <v>0</v>
      </c>
      <c r="X204" s="43">
        <v>0</v>
      </c>
      <c r="Y204" s="43">
        <v>0</v>
      </c>
      <c r="Z204" s="43">
        <v>0</v>
      </c>
      <c r="AA204" s="43">
        <v>0</v>
      </c>
      <c r="AB204" s="43">
        <v>0</v>
      </c>
      <c r="AC204" s="43">
        <v>0</v>
      </c>
      <c r="AD204" s="43">
        <v>0</v>
      </c>
      <c r="AE204" s="43">
        <v>0</v>
      </c>
      <c r="AF204" s="43">
        <v>0</v>
      </c>
      <c r="AG204" s="43"/>
      <c r="AH204" s="43">
        <f t="shared" si="7"/>
        <v>0</v>
      </c>
    </row>
    <row r="205" spans="1:34" s="4" customFormat="1" hidden="1" x14ac:dyDescent="0.2">
      <c r="A205" s="4">
        <v>250</v>
      </c>
      <c r="B205" s="4" t="s">
        <v>215</v>
      </c>
      <c r="D205" s="4" t="s">
        <v>63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3">
        <v>0</v>
      </c>
      <c r="X205" s="43">
        <v>0</v>
      </c>
      <c r="Y205" s="43">
        <v>0</v>
      </c>
      <c r="Z205" s="43">
        <v>0</v>
      </c>
      <c r="AA205" s="43">
        <v>0</v>
      </c>
      <c r="AB205" s="43">
        <v>0</v>
      </c>
      <c r="AC205" s="43">
        <v>0</v>
      </c>
      <c r="AD205" s="43">
        <v>0</v>
      </c>
      <c r="AE205" s="43">
        <v>0</v>
      </c>
      <c r="AF205" s="43">
        <v>0</v>
      </c>
      <c r="AG205" s="43"/>
      <c r="AH205" s="43">
        <f t="shared" si="7"/>
        <v>0</v>
      </c>
    </row>
    <row r="206" spans="1:34" s="4" customFormat="1" hidden="1" x14ac:dyDescent="0.2">
      <c r="A206" s="4">
        <v>213</v>
      </c>
      <c r="B206" s="4" t="s">
        <v>216</v>
      </c>
      <c r="D206" s="4" t="s">
        <v>23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43">
        <v>0</v>
      </c>
      <c r="Z206" s="43">
        <v>0</v>
      </c>
      <c r="AA206" s="43">
        <v>0</v>
      </c>
      <c r="AB206" s="43">
        <v>0</v>
      </c>
      <c r="AC206" s="43">
        <v>0</v>
      </c>
      <c r="AD206" s="43">
        <v>0</v>
      </c>
      <c r="AE206" s="43">
        <v>0</v>
      </c>
      <c r="AF206" s="43">
        <v>0</v>
      </c>
      <c r="AG206" s="43"/>
      <c r="AH206" s="43">
        <f t="shared" si="7"/>
        <v>0</v>
      </c>
    </row>
    <row r="207" spans="1:34" s="4" customFormat="1" x14ac:dyDescent="0.2">
      <c r="B207" s="3" t="s">
        <v>603</v>
      </c>
      <c r="C207" s="3"/>
      <c r="D207" s="3" t="s">
        <v>54</v>
      </c>
      <c r="F207" s="43">
        <v>0</v>
      </c>
      <c r="G207" s="43">
        <v>0</v>
      </c>
      <c r="H207" s="43">
        <f>117212+439877</f>
        <v>557089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v>108481</v>
      </c>
      <c r="O207" s="43">
        <v>0</v>
      </c>
      <c r="P207" s="43">
        <v>398451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3">
        <v>0</v>
      </c>
      <c r="X207" s="43">
        <v>0</v>
      </c>
      <c r="Y207" s="43">
        <v>0</v>
      </c>
      <c r="Z207" s="43">
        <v>0</v>
      </c>
      <c r="AA207" s="43">
        <v>0</v>
      </c>
      <c r="AB207" s="43">
        <v>15865</v>
      </c>
      <c r="AC207" s="43">
        <v>0</v>
      </c>
      <c r="AD207" s="43">
        <v>0</v>
      </c>
      <c r="AE207" s="43">
        <v>0</v>
      </c>
      <c r="AF207" s="43">
        <v>0</v>
      </c>
      <c r="AG207" s="43"/>
      <c r="AH207" s="43">
        <f t="shared" si="7"/>
        <v>1079886</v>
      </c>
    </row>
    <row r="208" spans="1:34" s="4" customFormat="1" ht="12" customHeight="1" x14ac:dyDescent="0.2">
      <c r="A208" s="4">
        <v>251</v>
      </c>
      <c r="B208" s="4" t="s">
        <v>434</v>
      </c>
      <c r="D208" s="4" t="s">
        <v>63</v>
      </c>
      <c r="F208" s="43">
        <v>0</v>
      </c>
      <c r="G208" s="43">
        <v>0</v>
      </c>
      <c r="H208" s="43">
        <v>274872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0</v>
      </c>
      <c r="Q208" s="43">
        <v>0</v>
      </c>
      <c r="R208" s="43">
        <v>0</v>
      </c>
      <c r="S208" s="43">
        <v>0</v>
      </c>
      <c r="T208" s="43">
        <v>0</v>
      </c>
      <c r="U208" s="43">
        <v>0</v>
      </c>
      <c r="V208" s="43">
        <v>5701</v>
      </c>
      <c r="W208" s="43">
        <v>0</v>
      </c>
      <c r="X208" s="43">
        <v>0</v>
      </c>
      <c r="Y208" s="43">
        <v>0</v>
      </c>
      <c r="Z208" s="43">
        <v>0</v>
      </c>
      <c r="AA208" s="43">
        <v>0</v>
      </c>
      <c r="AB208" s="43">
        <v>31336</v>
      </c>
      <c r="AC208" s="43">
        <v>0</v>
      </c>
      <c r="AD208" s="43">
        <v>0</v>
      </c>
      <c r="AE208" s="43">
        <v>0</v>
      </c>
      <c r="AF208" s="43">
        <v>0</v>
      </c>
      <c r="AG208" s="43"/>
      <c r="AH208" s="43">
        <f t="shared" si="7"/>
        <v>311909</v>
      </c>
    </row>
    <row r="209" spans="1:34" s="4" customFormat="1" hidden="1" x14ac:dyDescent="0.2">
      <c r="A209" s="4">
        <v>113</v>
      </c>
      <c r="B209" s="4" t="s">
        <v>217</v>
      </c>
      <c r="D209" s="4" t="s">
        <v>87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3">
        <v>0</v>
      </c>
      <c r="Q209" s="43">
        <v>0</v>
      </c>
      <c r="R209" s="43">
        <v>0</v>
      </c>
      <c r="S209" s="43">
        <v>0</v>
      </c>
      <c r="T209" s="43">
        <v>0</v>
      </c>
      <c r="U209" s="43">
        <v>0</v>
      </c>
      <c r="V209" s="43">
        <v>0</v>
      </c>
      <c r="W209" s="43">
        <v>0</v>
      </c>
      <c r="X209" s="43">
        <v>0</v>
      </c>
      <c r="Y209" s="43">
        <v>0</v>
      </c>
      <c r="Z209" s="43">
        <v>0</v>
      </c>
      <c r="AA209" s="43">
        <v>0</v>
      </c>
      <c r="AB209" s="43">
        <v>0</v>
      </c>
      <c r="AC209" s="43">
        <v>0</v>
      </c>
      <c r="AD209" s="43">
        <v>0</v>
      </c>
      <c r="AE209" s="43">
        <v>0</v>
      </c>
      <c r="AF209" s="43">
        <v>0</v>
      </c>
      <c r="AG209" s="43"/>
      <c r="AH209" s="43">
        <f t="shared" si="7"/>
        <v>0</v>
      </c>
    </row>
    <row r="210" spans="1:34" s="4" customFormat="1" x14ac:dyDescent="0.2">
      <c r="A210" s="4">
        <v>183</v>
      </c>
      <c r="B210" s="4" t="s">
        <v>218</v>
      </c>
      <c r="D210" s="4" t="s">
        <v>156</v>
      </c>
      <c r="F210" s="43">
        <v>0</v>
      </c>
      <c r="G210" s="43">
        <v>0</v>
      </c>
      <c r="H210" s="43">
        <v>25146</v>
      </c>
      <c r="I210" s="43">
        <v>0</v>
      </c>
      <c r="J210" s="43">
        <v>0</v>
      </c>
      <c r="K210" s="43">
        <v>0</v>
      </c>
      <c r="L210" s="43">
        <v>7702</v>
      </c>
      <c r="M210" s="43">
        <v>0</v>
      </c>
      <c r="N210" s="43">
        <v>41314</v>
      </c>
      <c r="O210" s="43">
        <v>0</v>
      </c>
      <c r="P210" s="43">
        <v>176235</v>
      </c>
      <c r="Q210" s="43">
        <v>0</v>
      </c>
      <c r="R210" s="43">
        <v>0</v>
      </c>
      <c r="S210" s="43">
        <v>0</v>
      </c>
      <c r="T210" s="43">
        <v>0</v>
      </c>
      <c r="U210" s="43">
        <v>0</v>
      </c>
      <c r="V210" s="43">
        <v>8975</v>
      </c>
      <c r="W210" s="43">
        <v>0</v>
      </c>
      <c r="X210" s="43">
        <v>0</v>
      </c>
      <c r="Y210" s="43">
        <v>0</v>
      </c>
      <c r="Z210" s="43">
        <v>0</v>
      </c>
      <c r="AA210" s="43">
        <v>0</v>
      </c>
      <c r="AB210" s="43">
        <v>0</v>
      </c>
      <c r="AC210" s="43">
        <v>0</v>
      </c>
      <c r="AD210" s="43">
        <v>0</v>
      </c>
      <c r="AE210" s="43">
        <v>0</v>
      </c>
      <c r="AF210" s="43">
        <v>0</v>
      </c>
      <c r="AG210" s="43"/>
      <c r="AH210" s="43">
        <f t="shared" si="7"/>
        <v>259372</v>
      </c>
    </row>
    <row r="211" spans="1:34" s="4" customFormat="1" x14ac:dyDescent="0.2">
      <c r="A211" s="4">
        <v>116</v>
      </c>
      <c r="B211" s="4" t="s">
        <v>219</v>
      </c>
      <c r="D211" s="4" t="s">
        <v>168</v>
      </c>
      <c r="F211" s="43">
        <v>54902</v>
      </c>
      <c r="G211" s="43">
        <v>0</v>
      </c>
      <c r="H211" s="43">
        <f>157283+109+12908</f>
        <v>170300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>
        <v>0</v>
      </c>
      <c r="P211" s="43">
        <v>0</v>
      </c>
      <c r="Q211" s="43">
        <v>0</v>
      </c>
      <c r="R211" s="43">
        <v>5001</v>
      </c>
      <c r="S211" s="43">
        <v>0</v>
      </c>
      <c r="T211" s="43">
        <v>1468</v>
      </c>
      <c r="U211" s="43">
        <v>0</v>
      </c>
      <c r="V211" s="43">
        <v>30707</v>
      </c>
      <c r="W211" s="43">
        <v>0</v>
      </c>
      <c r="X211" s="43">
        <v>0</v>
      </c>
      <c r="Y211" s="43">
        <v>0</v>
      </c>
      <c r="Z211" s="43">
        <v>0</v>
      </c>
      <c r="AA211" s="43">
        <v>0</v>
      </c>
      <c r="AB211" s="43">
        <v>0</v>
      </c>
      <c r="AC211" s="43">
        <v>0</v>
      </c>
      <c r="AD211" s="43">
        <v>0</v>
      </c>
      <c r="AE211" s="43">
        <v>0</v>
      </c>
      <c r="AF211" s="43">
        <v>0</v>
      </c>
      <c r="AG211" s="43"/>
      <c r="AH211" s="43">
        <f t="shared" si="7"/>
        <v>262378</v>
      </c>
    </row>
    <row r="212" spans="1:34" s="4" customFormat="1" hidden="1" x14ac:dyDescent="0.2">
      <c r="A212" s="4">
        <v>146</v>
      </c>
      <c r="B212" s="4" t="s">
        <v>455</v>
      </c>
      <c r="D212" s="4" t="s">
        <v>55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43">
        <v>0</v>
      </c>
      <c r="S212" s="43">
        <v>0</v>
      </c>
      <c r="T212" s="43">
        <v>0</v>
      </c>
      <c r="U212" s="43">
        <v>0</v>
      </c>
      <c r="V212" s="43">
        <v>0</v>
      </c>
      <c r="W212" s="43">
        <v>0</v>
      </c>
      <c r="X212" s="43">
        <v>0</v>
      </c>
      <c r="Y212" s="43">
        <v>0</v>
      </c>
      <c r="Z212" s="43">
        <v>0</v>
      </c>
      <c r="AA212" s="43">
        <v>0</v>
      </c>
      <c r="AB212" s="43">
        <v>0</v>
      </c>
      <c r="AC212" s="43">
        <v>0</v>
      </c>
      <c r="AD212" s="43">
        <v>0</v>
      </c>
      <c r="AE212" s="43">
        <v>0</v>
      </c>
      <c r="AF212" s="43">
        <v>0</v>
      </c>
      <c r="AG212" s="43"/>
      <c r="AH212" s="43">
        <f t="shared" si="7"/>
        <v>0</v>
      </c>
    </row>
    <row r="213" spans="1:34" s="4" customFormat="1" x14ac:dyDescent="0.2">
      <c r="A213" s="4">
        <v>246</v>
      </c>
      <c r="B213" s="4" t="s">
        <v>222</v>
      </c>
      <c r="D213" s="4" t="s">
        <v>223</v>
      </c>
      <c r="F213" s="43">
        <v>0</v>
      </c>
      <c r="G213" s="43">
        <v>0</v>
      </c>
      <c r="H213" s="43">
        <v>395694</v>
      </c>
      <c r="I213" s="43">
        <v>0</v>
      </c>
      <c r="J213" s="43">
        <v>139568</v>
      </c>
      <c r="K213" s="43">
        <v>0</v>
      </c>
      <c r="L213" s="43">
        <v>49829</v>
      </c>
      <c r="M213" s="43">
        <v>0</v>
      </c>
      <c r="N213" s="43">
        <v>117830</v>
      </c>
      <c r="O213" s="43">
        <v>0</v>
      </c>
      <c r="P213" s="43">
        <v>160507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43">
        <v>0</v>
      </c>
      <c r="X213" s="43">
        <v>0</v>
      </c>
      <c r="Y213" s="43">
        <v>0</v>
      </c>
      <c r="Z213" s="43">
        <v>0</v>
      </c>
      <c r="AA213" s="43">
        <v>0</v>
      </c>
      <c r="AB213" s="43">
        <v>0</v>
      </c>
      <c r="AC213" s="43">
        <v>0</v>
      </c>
      <c r="AD213" s="43">
        <v>0</v>
      </c>
      <c r="AE213" s="43">
        <v>0</v>
      </c>
      <c r="AF213" s="43">
        <v>0</v>
      </c>
      <c r="AG213" s="43"/>
      <c r="AH213" s="43">
        <f t="shared" si="7"/>
        <v>863428</v>
      </c>
    </row>
    <row r="214" spans="1:34" s="4" customFormat="1" hidden="1" x14ac:dyDescent="0.2">
      <c r="A214" s="4">
        <v>136</v>
      </c>
      <c r="B214" s="4" t="s">
        <v>224</v>
      </c>
      <c r="D214" s="4" t="s">
        <v>39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>
        <v>0</v>
      </c>
      <c r="P214" s="43">
        <v>0</v>
      </c>
      <c r="Q214" s="43">
        <v>0</v>
      </c>
      <c r="R214" s="43">
        <v>0</v>
      </c>
      <c r="S214" s="43">
        <v>0</v>
      </c>
      <c r="T214" s="43">
        <v>0</v>
      </c>
      <c r="U214" s="43">
        <v>0</v>
      </c>
      <c r="V214" s="43">
        <v>0</v>
      </c>
      <c r="W214" s="43">
        <v>0</v>
      </c>
      <c r="X214" s="43">
        <v>0</v>
      </c>
      <c r="Y214" s="43">
        <v>0</v>
      </c>
      <c r="Z214" s="43">
        <v>0</v>
      </c>
      <c r="AA214" s="43">
        <v>0</v>
      </c>
      <c r="AB214" s="43">
        <v>0</v>
      </c>
      <c r="AC214" s="43">
        <v>0</v>
      </c>
      <c r="AD214" s="43">
        <v>0</v>
      </c>
      <c r="AE214" s="43">
        <v>0</v>
      </c>
      <c r="AF214" s="43">
        <v>0</v>
      </c>
      <c r="AG214" s="43"/>
      <c r="AH214" s="43">
        <f t="shared" si="7"/>
        <v>0</v>
      </c>
    </row>
    <row r="215" spans="1:34" s="4" customFormat="1" hidden="1" x14ac:dyDescent="0.2">
      <c r="A215" s="4">
        <v>106</v>
      </c>
      <c r="B215" s="4" t="s">
        <v>225</v>
      </c>
      <c r="D215" s="4" t="s">
        <v>58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>
        <v>0</v>
      </c>
      <c r="P215" s="43">
        <v>0</v>
      </c>
      <c r="Q215" s="43">
        <v>0</v>
      </c>
      <c r="R215" s="43">
        <v>0</v>
      </c>
      <c r="S215" s="43">
        <v>0</v>
      </c>
      <c r="T215" s="43">
        <v>0</v>
      </c>
      <c r="U215" s="43">
        <v>0</v>
      </c>
      <c r="V215" s="43">
        <v>0</v>
      </c>
      <c r="W215" s="43">
        <v>0</v>
      </c>
      <c r="X215" s="43">
        <v>0</v>
      </c>
      <c r="Y215" s="43">
        <v>0</v>
      </c>
      <c r="Z215" s="43">
        <v>0</v>
      </c>
      <c r="AA215" s="43">
        <v>0</v>
      </c>
      <c r="AB215" s="43">
        <v>0</v>
      </c>
      <c r="AC215" s="43">
        <v>0</v>
      </c>
      <c r="AD215" s="43">
        <v>0</v>
      </c>
      <c r="AE215" s="43">
        <v>0</v>
      </c>
      <c r="AF215" s="43">
        <v>0</v>
      </c>
      <c r="AG215" s="43"/>
      <c r="AH215" s="43">
        <f t="shared" si="7"/>
        <v>0</v>
      </c>
    </row>
    <row r="216" spans="1:34" s="4" customFormat="1" hidden="1" x14ac:dyDescent="0.2">
      <c r="A216" s="4">
        <v>184</v>
      </c>
      <c r="B216" s="4" t="s">
        <v>226</v>
      </c>
      <c r="D216" s="4" t="s">
        <v>227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0</v>
      </c>
      <c r="V216" s="43">
        <v>0</v>
      </c>
      <c r="W216" s="43">
        <v>0</v>
      </c>
      <c r="X216" s="43">
        <v>0</v>
      </c>
      <c r="Y216" s="43">
        <v>0</v>
      </c>
      <c r="Z216" s="43">
        <v>0</v>
      </c>
      <c r="AA216" s="43">
        <v>0</v>
      </c>
      <c r="AB216" s="43">
        <v>0</v>
      </c>
      <c r="AC216" s="43">
        <v>0</v>
      </c>
      <c r="AD216" s="43">
        <v>0</v>
      </c>
      <c r="AE216" s="43">
        <v>0</v>
      </c>
      <c r="AF216" s="43">
        <v>0</v>
      </c>
      <c r="AG216" s="43"/>
      <c r="AH216" s="43">
        <f t="shared" si="7"/>
        <v>0</v>
      </c>
    </row>
    <row r="217" spans="1:34" s="4" customFormat="1" hidden="1" x14ac:dyDescent="0.2">
      <c r="A217" s="4">
        <v>252</v>
      </c>
      <c r="B217" s="4" t="s">
        <v>229</v>
      </c>
      <c r="D217" s="4" t="s">
        <v>63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>
        <v>0</v>
      </c>
      <c r="P217" s="43">
        <v>0</v>
      </c>
      <c r="Q217" s="43">
        <v>0</v>
      </c>
      <c r="R217" s="43">
        <v>0</v>
      </c>
      <c r="S217" s="43">
        <v>0</v>
      </c>
      <c r="T217" s="43">
        <v>0</v>
      </c>
      <c r="U217" s="43">
        <v>0</v>
      </c>
      <c r="V217" s="43">
        <v>0</v>
      </c>
      <c r="W217" s="43">
        <v>0</v>
      </c>
      <c r="X217" s="43">
        <v>0</v>
      </c>
      <c r="Y217" s="43">
        <v>0</v>
      </c>
      <c r="Z217" s="43">
        <v>0</v>
      </c>
      <c r="AA217" s="43">
        <v>0</v>
      </c>
      <c r="AB217" s="43">
        <v>0</v>
      </c>
      <c r="AC217" s="43">
        <v>0</v>
      </c>
      <c r="AD217" s="43">
        <v>0</v>
      </c>
      <c r="AE217" s="43">
        <v>0</v>
      </c>
      <c r="AF217" s="43">
        <v>0</v>
      </c>
      <c r="AG217" s="43"/>
      <c r="AH217" s="43">
        <f t="shared" si="7"/>
        <v>0</v>
      </c>
    </row>
    <row r="218" spans="1:34" s="4" customFormat="1" hidden="1" x14ac:dyDescent="0.2">
      <c r="A218" s="4">
        <v>219</v>
      </c>
      <c r="B218" s="4" t="s">
        <v>230</v>
      </c>
      <c r="D218" s="4" t="s">
        <v>20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3">
        <v>0</v>
      </c>
      <c r="X218" s="43">
        <v>0</v>
      </c>
      <c r="Y218" s="43">
        <v>0</v>
      </c>
      <c r="Z218" s="43">
        <v>0</v>
      </c>
      <c r="AA218" s="43">
        <v>0</v>
      </c>
      <c r="AB218" s="43">
        <v>0</v>
      </c>
      <c r="AC218" s="43">
        <v>0</v>
      </c>
      <c r="AD218" s="43">
        <v>0</v>
      </c>
      <c r="AE218" s="43">
        <v>0</v>
      </c>
      <c r="AF218" s="43">
        <v>0</v>
      </c>
      <c r="AG218" s="43"/>
      <c r="AH218" s="43">
        <f t="shared" si="7"/>
        <v>0</v>
      </c>
    </row>
    <row r="219" spans="1:34" s="4" customFormat="1" x14ac:dyDescent="0.2">
      <c r="A219" s="4">
        <v>176</v>
      </c>
      <c r="B219" s="4" t="s">
        <v>231</v>
      </c>
      <c r="D219" s="4" t="s">
        <v>66</v>
      </c>
      <c r="F219" s="43">
        <v>0</v>
      </c>
      <c r="G219" s="43">
        <v>0</v>
      </c>
      <c r="H219" s="43">
        <v>122100</v>
      </c>
      <c r="I219" s="43">
        <v>0</v>
      </c>
      <c r="J219" s="43">
        <v>29448</v>
      </c>
      <c r="K219" s="43">
        <v>0</v>
      </c>
      <c r="L219" s="43">
        <v>0</v>
      </c>
      <c r="M219" s="43">
        <v>0</v>
      </c>
      <c r="N219" s="43">
        <v>51261</v>
      </c>
      <c r="O219" s="43">
        <v>0</v>
      </c>
      <c r="P219" s="43">
        <v>822</v>
      </c>
      <c r="Q219" s="43">
        <v>0</v>
      </c>
      <c r="R219" s="43">
        <v>0</v>
      </c>
      <c r="S219" s="43">
        <v>0</v>
      </c>
      <c r="T219" s="43">
        <v>0</v>
      </c>
      <c r="U219" s="43">
        <v>0</v>
      </c>
      <c r="V219" s="43">
        <v>9669</v>
      </c>
      <c r="W219" s="43">
        <v>0</v>
      </c>
      <c r="X219" s="43">
        <v>0</v>
      </c>
      <c r="Y219" s="43">
        <v>0</v>
      </c>
      <c r="Z219" s="43">
        <v>0</v>
      </c>
      <c r="AA219" s="43">
        <v>0</v>
      </c>
      <c r="AB219" s="43">
        <v>0</v>
      </c>
      <c r="AC219" s="43">
        <v>0</v>
      </c>
      <c r="AD219" s="43">
        <v>0</v>
      </c>
      <c r="AE219" s="43">
        <v>0</v>
      </c>
      <c r="AF219" s="43">
        <v>0</v>
      </c>
      <c r="AG219" s="43"/>
      <c r="AH219" s="43">
        <f t="shared" si="7"/>
        <v>213300</v>
      </c>
    </row>
    <row r="220" spans="1:34" s="4" customFormat="1" hidden="1" x14ac:dyDescent="0.2">
      <c r="A220" s="4">
        <v>187</v>
      </c>
      <c r="B220" s="4" t="s">
        <v>590</v>
      </c>
      <c r="D220" s="4" t="s">
        <v>64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0</v>
      </c>
      <c r="W220" s="43">
        <v>0</v>
      </c>
      <c r="X220" s="43">
        <v>0</v>
      </c>
      <c r="Y220" s="43">
        <v>0</v>
      </c>
      <c r="Z220" s="43">
        <v>0</v>
      </c>
      <c r="AA220" s="43">
        <v>0</v>
      </c>
      <c r="AB220" s="43">
        <v>0</v>
      </c>
      <c r="AC220" s="43">
        <v>0</v>
      </c>
      <c r="AD220" s="43">
        <v>0</v>
      </c>
      <c r="AE220" s="43">
        <v>0</v>
      </c>
      <c r="AF220" s="43">
        <v>0</v>
      </c>
      <c r="AG220" s="43"/>
      <c r="AH220" s="43">
        <f t="shared" si="7"/>
        <v>0</v>
      </c>
    </row>
    <row r="221" spans="1:34" s="4" customFormat="1" x14ac:dyDescent="0.2">
      <c r="A221" s="4">
        <v>128</v>
      </c>
      <c r="B221" s="4" t="s">
        <v>232</v>
      </c>
      <c r="D221" s="4" t="s">
        <v>13</v>
      </c>
      <c r="F221" s="43">
        <v>0</v>
      </c>
      <c r="G221" s="43">
        <v>0</v>
      </c>
      <c r="H221" s="43">
        <v>772943.55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0</v>
      </c>
      <c r="S221" s="43">
        <v>0</v>
      </c>
      <c r="T221" s="43">
        <v>0</v>
      </c>
      <c r="U221" s="43">
        <v>0</v>
      </c>
      <c r="V221" s="43">
        <v>1140</v>
      </c>
      <c r="W221" s="43">
        <v>0</v>
      </c>
      <c r="X221" s="43">
        <v>110101.96</v>
      </c>
      <c r="Y221" s="43">
        <v>0</v>
      </c>
      <c r="Z221" s="43">
        <v>0</v>
      </c>
      <c r="AA221" s="43">
        <v>0</v>
      </c>
      <c r="AB221" s="43">
        <v>0</v>
      </c>
      <c r="AC221" s="43">
        <v>0</v>
      </c>
      <c r="AD221" s="43">
        <v>0</v>
      </c>
      <c r="AE221" s="43">
        <v>0</v>
      </c>
      <c r="AF221" s="43">
        <v>0</v>
      </c>
      <c r="AG221" s="43"/>
      <c r="AH221" s="43">
        <f t="shared" si="7"/>
        <v>884185.51</v>
      </c>
    </row>
    <row r="222" spans="1:34" s="4" customFormat="1" x14ac:dyDescent="0.2">
      <c r="A222" s="4">
        <v>188</v>
      </c>
      <c r="B222" s="4" t="s">
        <v>233</v>
      </c>
      <c r="D222" s="4" t="s">
        <v>234</v>
      </c>
      <c r="F222" s="43">
        <v>0</v>
      </c>
      <c r="G222" s="43">
        <v>0</v>
      </c>
      <c r="H222" s="43">
        <v>797758</v>
      </c>
      <c r="I222" s="43">
        <v>0</v>
      </c>
      <c r="J222" s="43">
        <v>227143</v>
      </c>
      <c r="K222" s="43">
        <v>0</v>
      </c>
      <c r="L222" s="43">
        <v>78723</v>
      </c>
      <c r="M222" s="43">
        <v>0</v>
      </c>
      <c r="N222" s="43">
        <v>191493</v>
      </c>
      <c r="O222" s="43">
        <v>0</v>
      </c>
      <c r="P222" s="43">
        <v>256153</v>
      </c>
      <c r="Q222" s="43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199212</v>
      </c>
      <c r="W222" s="43">
        <v>0</v>
      </c>
      <c r="X222" s="43">
        <v>0</v>
      </c>
      <c r="Y222" s="43">
        <v>0</v>
      </c>
      <c r="Z222" s="43">
        <v>0</v>
      </c>
      <c r="AA222" s="43">
        <v>0</v>
      </c>
      <c r="AB222" s="43">
        <v>0</v>
      </c>
      <c r="AC222" s="43">
        <v>0</v>
      </c>
      <c r="AD222" s="43">
        <v>0</v>
      </c>
      <c r="AE222" s="43">
        <v>0</v>
      </c>
      <c r="AF222" s="43">
        <v>0</v>
      </c>
      <c r="AG222" s="43"/>
      <c r="AH222" s="43">
        <f t="shared" si="7"/>
        <v>1750482</v>
      </c>
    </row>
    <row r="223" spans="1:34" s="4" customFormat="1" hidden="1" x14ac:dyDescent="0.2">
      <c r="A223" s="4">
        <v>72</v>
      </c>
      <c r="B223" s="4" t="s">
        <v>310</v>
      </c>
      <c r="D223" s="4" t="s">
        <v>65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>
        <v>0</v>
      </c>
      <c r="P223" s="43">
        <v>0</v>
      </c>
      <c r="Q223" s="43">
        <v>0</v>
      </c>
      <c r="R223" s="43">
        <v>0</v>
      </c>
      <c r="S223" s="43">
        <v>0</v>
      </c>
      <c r="T223" s="43">
        <v>0</v>
      </c>
      <c r="U223" s="43">
        <v>0</v>
      </c>
      <c r="V223" s="43">
        <v>0</v>
      </c>
      <c r="W223" s="43">
        <v>0</v>
      </c>
      <c r="X223" s="43">
        <v>0</v>
      </c>
      <c r="Y223" s="43">
        <v>0</v>
      </c>
      <c r="Z223" s="43">
        <v>0</v>
      </c>
      <c r="AA223" s="43">
        <v>0</v>
      </c>
      <c r="AB223" s="43">
        <v>0</v>
      </c>
      <c r="AC223" s="43">
        <v>0</v>
      </c>
      <c r="AD223" s="43">
        <v>0</v>
      </c>
      <c r="AE223" s="43">
        <v>0</v>
      </c>
      <c r="AF223" s="43">
        <v>0</v>
      </c>
      <c r="AG223" s="43"/>
      <c r="AH223" s="43">
        <f t="shared" si="7"/>
        <v>0</v>
      </c>
    </row>
    <row r="224" spans="1:34" s="4" customFormat="1" hidden="1" x14ac:dyDescent="0.2">
      <c r="A224" s="4">
        <v>163</v>
      </c>
      <c r="B224" s="4" t="s">
        <v>570</v>
      </c>
      <c r="D224" s="4" t="s">
        <v>51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>
        <v>0</v>
      </c>
      <c r="P224" s="43">
        <v>0</v>
      </c>
      <c r="Q224" s="43">
        <v>0</v>
      </c>
      <c r="R224" s="43">
        <v>0</v>
      </c>
      <c r="S224" s="43">
        <v>0</v>
      </c>
      <c r="T224" s="43">
        <v>0</v>
      </c>
      <c r="U224" s="43">
        <v>0</v>
      </c>
      <c r="V224" s="43">
        <v>0</v>
      </c>
      <c r="W224" s="43">
        <v>0</v>
      </c>
      <c r="X224" s="43">
        <v>0</v>
      </c>
      <c r="Y224" s="43">
        <v>0</v>
      </c>
      <c r="Z224" s="43">
        <v>0</v>
      </c>
      <c r="AA224" s="43">
        <v>0</v>
      </c>
      <c r="AB224" s="43">
        <v>0</v>
      </c>
      <c r="AC224" s="43">
        <v>0</v>
      </c>
      <c r="AD224" s="43">
        <v>0</v>
      </c>
      <c r="AE224" s="43">
        <v>0</v>
      </c>
      <c r="AF224" s="43">
        <v>0</v>
      </c>
      <c r="AG224" s="43"/>
      <c r="AH224" s="43">
        <f t="shared" si="7"/>
        <v>0</v>
      </c>
    </row>
    <row r="225" spans="1:34" s="4" customFormat="1" hidden="1" x14ac:dyDescent="0.2">
      <c r="A225" s="4">
        <v>151</v>
      </c>
      <c r="B225" s="4" t="s">
        <v>235</v>
      </c>
      <c r="D225" s="4" t="s">
        <v>10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3">
        <v>0</v>
      </c>
      <c r="R225" s="43">
        <v>0</v>
      </c>
      <c r="S225" s="43">
        <v>0</v>
      </c>
      <c r="T225" s="43">
        <v>0</v>
      </c>
      <c r="U225" s="43">
        <v>0</v>
      </c>
      <c r="V225" s="43">
        <v>0</v>
      </c>
      <c r="W225" s="43">
        <v>0</v>
      </c>
      <c r="X225" s="43">
        <v>0</v>
      </c>
      <c r="Y225" s="43">
        <v>0</v>
      </c>
      <c r="Z225" s="43">
        <v>0</v>
      </c>
      <c r="AA225" s="43">
        <v>0</v>
      </c>
      <c r="AB225" s="43">
        <v>0</v>
      </c>
      <c r="AC225" s="43">
        <v>0</v>
      </c>
      <c r="AD225" s="43">
        <v>0</v>
      </c>
      <c r="AE225" s="43">
        <v>0</v>
      </c>
      <c r="AF225" s="43">
        <v>0</v>
      </c>
      <c r="AG225" s="43"/>
      <c r="AH225" s="43">
        <f t="shared" si="7"/>
        <v>0</v>
      </c>
    </row>
    <row r="226" spans="1:34" s="4" customFormat="1" x14ac:dyDescent="0.2">
      <c r="A226" s="4">
        <v>192</v>
      </c>
      <c r="B226" s="4" t="s">
        <v>591</v>
      </c>
      <c r="D226" s="4" t="s">
        <v>171</v>
      </c>
      <c r="F226" s="43">
        <v>0</v>
      </c>
      <c r="G226" s="43">
        <v>0</v>
      </c>
      <c r="H226" s="43">
        <v>865154</v>
      </c>
      <c r="I226" s="43">
        <v>0</v>
      </c>
      <c r="J226" s="43">
        <v>360676</v>
      </c>
      <c r="K226" s="43">
        <v>0</v>
      </c>
      <c r="L226" s="43">
        <v>100338</v>
      </c>
      <c r="M226" s="43">
        <v>0</v>
      </c>
      <c r="N226" s="43">
        <v>155902</v>
      </c>
      <c r="O226" s="43">
        <v>0</v>
      </c>
      <c r="P226" s="43">
        <v>399069</v>
      </c>
      <c r="Q226" s="43">
        <v>0</v>
      </c>
      <c r="R226" s="43">
        <v>0</v>
      </c>
      <c r="S226" s="43">
        <v>0</v>
      </c>
      <c r="T226" s="43">
        <v>0</v>
      </c>
      <c r="U226" s="43">
        <v>0</v>
      </c>
      <c r="V226" s="43">
        <v>27632</v>
      </c>
      <c r="W226" s="43">
        <v>0</v>
      </c>
      <c r="X226" s="43">
        <v>0</v>
      </c>
      <c r="Y226" s="43">
        <v>0</v>
      </c>
      <c r="Z226" s="43">
        <v>0</v>
      </c>
      <c r="AA226" s="43">
        <v>0</v>
      </c>
      <c r="AB226" s="43">
        <v>110000</v>
      </c>
      <c r="AC226" s="43">
        <v>0</v>
      </c>
      <c r="AD226" s="43">
        <v>0</v>
      </c>
      <c r="AE226" s="43">
        <v>0</v>
      </c>
      <c r="AF226" s="43">
        <v>0</v>
      </c>
      <c r="AG226" s="43"/>
      <c r="AH226" s="43">
        <f t="shared" si="7"/>
        <v>2018771</v>
      </c>
    </row>
    <row r="227" spans="1:34" s="4" customFormat="1" hidden="1" x14ac:dyDescent="0.2">
      <c r="B227" s="4" t="s">
        <v>604</v>
      </c>
      <c r="D227" s="4" t="s">
        <v>156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0</v>
      </c>
      <c r="P227" s="43">
        <v>0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43">
        <v>0</v>
      </c>
      <c r="W227" s="43">
        <v>0</v>
      </c>
      <c r="X227" s="43">
        <v>0</v>
      </c>
      <c r="Y227" s="43">
        <v>0</v>
      </c>
      <c r="Z227" s="43">
        <v>0</v>
      </c>
      <c r="AA227" s="43">
        <v>0</v>
      </c>
      <c r="AB227" s="43">
        <v>0</v>
      </c>
      <c r="AC227" s="43">
        <v>0</v>
      </c>
      <c r="AD227" s="43">
        <v>0</v>
      </c>
      <c r="AE227" s="43">
        <v>0</v>
      </c>
      <c r="AF227" s="43">
        <v>0</v>
      </c>
      <c r="AG227" s="43"/>
      <c r="AH227" s="43">
        <f t="shared" si="7"/>
        <v>0</v>
      </c>
    </row>
    <row r="228" spans="1:34" s="4" customFormat="1" x14ac:dyDescent="0.2">
      <c r="A228" s="4">
        <v>55</v>
      </c>
      <c r="B228" s="4" t="s">
        <v>436</v>
      </c>
      <c r="D228" s="4" t="s">
        <v>17</v>
      </c>
      <c r="F228" s="43">
        <v>0</v>
      </c>
      <c r="G228" s="43">
        <v>0</v>
      </c>
      <c r="H228" s="43">
        <v>1946765</v>
      </c>
      <c r="I228" s="43">
        <v>0</v>
      </c>
      <c r="J228" s="43">
        <v>1169039</v>
      </c>
      <c r="K228" s="43">
        <v>0</v>
      </c>
      <c r="L228" s="43">
        <v>185973</v>
      </c>
      <c r="M228" s="43">
        <v>0</v>
      </c>
      <c r="N228" s="43">
        <v>434191</v>
      </c>
      <c r="O228" s="43">
        <v>0</v>
      </c>
      <c r="P228" s="43">
        <v>789690</v>
      </c>
      <c r="Q228" s="43">
        <v>0</v>
      </c>
      <c r="R228" s="43">
        <v>0</v>
      </c>
      <c r="S228" s="43">
        <v>0</v>
      </c>
      <c r="T228" s="43">
        <v>0</v>
      </c>
      <c r="U228" s="43">
        <v>0</v>
      </c>
      <c r="V228" s="43">
        <v>167240</v>
      </c>
      <c r="W228" s="43">
        <v>0</v>
      </c>
      <c r="X228" s="43">
        <v>0</v>
      </c>
      <c r="Y228" s="43">
        <v>0</v>
      </c>
      <c r="Z228" s="43">
        <v>0</v>
      </c>
      <c r="AA228" s="43">
        <v>0</v>
      </c>
      <c r="AB228" s="43">
        <v>237273</v>
      </c>
      <c r="AC228" s="43">
        <v>0</v>
      </c>
      <c r="AD228" s="43">
        <v>0</v>
      </c>
      <c r="AE228" s="43">
        <v>0</v>
      </c>
      <c r="AF228" s="43">
        <v>0</v>
      </c>
      <c r="AG228" s="43"/>
      <c r="AH228" s="43">
        <f t="shared" si="7"/>
        <v>4930171</v>
      </c>
    </row>
    <row r="229" spans="1:34" s="4" customFormat="1" x14ac:dyDescent="0.2">
      <c r="A229" s="4">
        <v>202</v>
      </c>
      <c r="B229" s="4" t="s">
        <v>21</v>
      </c>
      <c r="D229" s="4" t="s">
        <v>22</v>
      </c>
      <c r="F229" s="43">
        <v>0</v>
      </c>
      <c r="G229" s="43">
        <v>0</v>
      </c>
      <c r="H229" s="43">
        <v>2570520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v>0</v>
      </c>
      <c r="O229" s="43">
        <v>0</v>
      </c>
      <c r="P229" s="43">
        <v>0</v>
      </c>
      <c r="Q229" s="43">
        <v>0</v>
      </c>
      <c r="R229" s="43">
        <v>0</v>
      </c>
      <c r="S229" s="43">
        <v>0</v>
      </c>
      <c r="T229" s="43">
        <v>0</v>
      </c>
      <c r="U229" s="43">
        <v>0</v>
      </c>
      <c r="V229" s="43">
        <v>259919</v>
      </c>
      <c r="W229" s="43">
        <v>0</v>
      </c>
      <c r="X229" s="43">
        <v>0</v>
      </c>
      <c r="Y229" s="43">
        <v>0</v>
      </c>
      <c r="Z229" s="43">
        <v>0</v>
      </c>
      <c r="AA229" s="43">
        <v>0</v>
      </c>
      <c r="AB229" s="43">
        <v>0</v>
      </c>
      <c r="AC229" s="43">
        <v>0</v>
      </c>
      <c r="AD229" s="43">
        <v>0</v>
      </c>
      <c r="AE229" s="43">
        <v>0</v>
      </c>
      <c r="AF229" s="43">
        <v>0</v>
      </c>
      <c r="AG229" s="43"/>
      <c r="AH229" s="43">
        <f t="shared" si="7"/>
        <v>2830439</v>
      </c>
    </row>
    <row r="230" spans="1:34" s="4" customFormat="1" x14ac:dyDescent="0.2">
      <c r="A230" s="4">
        <v>196</v>
      </c>
      <c r="B230" s="4" t="s">
        <v>592</v>
      </c>
      <c r="D230" s="4" t="s">
        <v>100</v>
      </c>
      <c r="F230" s="43">
        <v>0</v>
      </c>
      <c r="G230" s="43">
        <v>0</v>
      </c>
      <c r="H230" s="43">
        <f>1085999+19613</f>
        <v>1105612</v>
      </c>
      <c r="I230" s="43">
        <v>0</v>
      </c>
      <c r="J230" s="43">
        <v>305533</v>
      </c>
      <c r="K230" s="43">
        <v>0</v>
      </c>
      <c r="L230" s="43">
        <v>0</v>
      </c>
      <c r="M230" s="43">
        <v>0</v>
      </c>
      <c r="N230" s="43">
        <v>154632</v>
      </c>
      <c r="O230" s="43">
        <v>0</v>
      </c>
      <c r="P230" s="43">
        <v>49638</v>
      </c>
      <c r="Q230" s="43">
        <v>0</v>
      </c>
      <c r="R230" s="43">
        <v>0</v>
      </c>
      <c r="S230" s="43">
        <v>0</v>
      </c>
      <c r="T230" s="43">
        <v>5976</v>
      </c>
      <c r="U230" s="43">
        <v>0</v>
      </c>
      <c r="V230" s="43">
        <v>107908</v>
      </c>
      <c r="W230" s="43">
        <v>0</v>
      </c>
      <c r="X230" s="43">
        <v>0</v>
      </c>
      <c r="Y230" s="43">
        <v>0</v>
      </c>
      <c r="Z230" s="43">
        <v>0</v>
      </c>
      <c r="AA230" s="43">
        <v>0</v>
      </c>
      <c r="AB230" s="43">
        <v>0</v>
      </c>
      <c r="AC230" s="43">
        <v>0</v>
      </c>
      <c r="AD230" s="43">
        <v>0</v>
      </c>
      <c r="AE230" s="43">
        <v>0</v>
      </c>
      <c r="AF230" s="43">
        <v>0</v>
      </c>
      <c r="AG230" s="43"/>
      <c r="AH230" s="43">
        <f t="shared" si="7"/>
        <v>1729299</v>
      </c>
    </row>
    <row r="231" spans="1:34" s="4" customFormat="1" x14ac:dyDescent="0.2">
      <c r="B231" s="4" t="s">
        <v>605</v>
      </c>
      <c r="C231" s="15"/>
      <c r="D231" s="15" t="s">
        <v>565</v>
      </c>
      <c r="F231" s="43">
        <v>0</v>
      </c>
      <c r="G231" s="43">
        <v>0</v>
      </c>
      <c r="H231" s="43">
        <v>25405327</v>
      </c>
      <c r="I231" s="43">
        <v>0</v>
      </c>
      <c r="J231" s="43">
        <v>13475983</v>
      </c>
      <c r="K231" s="43">
        <v>0</v>
      </c>
      <c r="L231" s="43">
        <v>1632347</v>
      </c>
      <c r="M231" s="43">
        <v>0</v>
      </c>
      <c r="N231" s="43">
        <v>9191772</v>
      </c>
      <c r="O231" s="43">
        <v>0</v>
      </c>
      <c r="P231" s="43">
        <v>4862306</v>
      </c>
      <c r="Q231" s="43">
        <v>0</v>
      </c>
      <c r="R231" s="43">
        <v>0</v>
      </c>
      <c r="S231" s="43">
        <v>0</v>
      </c>
      <c r="T231" s="43">
        <v>0</v>
      </c>
      <c r="U231" s="43">
        <v>0</v>
      </c>
      <c r="V231" s="43">
        <v>0</v>
      </c>
      <c r="W231" s="43">
        <v>0</v>
      </c>
      <c r="X231" s="43">
        <v>0</v>
      </c>
      <c r="Y231" s="43">
        <v>0</v>
      </c>
      <c r="Z231" s="43">
        <v>0</v>
      </c>
      <c r="AA231" s="43">
        <v>0</v>
      </c>
      <c r="AB231" s="43">
        <v>2500000</v>
      </c>
      <c r="AC231" s="43">
        <v>0</v>
      </c>
      <c r="AD231" s="43">
        <v>0</v>
      </c>
      <c r="AE231" s="43">
        <v>0</v>
      </c>
      <c r="AF231" s="43">
        <v>0</v>
      </c>
      <c r="AG231" s="43"/>
      <c r="AH231" s="43">
        <f t="shared" si="7"/>
        <v>57067735</v>
      </c>
    </row>
    <row r="232" spans="1:34" s="4" customFormat="1" hidden="1" x14ac:dyDescent="0.2">
      <c r="A232" s="4">
        <v>102</v>
      </c>
      <c r="B232" s="4" t="s">
        <v>236</v>
      </c>
      <c r="D232" s="4" t="s">
        <v>44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v>0</v>
      </c>
      <c r="O232" s="43">
        <v>0</v>
      </c>
      <c r="P232" s="43">
        <v>0</v>
      </c>
      <c r="Q232" s="43">
        <v>0</v>
      </c>
      <c r="R232" s="43">
        <v>0</v>
      </c>
      <c r="S232" s="43">
        <v>0</v>
      </c>
      <c r="T232" s="43">
        <v>0</v>
      </c>
      <c r="U232" s="43">
        <v>0</v>
      </c>
      <c r="V232" s="43">
        <v>0</v>
      </c>
      <c r="W232" s="43">
        <v>0</v>
      </c>
      <c r="X232" s="43">
        <v>0</v>
      </c>
      <c r="Y232" s="43">
        <v>0</v>
      </c>
      <c r="Z232" s="43">
        <v>0</v>
      </c>
      <c r="AA232" s="43">
        <v>0</v>
      </c>
      <c r="AB232" s="43">
        <v>0</v>
      </c>
      <c r="AC232" s="43">
        <v>0</v>
      </c>
      <c r="AD232" s="43">
        <v>0</v>
      </c>
      <c r="AE232" s="43">
        <v>0</v>
      </c>
      <c r="AF232" s="43">
        <v>0</v>
      </c>
      <c r="AG232" s="43"/>
      <c r="AH232" s="43">
        <f t="shared" si="7"/>
        <v>0</v>
      </c>
    </row>
    <row r="233" spans="1:34" s="4" customFormat="1" hidden="1" x14ac:dyDescent="0.2">
      <c r="A233" s="39">
        <v>197.1</v>
      </c>
      <c r="B233" s="3" t="s">
        <v>568</v>
      </c>
      <c r="C233" s="3"/>
      <c r="D233" s="3" t="s">
        <v>569</v>
      </c>
      <c r="E233" s="3"/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3">
        <v>0</v>
      </c>
      <c r="R233" s="43">
        <v>0</v>
      </c>
      <c r="S233" s="43">
        <v>0</v>
      </c>
      <c r="T233" s="43">
        <v>0</v>
      </c>
      <c r="U233" s="43">
        <v>0</v>
      </c>
      <c r="V233" s="43">
        <v>0</v>
      </c>
      <c r="W233" s="43">
        <v>0</v>
      </c>
      <c r="X233" s="43">
        <v>0</v>
      </c>
      <c r="Y233" s="43">
        <v>0</v>
      </c>
      <c r="Z233" s="43">
        <v>0</v>
      </c>
      <c r="AA233" s="43">
        <v>0</v>
      </c>
      <c r="AB233" s="43">
        <v>0</v>
      </c>
      <c r="AC233" s="43">
        <v>0</v>
      </c>
      <c r="AD233" s="43">
        <v>0</v>
      </c>
      <c r="AE233" s="43">
        <v>0</v>
      </c>
      <c r="AF233" s="43">
        <v>0</v>
      </c>
      <c r="AG233" s="43"/>
      <c r="AH233" s="43">
        <f t="shared" si="7"/>
        <v>0</v>
      </c>
    </row>
    <row r="234" spans="1:34" s="4" customFormat="1" hidden="1" x14ac:dyDescent="0.2">
      <c r="A234" s="4">
        <v>193</v>
      </c>
      <c r="B234" s="3" t="s">
        <v>237</v>
      </c>
      <c r="C234" s="3"/>
      <c r="D234" s="3" t="s">
        <v>171</v>
      </c>
      <c r="E234" s="3"/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v>0</v>
      </c>
      <c r="O234" s="43">
        <v>0</v>
      </c>
      <c r="P234" s="43">
        <v>0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43">
        <v>0</v>
      </c>
      <c r="W234" s="43">
        <v>0</v>
      </c>
      <c r="X234" s="43">
        <v>0</v>
      </c>
      <c r="Y234" s="43">
        <v>0</v>
      </c>
      <c r="Z234" s="43">
        <v>0</v>
      </c>
      <c r="AA234" s="43">
        <v>0</v>
      </c>
      <c r="AB234" s="43">
        <v>0</v>
      </c>
      <c r="AC234" s="43">
        <v>0</v>
      </c>
      <c r="AD234" s="43">
        <v>0</v>
      </c>
      <c r="AE234" s="43">
        <v>0</v>
      </c>
      <c r="AF234" s="43">
        <v>0</v>
      </c>
      <c r="AG234" s="43"/>
      <c r="AH234" s="43">
        <f t="shared" ref="AH234:AH266" si="8">SUM(F234:AF234)</f>
        <v>0</v>
      </c>
    </row>
    <row r="235" spans="1:34" s="4" customFormat="1" x14ac:dyDescent="0.2">
      <c r="A235" s="4">
        <v>153</v>
      </c>
      <c r="B235" s="4" t="s">
        <v>311</v>
      </c>
      <c r="D235" s="4" t="s">
        <v>213</v>
      </c>
      <c r="F235" s="43">
        <v>0</v>
      </c>
      <c r="G235" s="43">
        <v>0</v>
      </c>
      <c r="H235" s="43">
        <v>6128848</v>
      </c>
      <c r="I235" s="43">
        <v>0</v>
      </c>
      <c r="J235" s="43">
        <v>2083939</v>
      </c>
      <c r="K235" s="43">
        <v>0</v>
      </c>
      <c r="L235" s="43">
        <v>277501</v>
      </c>
      <c r="M235" s="43">
        <v>0</v>
      </c>
      <c r="N235" s="43">
        <v>1832604</v>
      </c>
      <c r="O235" s="43">
        <v>0</v>
      </c>
      <c r="P235" s="43">
        <v>1538836</v>
      </c>
      <c r="Q235" s="43">
        <v>0</v>
      </c>
      <c r="R235" s="43">
        <v>0</v>
      </c>
      <c r="S235" s="43">
        <v>0</v>
      </c>
      <c r="T235" s="43">
        <v>0</v>
      </c>
      <c r="U235" s="43">
        <v>0</v>
      </c>
      <c r="V235" s="43">
        <v>1193153</v>
      </c>
      <c r="W235" s="43">
        <v>0</v>
      </c>
      <c r="X235" s="43">
        <v>0</v>
      </c>
      <c r="Y235" s="43">
        <v>0</v>
      </c>
      <c r="Z235" s="43">
        <v>0</v>
      </c>
      <c r="AA235" s="43">
        <v>0</v>
      </c>
      <c r="AB235" s="43">
        <v>6450000</v>
      </c>
      <c r="AC235" s="43">
        <v>0</v>
      </c>
      <c r="AD235" s="43">
        <v>0</v>
      </c>
      <c r="AE235" s="43">
        <v>0</v>
      </c>
      <c r="AF235" s="43">
        <v>0</v>
      </c>
      <c r="AG235" s="43"/>
      <c r="AH235" s="43">
        <f t="shared" si="8"/>
        <v>19504881</v>
      </c>
    </row>
    <row r="236" spans="1:34" s="4" customFormat="1" x14ac:dyDescent="0.2">
      <c r="A236" s="4">
        <v>238</v>
      </c>
      <c r="B236" s="4" t="s">
        <v>239</v>
      </c>
      <c r="D236" s="4" t="s">
        <v>191</v>
      </c>
      <c r="F236" s="43">
        <v>62846.25</v>
      </c>
      <c r="G236" s="43">
        <v>0</v>
      </c>
      <c r="H236" s="43">
        <f>119785.75+45859.22+36991.13</f>
        <v>202636.1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3">
        <v>0</v>
      </c>
      <c r="Q236" s="43">
        <v>0</v>
      </c>
      <c r="R236" s="43">
        <v>12727.95</v>
      </c>
      <c r="S236" s="43">
        <v>0</v>
      </c>
      <c r="T236" s="43">
        <v>1141.5</v>
      </c>
      <c r="U236" s="43">
        <v>0</v>
      </c>
      <c r="V236" s="43">
        <v>16817.97</v>
      </c>
      <c r="W236" s="43">
        <v>0</v>
      </c>
      <c r="X236" s="43">
        <v>42052.41</v>
      </c>
      <c r="Y236" s="43">
        <v>0</v>
      </c>
      <c r="Z236" s="43">
        <v>0</v>
      </c>
      <c r="AA236" s="43">
        <v>0</v>
      </c>
      <c r="AB236" s="43">
        <v>0</v>
      </c>
      <c r="AC236" s="43">
        <v>0</v>
      </c>
      <c r="AD236" s="43">
        <v>0</v>
      </c>
      <c r="AE236" s="43">
        <v>0</v>
      </c>
      <c r="AF236" s="43">
        <v>0</v>
      </c>
      <c r="AG236" s="43"/>
      <c r="AH236" s="43">
        <f>SUM(G236:AF236)</f>
        <v>275375.93000000005</v>
      </c>
    </row>
    <row r="237" spans="1:34" s="4" customFormat="1" hidden="1" x14ac:dyDescent="0.2">
      <c r="A237" s="4">
        <v>100</v>
      </c>
      <c r="B237" s="4" t="s">
        <v>312</v>
      </c>
      <c r="D237" s="4" t="s">
        <v>59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v>0</v>
      </c>
      <c r="O237" s="43">
        <v>0</v>
      </c>
      <c r="P237" s="43">
        <v>0</v>
      </c>
      <c r="Q237" s="43">
        <v>0</v>
      </c>
      <c r="R237" s="43">
        <v>0</v>
      </c>
      <c r="S237" s="43">
        <v>0</v>
      </c>
      <c r="T237" s="43">
        <v>0</v>
      </c>
      <c r="U237" s="43">
        <v>0</v>
      </c>
      <c r="V237" s="43">
        <v>0</v>
      </c>
      <c r="W237" s="43">
        <v>0</v>
      </c>
      <c r="X237" s="43">
        <v>0</v>
      </c>
      <c r="Y237" s="43">
        <v>0</v>
      </c>
      <c r="Z237" s="43">
        <v>0</v>
      </c>
      <c r="AA237" s="43">
        <v>0</v>
      </c>
      <c r="AB237" s="43">
        <v>0</v>
      </c>
      <c r="AC237" s="43">
        <v>0</v>
      </c>
      <c r="AD237" s="43">
        <v>0</v>
      </c>
      <c r="AE237" s="43">
        <v>0</v>
      </c>
      <c r="AF237" s="43">
        <v>0</v>
      </c>
      <c r="AG237" s="43"/>
      <c r="AH237" s="43">
        <f>SUM(F237:AF237)</f>
        <v>0</v>
      </c>
    </row>
    <row r="238" spans="1:34" s="4" customFormat="1" hidden="1" x14ac:dyDescent="0.2">
      <c r="A238" s="4">
        <v>68</v>
      </c>
      <c r="B238" s="4" t="s">
        <v>458</v>
      </c>
      <c r="D238" s="4" t="s">
        <v>165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3">
        <v>0</v>
      </c>
      <c r="Q238" s="43">
        <v>0</v>
      </c>
      <c r="R238" s="43">
        <v>0</v>
      </c>
      <c r="S238" s="43">
        <v>0</v>
      </c>
      <c r="T238" s="43">
        <v>0</v>
      </c>
      <c r="U238" s="43">
        <v>0</v>
      </c>
      <c r="V238" s="43">
        <v>0</v>
      </c>
      <c r="W238" s="43">
        <v>0</v>
      </c>
      <c r="X238" s="43">
        <v>0</v>
      </c>
      <c r="Y238" s="43">
        <v>0</v>
      </c>
      <c r="Z238" s="43">
        <v>0</v>
      </c>
      <c r="AA238" s="43">
        <v>0</v>
      </c>
      <c r="AB238" s="43">
        <v>0</v>
      </c>
      <c r="AC238" s="43">
        <v>0</v>
      </c>
      <c r="AD238" s="43">
        <v>0</v>
      </c>
      <c r="AE238" s="43">
        <v>0</v>
      </c>
      <c r="AF238" s="43">
        <v>0</v>
      </c>
      <c r="AG238" s="43"/>
      <c r="AH238" s="43">
        <f t="shared" si="8"/>
        <v>0</v>
      </c>
    </row>
    <row r="239" spans="1:34" s="4" customFormat="1" hidden="1" x14ac:dyDescent="0.2">
      <c r="A239" s="4">
        <v>15</v>
      </c>
      <c r="B239" s="4" t="s">
        <v>241</v>
      </c>
      <c r="D239" s="4" t="s">
        <v>41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  <c r="Q239" s="43">
        <v>0</v>
      </c>
      <c r="R239" s="43">
        <v>0</v>
      </c>
      <c r="S239" s="43">
        <v>0</v>
      </c>
      <c r="T239" s="43">
        <v>0</v>
      </c>
      <c r="U239" s="43">
        <v>0</v>
      </c>
      <c r="V239" s="43">
        <v>0</v>
      </c>
      <c r="W239" s="43">
        <v>0</v>
      </c>
      <c r="X239" s="43">
        <v>0</v>
      </c>
      <c r="Y239" s="43">
        <v>0</v>
      </c>
      <c r="Z239" s="43">
        <v>0</v>
      </c>
      <c r="AA239" s="43">
        <v>0</v>
      </c>
      <c r="AB239" s="43">
        <v>0</v>
      </c>
      <c r="AC239" s="43">
        <v>0</v>
      </c>
      <c r="AD239" s="43">
        <v>0</v>
      </c>
      <c r="AE239" s="43">
        <v>0</v>
      </c>
      <c r="AF239" s="43">
        <v>0</v>
      </c>
      <c r="AG239" s="43"/>
      <c r="AH239" s="43">
        <f t="shared" si="8"/>
        <v>0</v>
      </c>
    </row>
    <row r="240" spans="1:34" s="4" customFormat="1" hidden="1" x14ac:dyDescent="0.2">
      <c r="A240" s="4">
        <v>161</v>
      </c>
      <c r="B240" s="4" t="s">
        <v>339</v>
      </c>
      <c r="D240" s="4" t="s">
        <v>48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</v>
      </c>
      <c r="Q240" s="43">
        <v>0</v>
      </c>
      <c r="R240" s="43">
        <v>0</v>
      </c>
      <c r="S240" s="43">
        <v>0</v>
      </c>
      <c r="T240" s="43">
        <v>0</v>
      </c>
      <c r="U240" s="43">
        <v>0</v>
      </c>
      <c r="V240" s="43">
        <v>0</v>
      </c>
      <c r="W240" s="43">
        <v>0</v>
      </c>
      <c r="X240" s="43">
        <v>0</v>
      </c>
      <c r="Y240" s="43">
        <v>0</v>
      </c>
      <c r="Z240" s="43">
        <v>0</v>
      </c>
      <c r="AA240" s="43">
        <v>0</v>
      </c>
      <c r="AB240" s="43">
        <v>0</v>
      </c>
      <c r="AC240" s="43">
        <v>0</v>
      </c>
      <c r="AD240" s="43">
        <v>0</v>
      </c>
      <c r="AE240" s="43">
        <v>0</v>
      </c>
      <c r="AF240" s="43">
        <v>0</v>
      </c>
      <c r="AG240" s="43"/>
      <c r="AH240" s="43">
        <f t="shared" si="8"/>
        <v>0</v>
      </c>
    </row>
    <row r="241" spans="1:66" s="4" customFormat="1" x14ac:dyDescent="0.2">
      <c r="A241" s="4">
        <v>56</v>
      </c>
      <c r="B241" s="4" t="s">
        <v>242</v>
      </c>
      <c r="D241" s="4" t="s">
        <v>17</v>
      </c>
      <c r="F241" s="43">
        <v>0</v>
      </c>
      <c r="G241" s="43">
        <v>0</v>
      </c>
      <c r="H241" s="43">
        <v>1708925</v>
      </c>
      <c r="I241" s="43">
        <v>0</v>
      </c>
      <c r="J241" s="43">
        <v>1115815</v>
      </c>
      <c r="K241" s="43">
        <v>0</v>
      </c>
      <c r="L241" s="43">
        <v>299138</v>
      </c>
      <c r="M241" s="43">
        <v>0</v>
      </c>
      <c r="N241" s="43">
        <v>430052</v>
      </c>
      <c r="O241" s="43">
        <v>0</v>
      </c>
      <c r="P241" s="43">
        <v>365986</v>
      </c>
      <c r="Q241" s="43">
        <v>0</v>
      </c>
      <c r="R241" s="43">
        <v>0</v>
      </c>
      <c r="S241" s="43">
        <v>0</v>
      </c>
      <c r="T241" s="43">
        <v>0</v>
      </c>
      <c r="U241" s="43">
        <v>0</v>
      </c>
      <c r="V241" s="43">
        <v>109067</v>
      </c>
      <c r="W241" s="43">
        <v>0</v>
      </c>
      <c r="X241" s="43">
        <v>205000</v>
      </c>
      <c r="Y241" s="43">
        <v>0</v>
      </c>
      <c r="Z241" s="43">
        <v>32750</v>
      </c>
      <c r="AA241" s="43">
        <v>0</v>
      </c>
      <c r="AB241" s="43">
        <v>208000</v>
      </c>
      <c r="AC241" s="43">
        <v>0</v>
      </c>
      <c r="AD241" s="43">
        <v>0</v>
      </c>
      <c r="AE241" s="43">
        <v>0</v>
      </c>
      <c r="AF241" s="43">
        <v>0</v>
      </c>
      <c r="AG241" s="43"/>
      <c r="AH241" s="43">
        <f t="shared" si="8"/>
        <v>4474733</v>
      </c>
    </row>
    <row r="242" spans="1:66" s="74" customFormat="1" hidden="1" x14ac:dyDescent="0.2">
      <c r="A242" s="74">
        <v>214</v>
      </c>
      <c r="B242" s="74" t="s">
        <v>243</v>
      </c>
      <c r="D242" s="74" t="s">
        <v>23</v>
      </c>
      <c r="F242" s="43">
        <v>283480</v>
      </c>
      <c r="G242" s="43">
        <v>0</v>
      </c>
      <c r="H242" s="43">
        <f>1193855+385782</f>
        <v>1579637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3">
        <v>0</v>
      </c>
      <c r="R242" s="43">
        <v>52258</v>
      </c>
      <c r="S242" s="43">
        <v>0</v>
      </c>
      <c r="T242" s="43">
        <v>6197</v>
      </c>
      <c r="U242" s="43">
        <v>0</v>
      </c>
      <c r="V242" s="43">
        <v>223189</v>
      </c>
      <c r="W242" s="43">
        <v>0</v>
      </c>
      <c r="X242" s="43">
        <v>0</v>
      </c>
      <c r="Y242" s="43">
        <v>0</v>
      </c>
      <c r="Z242" s="43">
        <v>0</v>
      </c>
      <c r="AA242" s="43">
        <v>0</v>
      </c>
      <c r="AB242" s="43">
        <v>0</v>
      </c>
      <c r="AC242" s="43">
        <v>0</v>
      </c>
      <c r="AD242" s="43">
        <v>0</v>
      </c>
      <c r="AE242" s="43">
        <v>0</v>
      </c>
      <c r="AF242" s="43">
        <v>0</v>
      </c>
      <c r="AG242" s="43"/>
      <c r="AH242" s="43">
        <f t="shared" si="8"/>
        <v>2144761</v>
      </c>
    </row>
    <row r="243" spans="1:66" s="4" customFormat="1" x14ac:dyDescent="0.2">
      <c r="A243" s="4">
        <v>253</v>
      </c>
      <c r="B243" s="4" t="s">
        <v>244</v>
      </c>
      <c r="D243" s="4" t="s">
        <v>63</v>
      </c>
      <c r="F243" s="43">
        <v>0</v>
      </c>
      <c r="G243" s="43">
        <v>0</v>
      </c>
      <c r="H243" s="43">
        <v>853898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v>0</v>
      </c>
      <c r="O243" s="43">
        <v>0</v>
      </c>
      <c r="P243" s="43">
        <v>0</v>
      </c>
      <c r="Q243" s="43">
        <v>0</v>
      </c>
      <c r="R243" s="43">
        <v>0</v>
      </c>
      <c r="S243" s="43">
        <v>0</v>
      </c>
      <c r="T243" s="43">
        <v>0</v>
      </c>
      <c r="U243" s="43">
        <v>0</v>
      </c>
      <c r="V243" s="43">
        <v>0</v>
      </c>
      <c r="W243" s="43">
        <v>0</v>
      </c>
      <c r="X243" s="43">
        <v>0</v>
      </c>
      <c r="Y243" s="43">
        <v>0</v>
      </c>
      <c r="Z243" s="43">
        <v>0</v>
      </c>
      <c r="AA243" s="43">
        <v>0</v>
      </c>
      <c r="AB243" s="43">
        <v>0</v>
      </c>
      <c r="AC243" s="43">
        <v>0</v>
      </c>
      <c r="AD243" s="43">
        <v>0</v>
      </c>
      <c r="AE243" s="43">
        <v>0</v>
      </c>
      <c r="AF243" s="43">
        <v>0</v>
      </c>
      <c r="AG243" s="43"/>
      <c r="AH243" s="43">
        <f t="shared" si="8"/>
        <v>853898</v>
      </c>
    </row>
    <row r="244" spans="1:66" s="4" customFormat="1" hidden="1" x14ac:dyDescent="0.2">
      <c r="A244" s="4">
        <v>36</v>
      </c>
      <c r="B244" s="4" t="s">
        <v>245</v>
      </c>
      <c r="D244" s="4" t="s">
        <v>67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3">
        <v>0</v>
      </c>
      <c r="L244" s="43">
        <v>0</v>
      </c>
      <c r="M244" s="43">
        <v>0</v>
      </c>
      <c r="N244" s="43">
        <v>0</v>
      </c>
      <c r="O244" s="43">
        <v>0</v>
      </c>
      <c r="P244" s="43">
        <v>0</v>
      </c>
      <c r="Q244" s="43">
        <v>0</v>
      </c>
      <c r="R244" s="43">
        <v>0</v>
      </c>
      <c r="S244" s="43">
        <v>0</v>
      </c>
      <c r="T244" s="43">
        <v>0</v>
      </c>
      <c r="U244" s="43">
        <v>0</v>
      </c>
      <c r="V244" s="43">
        <v>0</v>
      </c>
      <c r="W244" s="43">
        <v>0</v>
      </c>
      <c r="X244" s="43">
        <v>0</v>
      </c>
      <c r="Y244" s="43">
        <v>0</v>
      </c>
      <c r="Z244" s="43">
        <v>0</v>
      </c>
      <c r="AA244" s="43">
        <v>0</v>
      </c>
      <c r="AB244" s="43">
        <v>0</v>
      </c>
      <c r="AC244" s="43">
        <v>0</v>
      </c>
      <c r="AD244" s="43">
        <v>0</v>
      </c>
      <c r="AE244" s="43">
        <v>0</v>
      </c>
      <c r="AF244" s="43">
        <v>0</v>
      </c>
      <c r="AG244" s="43"/>
      <c r="AH244" s="43">
        <f t="shared" si="8"/>
        <v>0</v>
      </c>
    </row>
    <row r="245" spans="1:66" s="4" customFormat="1" hidden="1" x14ac:dyDescent="0.2">
      <c r="A245" s="4">
        <v>30</v>
      </c>
      <c r="B245" s="4" t="s">
        <v>343</v>
      </c>
      <c r="D245" s="4" t="s">
        <v>60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3">
        <v>0</v>
      </c>
      <c r="Q245" s="43">
        <v>0</v>
      </c>
      <c r="R245" s="43">
        <v>0</v>
      </c>
      <c r="S245" s="43">
        <v>0</v>
      </c>
      <c r="T245" s="43">
        <v>0</v>
      </c>
      <c r="U245" s="43">
        <v>0</v>
      </c>
      <c r="V245" s="43">
        <v>0</v>
      </c>
      <c r="W245" s="43">
        <v>0</v>
      </c>
      <c r="X245" s="43">
        <v>0</v>
      </c>
      <c r="Y245" s="43">
        <v>0</v>
      </c>
      <c r="Z245" s="43">
        <v>0</v>
      </c>
      <c r="AA245" s="43">
        <v>0</v>
      </c>
      <c r="AB245" s="43">
        <v>0</v>
      </c>
      <c r="AC245" s="43">
        <v>0</v>
      </c>
      <c r="AD245" s="43">
        <v>0</v>
      </c>
      <c r="AE245" s="43">
        <v>0</v>
      </c>
      <c r="AF245" s="43">
        <v>0</v>
      </c>
      <c r="AG245" s="43"/>
      <c r="AH245" s="43">
        <f t="shared" si="8"/>
        <v>0</v>
      </c>
    </row>
    <row r="246" spans="1:66" s="4" customFormat="1" x14ac:dyDescent="0.2">
      <c r="A246" s="4">
        <v>43</v>
      </c>
      <c r="B246" s="4" t="s">
        <v>246</v>
      </c>
      <c r="D246" s="4" t="s">
        <v>49</v>
      </c>
      <c r="F246" s="43">
        <v>0</v>
      </c>
      <c r="G246" s="43">
        <v>0</v>
      </c>
      <c r="H246" s="43">
        <v>246722</v>
      </c>
      <c r="I246" s="43">
        <v>0</v>
      </c>
      <c r="J246" s="43">
        <v>264894</v>
      </c>
      <c r="K246" s="43">
        <v>0</v>
      </c>
      <c r="L246" s="43">
        <v>57635</v>
      </c>
      <c r="M246" s="43">
        <v>0</v>
      </c>
      <c r="N246" s="43">
        <v>119132</v>
      </c>
      <c r="O246" s="43">
        <v>0</v>
      </c>
      <c r="P246" s="43">
        <v>190598</v>
      </c>
      <c r="Q246" s="43">
        <v>0</v>
      </c>
      <c r="R246" s="43">
        <v>0</v>
      </c>
      <c r="S246" s="43">
        <v>0</v>
      </c>
      <c r="T246" s="43">
        <v>0</v>
      </c>
      <c r="U246" s="43">
        <v>0</v>
      </c>
      <c r="V246" s="43">
        <v>67243</v>
      </c>
      <c r="W246" s="43">
        <v>0</v>
      </c>
      <c r="X246" s="43">
        <v>0</v>
      </c>
      <c r="Y246" s="43">
        <v>0</v>
      </c>
      <c r="Z246" s="43">
        <v>0</v>
      </c>
      <c r="AA246" s="43">
        <v>0</v>
      </c>
      <c r="AB246" s="43">
        <v>201241</v>
      </c>
      <c r="AC246" s="43">
        <v>0</v>
      </c>
      <c r="AD246" s="43">
        <v>0</v>
      </c>
      <c r="AE246" s="43">
        <v>0</v>
      </c>
      <c r="AF246" s="43">
        <v>0</v>
      </c>
      <c r="AG246" s="43"/>
      <c r="AH246" s="43">
        <f t="shared" si="8"/>
        <v>1147465</v>
      </c>
    </row>
    <row r="247" spans="1:66" s="4" customFormat="1" x14ac:dyDescent="0.2">
      <c r="A247" s="4">
        <v>244</v>
      </c>
      <c r="B247" s="4" t="s">
        <v>247</v>
      </c>
      <c r="D247" s="4" t="s">
        <v>52</v>
      </c>
      <c r="F247" s="43">
        <v>0</v>
      </c>
      <c r="G247" s="43">
        <v>0</v>
      </c>
      <c r="H247" s="43">
        <v>582401</v>
      </c>
      <c r="I247" s="43">
        <v>0</v>
      </c>
      <c r="J247" s="43">
        <v>92603</v>
      </c>
      <c r="K247" s="43">
        <v>0</v>
      </c>
      <c r="L247" s="43">
        <v>0</v>
      </c>
      <c r="M247" s="43">
        <v>0</v>
      </c>
      <c r="N247" s="43">
        <v>25396</v>
      </c>
      <c r="O247" s="43">
        <v>0</v>
      </c>
      <c r="P247" s="43">
        <v>14344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43">
        <v>5204</v>
      </c>
      <c r="W247" s="43">
        <v>0</v>
      </c>
      <c r="X247" s="43">
        <v>0</v>
      </c>
      <c r="Y247" s="43">
        <v>0</v>
      </c>
      <c r="Z247" s="43">
        <v>0</v>
      </c>
      <c r="AA247" s="43">
        <v>0</v>
      </c>
      <c r="AB247" s="43">
        <v>0</v>
      </c>
      <c r="AC247" s="43">
        <v>0</v>
      </c>
      <c r="AD247" s="43">
        <v>0</v>
      </c>
      <c r="AE247" s="43">
        <v>0</v>
      </c>
      <c r="AF247" s="43">
        <v>0</v>
      </c>
      <c r="AG247" s="43"/>
      <c r="AH247" s="43">
        <f t="shared" si="8"/>
        <v>719948</v>
      </c>
    </row>
    <row r="248" spans="1:66" s="4" customFormat="1" x14ac:dyDescent="0.2">
      <c r="A248" s="4">
        <v>69</v>
      </c>
      <c r="B248" s="4" t="s">
        <v>313</v>
      </c>
      <c r="D248" s="4" t="s">
        <v>165</v>
      </c>
      <c r="F248" s="43">
        <v>0</v>
      </c>
      <c r="G248" s="43">
        <v>0</v>
      </c>
      <c r="H248" s="43">
        <v>3283198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v>0</v>
      </c>
      <c r="O248" s="43">
        <v>0</v>
      </c>
      <c r="P248" s="43">
        <v>0</v>
      </c>
      <c r="Q248" s="43">
        <v>0</v>
      </c>
      <c r="R248" s="43">
        <v>0</v>
      </c>
      <c r="S248" s="43">
        <v>0</v>
      </c>
      <c r="T248" s="43">
        <v>0</v>
      </c>
      <c r="U248" s="43">
        <v>0</v>
      </c>
      <c r="V248" s="43">
        <v>0</v>
      </c>
      <c r="W248" s="43">
        <v>0</v>
      </c>
      <c r="X248" s="43">
        <v>0</v>
      </c>
      <c r="Y248" s="43">
        <v>0</v>
      </c>
      <c r="Z248" s="43">
        <v>0</v>
      </c>
      <c r="AA248" s="43">
        <v>0</v>
      </c>
      <c r="AB248" s="43">
        <v>0</v>
      </c>
      <c r="AC248" s="43">
        <v>0</v>
      </c>
      <c r="AD248" s="43">
        <v>0</v>
      </c>
      <c r="AE248" s="43">
        <v>0</v>
      </c>
      <c r="AF248" s="43">
        <v>0</v>
      </c>
      <c r="AG248" s="43"/>
      <c r="AH248" s="43">
        <f t="shared" si="8"/>
        <v>3283198</v>
      </c>
    </row>
    <row r="249" spans="1:66" s="4" customFormat="1" hidden="1" x14ac:dyDescent="0.2">
      <c r="A249" s="4">
        <v>177</v>
      </c>
      <c r="B249" s="4" t="s">
        <v>248</v>
      </c>
      <c r="D249" s="4" t="s">
        <v>66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3">
        <v>0</v>
      </c>
      <c r="Q249" s="43">
        <v>0</v>
      </c>
      <c r="R249" s="43">
        <v>0</v>
      </c>
      <c r="S249" s="43">
        <v>0</v>
      </c>
      <c r="T249" s="43">
        <v>0</v>
      </c>
      <c r="U249" s="43">
        <v>0</v>
      </c>
      <c r="V249" s="43">
        <v>0</v>
      </c>
      <c r="W249" s="43">
        <v>0</v>
      </c>
      <c r="X249" s="43">
        <v>0</v>
      </c>
      <c r="Y249" s="43">
        <v>0</v>
      </c>
      <c r="Z249" s="43">
        <v>0</v>
      </c>
      <c r="AA249" s="43">
        <v>0</v>
      </c>
      <c r="AB249" s="43">
        <v>0</v>
      </c>
      <c r="AC249" s="43">
        <v>0</v>
      </c>
      <c r="AD249" s="43">
        <v>0</v>
      </c>
      <c r="AE249" s="43">
        <v>0</v>
      </c>
      <c r="AF249" s="43">
        <v>0</v>
      </c>
      <c r="AG249" s="43"/>
      <c r="AH249" s="43">
        <f t="shared" si="8"/>
        <v>0</v>
      </c>
    </row>
    <row r="250" spans="1:66" s="4" customFormat="1" hidden="1" x14ac:dyDescent="0.2">
      <c r="A250" s="4">
        <v>206</v>
      </c>
      <c r="B250" s="4" t="s">
        <v>249</v>
      </c>
      <c r="D250" s="4" t="s">
        <v>43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v>0</v>
      </c>
      <c r="O250" s="43">
        <v>0</v>
      </c>
      <c r="P250" s="43">
        <v>0</v>
      </c>
      <c r="Q250" s="43">
        <v>0</v>
      </c>
      <c r="R250" s="43">
        <v>0</v>
      </c>
      <c r="S250" s="43">
        <v>0</v>
      </c>
      <c r="T250" s="43">
        <v>0</v>
      </c>
      <c r="U250" s="43">
        <v>0</v>
      </c>
      <c r="V250" s="43">
        <v>0</v>
      </c>
      <c r="W250" s="43">
        <v>0</v>
      </c>
      <c r="X250" s="43">
        <v>0</v>
      </c>
      <c r="Y250" s="43">
        <v>0</v>
      </c>
      <c r="Z250" s="43">
        <v>0</v>
      </c>
      <c r="AA250" s="43">
        <v>0</v>
      </c>
      <c r="AB250" s="43">
        <v>0</v>
      </c>
      <c r="AC250" s="43">
        <v>0</v>
      </c>
      <c r="AD250" s="43">
        <v>0</v>
      </c>
      <c r="AE250" s="43">
        <v>0</v>
      </c>
      <c r="AF250" s="43">
        <v>0</v>
      </c>
      <c r="AG250" s="43"/>
      <c r="AH250" s="43">
        <f t="shared" si="8"/>
        <v>0</v>
      </c>
    </row>
    <row r="251" spans="1:66" s="4" customFormat="1" hidden="1" x14ac:dyDescent="0.2">
      <c r="A251" s="4">
        <v>57</v>
      </c>
      <c r="B251" s="4" t="s">
        <v>250</v>
      </c>
      <c r="D251" s="4" t="s">
        <v>17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v>0</v>
      </c>
      <c r="O251" s="43">
        <v>0</v>
      </c>
      <c r="P251" s="43">
        <v>0</v>
      </c>
      <c r="Q251" s="43">
        <v>0</v>
      </c>
      <c r="R251" s="43">
        <v>0</v>
      </c>
      <c r="S251" s="43">
        <v>0</v>
      </c>
      <c r="T251" s="43">
        <v>0</v>
      </c>
      <c r="U251" s="43">
        <v>0</v>
      </c>
      <c r="V251" s="43">
        <v>0</v>
      </c>
      <c r="W251" s="43">
        <v>0</v>
      </c>
      <c r="X251" s="43">
        <v>0</v>
      </c>
      <c r="Y251" s="43">
        <v>0</v>
      </c>
      <c r="Z251" s="43">
        <v>0</v>
      </c>
      <c r="AA251" s="43">
        <v>0</v>
      </c>
      <c r="AB251" s="43">
        <v>0</v>
      </c>
      <c r="AC251" s="43">
        <v>0</v>
      </c>
      <c r="AD251" s="43">
        <v>0</v>
      </c>
      <c r="AE251" s="43">
        <v>0</v>
      </c>
      <c r="AF251" s="43">
        <v>0</v>
      </c>
      <c r="AG251" s="43"/>
      <c r="AH251" s="43">
        <f t="shared" si="8"/>
        <v>0</v>
      </c>
    </row>
    <row r="252" spans="1:66" s="4" customFormat="1" x14ac:dyDescent="0.2">
      <c r="A252" s="4">
        <v>69</v>
      </c>
      <c r="B252" s="3" t="s">
        <v>650</v>
      </c>
      <c r="C252" s="3"/>
      <c r="D252" s="3" t="s">
        <v>76</v>
      </c>
      <c r="E252" s="3"/>
      <c r="F252" s="43">
        <v>0</v>
      </c>
      <c r="G252" s="43">
        <v>0</v>
      </c>
      <c r="H252" s="43">
        <v>19451</v>
      </c>
      <c r="I252" s="43">
        <v>0</v>
      </c>
      <c r="J252" s="43">
        <v>203316</v>
      </c>
      <c r="K252" s="43">
        <v>0</v>
      </c>
      <c r="L252" s="43">
        <v>97513</v>
      </c>
      <c r="M252" s="43">
        <v>0</v>
      </c>
      <c r="N252" s="43">
        <v>248320</v>
      </c>
      <c r="O252" s="43">
        <v>0</v>
      </c>
      <c r="P252" s="43">
        <v>883185</v>
      </c>
      <c r="Q252" s="43">
        <v>0</v>
      </c>
      <c r="R252" s="43">
        <v>0</v>
      </c>
      <c r="S252" s="43">
        <v>0</v>
      </c>
      <c r="T252" s="43">
        <v>0</v>
      </c>
      <c r="U252" s="43">
        <v>0</v>
      </c>
      <c r="V252" s="43">
        <v>21047</v>
      </c>
      <c r="W252" s="43">
        <v>0</v>
      </c>
      <c r="X252" s="43">
        <v>0</v>
      </c>
      <c r="Y252" s="43">
        <v>0</v>
      </c>
      <c r="Z252" s="43">
        <v>0</v>
      </c>
      <c r="AA252" s="43">
        <v>0</v>
      </c>
      <c r="AB252" s="43">
        <v>645715</v>
      </c>
      <c r="AC252" s="43">
        <v>0</v>
      </c>
      <c r="AD252" s="43">
        <v>0</v>
      </c>
      <c r="AE252" s="43">
        <v>0</v>
      </c>
      <c r="AF252" s="43">
        <v>0</v>
      </c>
      <c r="AG252" s="43"/>
      <c r="AH252" s="43">
        <f t="shared" ref="AH252" si="9">SUM(F252:AF252)</f>
        <v>2118547</v>
      </c>
      <c r="AI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s="4" customFormat="1" x14ac:dyDescent="0.2">
      <c r="A253" s="4">
        <v>118</v>
      </c>
      <c r="B253" s="4" t="s">
        <v>438</v>
      </c>
      <c r="D253" s="4" t="s">
        <v>168</v>
      </c>
      <c r="F253" s="43">
        <v>54317</v>
      </c>
      <c r="G253" s="43">
        <v>0</v>
      </c>
      <c r="H253" s="43">
        <f>72518+16470</f>
        <v>88988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3">
        <v>0</v>
      </c>
      <c r="Q253" s="43">
        <v>0</v>
      </c>
      <c r="R253" s="43">
        <v>2640</v>
      </c>
      <c r="S253" s="43">
        <v>0</v>
      </c>
      <c r="T253" s="43">
        <v>15533</v>
      </c>
      <c r="U253" s="43">
        <v>0</v>
      </c>
      <c r="V253" s="43">
        <v>26696</v>
      </c>
      <c r="W253" s="43">
        <v>0</v>
      </c>
      <c r="X253" s="43">
        <v>0</v>
      </c>
      <c r="Y253" s="43">
        <v>0</v>
      </c>
      <c r="Z253" s="43">
        <v>0</v>
      </c>
      <c r="AA253" s="43">
        <v>0</v>
      </c>
      <c r="AB253" s="43">
        <v>0</v>
      </c>
      <c r="AC253" s="43">
        <v>0</v>
      </c>
      <c r="AD253" s="43">
        <v>0</v>
      </c>
      <c r="AE253" s="43">
        <v>0</v>
      </c>
      <c r="AF253" s="43">
        <v>0</v>
      </c>
      <c r="AG253" s="43"/>
      <c r="AH253" s="43">
        <f t="shared" si="8"/>
        <v>188174</v>
      </c>
    </row>
    <row r="254" spans="1:66" s="4" customFormat="1" x14ac:dyDescent="0.2">
      <c r="A254" s="4">
        <v>79</v>
      </c>
      <c r="B254" s="4" t="s">
        <v>252</v>
      </c>
      <c r="D254" s="4" t="s">
        <v>90</v>
      </c>
      <c r="F254" s="43">
        <v>0</v>
      </c>
      <c r="G254" s="43">
        <v>0</v>
      </c>
      <c r="H254" s="43">
        <v>1810857</v>
      </c>
      <c r="I254" s="43">
        <v>0</v>
      </c>
      <c r="J254" s="43">
        <v>664333</v>
      </c>
      <c r="K254" s="43">
        <v>0</v>
      </c>
      <c r="L254" s="43">
        <v>214323</v>
      </c>
      <c r="M254" s="43">
        <v>0</v>
      </c>
      <c r="N254" s="43">
        <v>1011057</v>
      </c>
      <c r="O254" s="43">
        <v>0</v>
      </c>
      <c r="P254" s="43">
        <v>915926</v>
      </c>
      <c r="Q254" s="43">
        <v>0</v>
      </c>
      <c r="R254" s="43">
        <v>0</v>
      </c>
      <c r="S254" s="43">
        <v>0</v>
      </c>
      <c r="T254" s="43">
        <v>0</v>
      </c>
      <c r="U254" s="43">
        <v>0</v>
      </c>
      <c r="V254" s="43">
        <v>797264</v>
      </c>
      <c r="W254" s="43">
        <v>0</v>
      </c>
      <c r="X254" s="43">
        <v>0</v>
      </c>
      <c r="Y254" s="43">
        <v>0</v>
      </c>
      <c r="Z254" s="43">
        <v>0</v>
      </c>
      <c r="AA254" s="43">
        <v>0</v>
      </c>
      <c r="AB254" s="43">
        <v>500000</v>
      </c>
      <c r="AC254" s="43">
        <v>0</v>
      </c>
      <c r="AD254" s="43">
        <v>0</v>
      </c>
      <c r="AE254" s="43">
        <v>0</v>
      </c>
      <c r="AF254" s="43">
        <v>0</v>
      </c>
      <c r="AG254" s="43"/>
      <c r="AH254" s="43">
        <f t="shared" si="8"/>
        <v>5913760</v>
      </c>
    </row>
    <row r="255" spans="1:66" s="4" customFormat="1" hidden="1" x14ac:dyDescent="0.2">
      <c r="A255" s="4">
        <v>22</v>
      </c>
      <c r="B255" s="4" t="s">
        <v>314</v>
      </c>
      <c r="D255" s="4" t="s">
        <v>11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v>0</v>
      </c>
      <c r="P255" s="43">
        <v>0</v>
      </c>
      <c r="Q255" s="43">
        <v>0</v>
      </c>
      <c r="R255" s="43">
        <v>0</v>
      </c>
      <c r="S255" s="43">
        <v>0</v>
      </c>
      <c r="T255" s="43">
        <v>0</v>
      </c>
      <c r="U255" s="43">
        <v>0</v>
      </c>
      <c r="V255" s="43">
        <v>0</v>
      </c>
      <c r="W255" s="43">
        <v>0</v>
      </c>
      <c r="X255" s="43">
        <v>0</v>
      </c>
      <c r="Y255" s="43">
        <v>0</v>
      </c>
      <c r="Z255" s="43">
        <v>0</v>
      </c>
      <c r="AA255" s="43">
        <v>0</v>
      </c>
      <c r="AB255" s="43">
        <v>0</v>
      </c>
      <c r="AC255" s="43">
        <v>0</v>
      </c>
      <c r="AD255" s="43">
        <v>0</v>
      </c>
      <c r="AE255" s="43">
        <v>0</v>
      </c>
      <c r="AF255" s="43">
        <v>0</v>
      </c>
      <c r="AG255" s="43"/>
      <c r="AH255" s="43">
        <f t="shared" si="8"/>
        <v>0</v>
      </c>
    </row>
    <row r="256" spans="1:66" s="4" customFormat="1" hidden="1" x14ac:dyDescent="0.2">
      <c r="A256" s="4">
        <v>18</v>
      </c>
      <c r="B256" s="4" t="s">
        <v>340</v>
      </c>
      <c r="D256" s="4" t="s">
        <v>42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v>0</v>
      </c>
      <c r="O256" s="43">
        <v>0</v>
      </c>
      <c r="P256" s="43">
        <v>0</v>
      </c>
      <c r="Q256" s="43">
        <v>0</v>
      </c>
      <c r="R256" s="43">
        <v>0</v>
      </c>
      <c r="S256" s="43">
        <v>0</v>
      </c>
      <c r="T256" s="43">
        <v>0</v>
      </c>
      <c r="U256" s="43">
        <v>0</v>
      </c>
      <c r="V256" s="43">
        <v>0</v>
      </c>
      <c r="W256" s="43">
        <v>0</v>
      </c>
      <c r="X256" s="43">
        <v>0</v>
      </c>
      <c r="Y256" s="43">
        <v>0</v>
      </c>
      <c r="Z256" s="43">
        <v>0</v>
      </c>
      <c r="AA256" s="43">
        <v>0</v>
      </c>
      <c r="AB256" s="43">
        <v>0</v>
      </c>
      <c r="AC256" s="43">
        <v>0</v>
      </c>
      <c r="AD256" s="43">
        <v>0</v>
      </c>
      <c r="AE256" s="43">
        <v>0</v>
      </c>
      <c r="AF256" s="43">
        <v>0</v>
      </c>
      <c r="AG256" s="43"/>
      <c r="AH256" s="43">
        <f t="shared" si="8"/>
        <v>0</v>
      </c>
    </row>
    <row r="257" spans="1:34" s="4" customFormat="1" x14ac:dyDescent="0.2">
      <c r="A257" s="4">
        <v>215</v>
      </c>
      <c r="B257" s="4" t="s">
        <v>577</v>
      </c>
      <c r="D257" s="4" t="s">
        <v>23</v>
      </c>
      <c r="F257" s="43">
        <v>0</v>
      </c>
      <c r="G257" s="43">
        <v>0</v>
      </c>
      <c r="H257" s="43">
        <v>6552937</v>
      </c>
      <c r="I257" s="43">
        <v>0</v>
      </c>
      <c r="J257" s="43">
        <v>2161796</v>
      </c>
      <c r="K257" s="43">
        <v>0</v>
      </c>
      <c r="L257" s="43">
        <v>581751</v>
      </c>
      <c r="M257" s="43">
        <v>0</v>
      </c>
      <c r="N257" s="43">
        <v>1260214</v>
      </c>
      <c r="O257" s="43">
        <v>0</v>
      </c>
      <c r="P257" s="43">
        <v>1553085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43">
        <v>356892</v>
      </c>
      <c r="W257" s="43">
        <v>0</v>
      </c>
      <c r="X257" s="43">
        <v>0</v>
      </c>
      <c r="Y257" s="43">
        <v>0</v>
      </c>
      <c r="Z257" s="43">
        <v>0</v>
      </c>
      <c r="AA257" s="43">
        <v>0</v>
      </c>
      <c r="AB257" s="43">
        <v>0</v>
      </c>
      <c r="AC257" s="43">
        <v>0</v>
      </c>
      <c r="AD257" s="43">
        <v>0</v>
      </c>
      <c r="AE257" s="43">
        <v>0</v>
      </c>
      <c r="AF257" s="43">
        <v>0</v>
      </c>
      <c r="AG257" s="43"/>
      <c r="AH257" s="43">
        <f t="shared" si="8"/>
        <v>12466675</v>
      </c>
    </row>
    <row r="258" spans="1:34" s="4" customFormat="1" hidden="1" x14ac:dyDescent="0.2">
      <c r="A258" s="4">
        <v>120</v>
      </c>
      <c r="B258" s="4" t="s">
        <v>254</v>
      </c>
      <c r="D258" s="4" t="s">
        <v>255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43">
        <v>0</v>
      </c>
      <c r="S258" s="43">
        <v>0</v>
      </c>
      <c r="T258" s="43">
        <v>0</v>
      </c>
      <c r="U258" s="43">
        <v>0</v>
      </c>
      <c r="V258" s="43">
        <v>0</v>
      </c>
      <c r="W258" s="43">
        <v>0</v>
      </c>
      <c r="X258" s="43">
        <v>0</v>
      </c>
      <c r="Y258" s="43">
        <v>0</v>
      </c>
      <c r="Z258" s="43">
        <v>0</v>
      </c>
      <c r="AA258" s="43">
        <v>0</v>
      </c>
      <c r="AB258" s="43">
        <v>0</v>
      </c>
      <c r="AC258" s="43">
        <v>0</v>
      </c>
      <c r="AD258" s="43">
        <v>0</v>
      </c>
      <c r="AE258" s="43">
        <v>0</v>
      </c>
      <c r="AF258" s="43">
        <v>0</v>
      </c>
      <c r="AG258" s="43"/>
      <c r="AH258" s="43">
        <f t="shared" si="8"/>
        <v>0</v>
      </c>
    </row>
    <row r="259" spans="1:34" s="4" customFormat="1" x14ac:dyDescent="0.2">
      <c r="A259" s="4">
        <v>220</v>
      </c>
      <c r="B259" s="4" t="s">
        <v>256</v>
      </c>
      <c r="D259" s="4" t="s">
        <v>20</v>
      </c>
      <c r="F259" s="43">
        <v>0</v>
      </c>
      <c r="G259" s="43">
        <v>0</v>
      </c>
      <c r="H259" s="43">
        <v>1083202</v>
      </c>
      <c r="I259" s="43">
        <v>0</v>
      </c>
      <c r="J259" s="43">
        <v>660788</v>
      </c>
      <c r="K259" s="43">
        <v>0</v>
      </c>
      <c r="L259" s="43">
        <v>0</v>
      </c>
      <c r="M259" s="43">
        <v>0</v>
      </c>
      <c r="N259" s="43">
        <v>524952</v>
      </c>
      <c r="O259" s="43">
        <v>0</v>
      </c>
      <c r="P259" s="43">
        <v>310109</v>
      </c>
      <c r="Q259" s="43">
        <v>0</v>
      </c>
      <c r="R259" s="43">
        <v>0</v>
      </c>
      <c r="S259" s="43">
        <v>0</v>
      </c>
      <c r="T259" s="43">
        <v>0</v>
      </c>
      <c r="U259" s="43">
        <v>0</v>
      </c>
      <c r="V259" s="43">
        <v>90801</v>
      </c>
      <c r="W259" s="43">
        <v>0</v>
      </c>
      <c r="X259" s="43">
        <v>0</v>
      </c>
      <c r="Y259" s="43">
        <v>0</v>
      </c>
      <c r="Z259" s="43">
        <v>0</v>
      </c>
      <c r="AA259" s="43">
        <v>0</v>
      </c>
      <c r="AB259" s="43">
        <v>0</v>
      </c>
      <c r="AC259" s="43">
        <v>0</v>
      </c>
      <c r="AD259" s="43">
        <v>0</v>
      </c>
      <c r="AE259" s="43">
        <v>0</v>
      </c>
      <c r="AF259" s="43">
        <v>0</v>
      </c>
      <c r="AG259" s="43"/>
      <c r="AH259" s="43">
        <f t="shared" si="8"/>
        <v>2669852</v>
      </c>
    </row>
    <row r="260" spans="1:34" s="4" customFormat="1" hidden="1" x14ac:dyDescent="0.2">
      <c r="A260" s="4">
        <v>86</v>
      </c>
      <c r="B260" s="4" t="s">
        <v>257</v>
      </c>
      <c r="D260" s="4" t="s">
        <v>40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v>0</v>
      </c>
      <c r="O260" s="43">
        <v>0</v>
      </c>
      <c r="P260" s="43">
        <v>0</v>
      </c>
      <c r="Q260" s="43">
        <v>0</v>
      </c>
      <c r="R260" s="43">
        <v>0</v>
      </c>
      <c r="S260" s="43">
        <v>0</v>
      </c>
      <c r="T260" s="43">
        <v>0</v>
      </c>
      <c r="U260" s="43">
        <v>0</v>
      </c>
      <c r="V260" s="43">
        <v>0</v>
      </c>
      <c r="W260" s="43">
        <v>0</v>
      </c>
      <c r="X260" s="43">
        <v>0</v>
      </c>
      <c r="Y260" s="43">
        <v>0</v>
      </c>
      <c r="Z260" s="43">
        <v>0</v>
      </c>
      <c r="AA260" s="43">
        <v>0</v>
      </c>
      <c r="AB260" s="43">
        <v>0</v>
      </c>
      <c r="AC260" s="43">
        <v>0</v>
      </c>
      <c r="AD260" s="43">
        <v>0</v>
      </c>
      <c r="AE260" s="43">
        <v>0</v>
      </c>
      <c r="AF260" s="43">
        <v>0</v>
      </c>
      <c r="AG260" s="43"/>
      <c r="AH260" s="43">
        <f t="shared" si="8"/>
        <v>0</v>
      </c>
    </row>
    <row r="261" spans="1:34" s="4" customFormat="1" hidden="1" x14ac:dyDescent="0.2">
      <c r="A261" s="4">
        <v>119</v>
      </c>
      <c r="B261" s="4" t="s">
        <v>258</v>
      </c>
      <c r="D261" s="4" t="s">
        <v>168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v>0</v>
      </c>
      <c r="O261" s="43">
        <v>0</v>
      </c>
      <c r="P261" s="43">
        <v>0</v>
      </c>
      <c r="Q261" s="43">
        <v>0</v>
      </c>
      <c r="R261" s="43">
        <v>0</v>
      </c>
      <c r="S261" s="43">
        <v>0</v>
      </c>
      <c r="T261" s="43">
        <v>0</v>
      </c>
      <c r="U261" s="43">
        <v>0</v>
      </c>
      <c r="V261" s="43">
        <v>0</v>
      </c>
      <c r="W261" s="43">
        <v>0</v>
      </c>
      <c r="X261" s="43">
        <v>0</v>
      </c>
      <c r="Y261" s="43">
        <v>0</v>
      </c>
      <c r="Z261" s="43">
        <v>0</v>
      </c>
      <c r="AA261" s="43">
        <v>0</v>
      </c>
      <c r="AB261" s="43">
        <v>0</v>
      </c>
      <c r="AC261" s="43">
        <v>0</v>
      </c>
      <c r="AD261" s="43">
        <v>0</v>
      </c>
      <c r="AE261" s="43">
        <v>0</v>
      </c>
      <c r="AF261" s="43">
        <v>0</v>
      </c>
      <c r="AG261" s="43"/>
      <c r="AH261" s="43">
        <f t="shared" si="8"/>
        <v>0</v>
      </c>
    </row>
    <row r="262" spans="1:34" s="4" customFormat="1" hidden="1" x14ac:dyDescent="0.2">
      <c r="A262" s="4">
        <v>221</v>
      </c>
      <c r="B262" s="4" t="s">
        <v>259</v>
      </c>
      <c r="D262" s="4" t="s">
        <v>20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3">
        <v>0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3">
        <v>0</v>
      </c>
      <c r="X262" s="43">
        <v>0</v>
      </c>
      <c r="Y262" s="43">
        <v>0</v>
      </c>
      <c r="Z262" s="43">
        <v>0</v>
      </c>
      <c r="AA262" s="43">
        <v>0</v>
      </c>
      <c r="AB262" s="43">
        <v>0</v>
      </c>
      <c r="AC262" s="43">
        <v>0</v>
      </c>
      <c r="AD262" s="43">
        <v>0</v>
      </c>
      <c r="AE262" s="43">
        <v>0</v>
      </c>
      <c r="AF262" s="43">
        <v>0</v>
      </c>
      <c r="AG262" s="43"/>
      <c r="AH262" s="43">
        <f t="shared" si="8"/>
        <v>0</v>
      </c>
    </row>
    <row r="263" spans="1:34" s="4" customFormat="1" hidden="1" x14ac:dyDescent="0.2">
      <c r="A263" s="39">
        <v>92.1</v>
      </c>
      <c r="B263" s="4" t="s">
        <v>564</v>
      </c>
      <c r="C263" s="3"/>
      <c r="D263" s="3" t="s">
        <v>565</v>
      </c>
      <c r="E263" s="3"/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3">
        <v>0</v>
      </c>
      <c r="X263" s="43">
        <v>0</v>
      </c>
      <c r="Y263" s="43">
        <v>0</v>
      </c>
      <c r="Z263" s="43">
        <v>0</v>
      </c>
      <c r="AA263" s="43">
        <v>0</v>
      </c>
      <c r="AB263" s="43">
        <v>0</v>
      </c>
      <c r="AC263" s="43">
        <v>0</v>
      </c>
      <c r="AD263" s="43">
        <v>0</v>
      </c>
      <c r="AE263" s="43">
        <v>0</v>
      </c>
      <c r="AF263" s="43">
        <v>0</v>
      </c>
      <c r="AG263" s="43"/>
      <c r="AH263" s="43">
        <f t="shared" si="8"/>
        <v>0</v>
      </c>
    </row>
    <row r="264" spans="1:34" s="4" customFormat="1" hidden="1" x14ac:dyDescent="0.2">
      <c r="A264" s="4">
        <v>71</v>
      </c>
      <c r="B264" s="4" t="s">
        <v>561</v>
      </c>
      <c r="D264" s="4" t="s">
        <v>65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v>0</v>
      </c>
      <c r="O264" s="43">
        <v>0</v>
      </c>
      <c r="P264" s="43">
        <v>0</v>
      </c>
      <c r="Q264" s="43">
        <v>0</v>
      </c>
      <c r="R264" s="43">
        <v>0</v>
      </c>
      <c r="S264" s="43">
        <v>0</v>
      </c>
      <c r="T264" s="43">
        <v>0</v>
      </c>
      <c r="U264" s="43">
        <v>0</v>
      </c>
      <c r="V264" s="43">
        <v>0</v>
      </c>
      <c r="W264" s="43">
        <v>0</v>
      </c>
      <c r="X264" s="43">
        <v>0</v>
      </c>
      <c r="Y264" s="43">
        <v>0</v>
      </c>
      <c r="Z264" s="43">
        <v>0</v>
      </c>
      <c r="AA264" s="43">
        <v>0</v>
      </c>
      <c r="AB264" s="43">
        <v>0</v>
      </c>
      <c r="AC264" s="43">
        <v>0</v>
      </c>
      <c r="AD264" s="43">
        <v>0</v>
      </c>
      <c r="AE264" s="43">
        <v>0</v>
      </c>
      <c r="AF264" s="43">
        <v>0</v>
      </c>
      <c r="AG264" s="43"/>
      <c r="AH264" s="43">
        <f t="shared" si="8"/>
        <v>0</v>
      </c>
    </row>
    <row r="265" spans="1:34" s="4" customFormat="1" hidden="1" x14ac:dyDescent="0.2">
      <c r="A265" s="4">
        <v>207</v>
      </c>
      <c r="B265" s="4" t="s">
        <v>260</v>
      </c>
      <c r="D265" s="4" t="s">
        <v>43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0</v>
      </c>
      <c r="T265" s="43">
        <v>0</v>
      </c>
      <c r="U265" s="43">
        <v>0</v>
      </c>
      <c r="V265" s="43">
        <v>0</v>
      </c>
      <c r="W265" s="43">
        <v>0</v>
      </c>
      <c r="X265" s="43">
        <v>0</v>
      </c>
      <c r="Y265" s="43">
        <v>0</v>
      </c>
      <c r="Z265" s="43">
        <v>0</v>
      </c>
      <c r="AA265" s="43">
        <v>0</v>
      </c>
      <c r="AB265" s="43">
        <v>0</v>
      </c>
      <c r="AC265" s="43">
        <v>0</v>
      </c>
      <c r="AD265" s="43">
        <v>0</v>
      </c>
      <c r="AE265" s="43">
        <v>0</v>
      </c>
      <c r="AF265" s="43">
        <v>0</v>
      </c>
      <c r="AG265" s="43"/>
      <c r="AH265" s="43">
        <f t="shared" si="8"/>
        <v>0</v>
      </c>
    </row>
    <row r="266" spans="1:34" s="4" customFormat="1" x14ac:dyDescent="0.2">
      <c r="A266" s="4">
        <v>166</v>
      </c>
      <c r="B266" s="4" t="s">
        <v>439</v>
      </c>
      <c r="D266" s="4" t="s">
        <v>51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43">
        <v>0</v>
      </c>
      <c r="Q266" s="43">
        <v>0</v>
      </c>
      <c r="R266" s="43">
        <v>0</v>
      </c>
      <c r="S266" s="43">
        <v>0</v>
      </c>
      <c r="T266" s="43">
        <v>0</v>
      </c>
      <c r="U266" s="43">
        <v>0</v>
      </c>
      <c r="V266" s="43">
        <v>0</v>
      </c>
      <c r="W266" s="43">
        <v>0</v>
      </c>
      <c r="X266" s="43">
        <v>0</v>
      </c>
      <c r="Y266" s="43">
        <v>0</v>
      </c>
      <c r="Z266" s="43">
        <v>0</v>
      </c>
      <c r="AA266" s="43">
        <v>0</v>
      </c>
      <c r="AB266" s="43">
        <v>40000</v>
      </c>
      <c r="AC266" s="43">
        <v>0</v>
      </c>
      <c r="AD266" s="43">
        <v>0</v>
      </c>
      <c r="AE266" s="43">
        <v>0</v>
      </c>
      <c r="AF266" s="43">
        <v>0</v>
      </c>
      <c r="AG266" s="43"/>
      <c r="AH266" s="43">
        <f t="shared" si="8"/>
        <v>40000</v>
      </c>
    </row>
    <row r="267" spans="1:34" s="4" customFormat="1" x14ac:dyDescent="0.2">
      <c r="A267" s="4">
        <v>147</v>
      </c>
      <c r="B267" s="4" t="s">
        <v>593</v>
      </c>
      <c r="D267" s="4" t="s">
        <v>262</v>
      </c>
      <c r="F267" s="43">
        <v>5209942</v>
      </c>
      <c r="G267" s="43">
        <v>0</v>
      </c>
      <c r="H267" s="43">
        <f>20922014+3812055</f>
        <v>24734069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43">
        <v>0</v>
      </c>
      <c r="S267" s="43">
        <v>0</v>
      </c>
      <c r="T267" s="43">
        <v>0</v>
      </c>
      <c r="U267" s="43">
        <v>0</v>
      </c>
      <c r="V267" s="43">
        <v>2059905</v>
      </c>
      <c r="W267" s="43">
        <v>0</v>
      </c>
      <c r="X267" s="43">
        <v>11991</v>
      </c>
      <c r="Y267" s="43">
        <v>0</v>
      </c>
      <c r="Z267" s="43">
        <v>2985</v>
      </c>
      <c r="AA267" s="43">
        <v>0</v>
      </c>
      <c r="AB267" s="43">
        <v>2000000</v>
      </c>
      <c r="AC267" s="43">
        <v>0</v>
      </c>
      <c r="AD267" s="43">
        <v>0</v>
      </c>
      <c r="AE267" s="43">
        <v>0</v>
      </c>
      <c r="AF267" s="43">
        <v>0</v>
      </c>
      <c r="AG267" s="43"/>
      <c r="AH267" s="43">
        <f t="shared" ref="AH267:AH294" si="10">SUM(F267:AF267)</f>
        <v>34018892</v>
      </c>
    </row>
    <row r="268" spans="1:34" s="4" customFormat="1" x14ac:dyDescent="0.2">
      <c r="A268" s="4">
        <v>167</v>
      </c>
      <c r="B268" s="4" t="s">
        <v>594</v>
      </c>
      <c r="D268" s="4" t="s">
        <v>51</v>
      </c>
      <c r="F268" s="43">
        <v>0</v>
      </c>
      <c r="G268" s="43">
        <v>0</v>
      </c>
      <c r="H268" s="43">
        <v>547891</v>
      </c>
      <c r="I268" s="43">
        <v>0</v>
      </c>
      <c r="J268" s="43">
        <v>313511</v>
      </c>
      <c r="K268" s="43">
        <v>0</v>
      </c>
      <c r="L268" s="43">
        <v>79669</v>
      </c>
      <c r="M268" s="43">
        <v>0</v>
      </c>
      <c r="N268" s="43">
        <v>151752</v>
      </c>
      <c r="O268" s="43">
        <v>0</v>
      </c>
      <c r="P268" s="43">
        <v>579660</v>
      </c>
      <c r="Q268" s="43">
        <v>0</v>
      </c>
      <c r="R268" s="43">
        <v>0</v>
      </c>
      <c r="S268" s="43">
        <v>0</v>
      </c>
      <c r="T268" s="43">
        <v>0</v>
      </c>
      <c r="U268" s="43">
        <v>0</v>
      </c>
      <c r="V268" s="43">
        <v>227218</v>
      </c>
      <c r="W268" s="43">
        <v>0</v>
      </c>
      <c r="X268" s="43">
        <v>0</v>
      </c>
      <c r="Y268" s="43">
        <v>0</v>
      </c>
      <c r="Z268" s="43">
        <v>0</v>
      </c>
      <c r="AA268" s="43">
        <v>0</v>
      </c>
      <c r="AB268" s="43">
        <v>110000</v>
      </c>
      <c r="AC268" s="43">
        <v>0</v>
      </c>
      <c r="AD268" s="43">
        <v>0</v>
      </c>
      <c r="AE268" s="43">
        <v>0</v>
      </c>
      <c r="AF268" s="43">
        <v>0</v>
      </c>
      <c r="AG268" s="43"/>
      <c r="AH268" s="43">
        <f t="shared" si="10"/>
        <v>2009701</v>
      </c>
    </row>
    <row r="269" spans="1:34" s="4" customFormat="1" x14ac:dyDescent="0.2">
      <c r="A269" s="4">
        <v>236</v>
      </c>
      <c r="B269" s="4" t="s">
        <v>595</v>
      </c>
      <c r="D269" s="4" t="s">
        <v>24</v>
      </c>
      <c r="F269" s="43">
        <v>0</v>
      </c>
      <c r="G269" s="43">
        <v>0</v>
      </c>
      <c r="H269" s="43">
        <v>1072700</v>
      </c>
      <c r="I269" s="43">
        <v>0</v>
      </c>
      <c r="J269" s="43">
        <v>251485</v>
      </c>
      <c r="K269" s="43">
        <v>0</v>
      </c>
      <c r="L269" s="43">
        <v>11000</v>
      </c>
      <c r="M269" s="43">
        <v>0</v>
      </c>
      <c r="N269" s="43">
        <v>91913</v>
      </c>
      <c r="O269" s="43">
        <v>0</v>
      </c>
      <c r="P269" s="43">
        <v>398751</v>
      </c>
      <c r="Q269" s="43">
        <v>0</v>
      </c>
      <c r="R269" s="43">
        <v>0</v>
      </c>
      <c r="S269" s="43">
        <v>0</v>
      </c>
      <c r="T269" s="43">
        <v>0</v>
      </c>
      <c r="U269" s="43">
        <v>0</v>
      </c>
      <c r="V269" s="43">
        <v>68964</v>
      </c>
      <c r="W269" s="43">
        <v>0</v>
      </c>
      <c r="X269" s="43">
        <v>0</v>
      </c>
      <c r="Y269" s="43">
        <v>0</v>
      </c>
      <c r="Z269" s="43">
        <v>0</v>
      </c>
      <c r="AA269" s="43">
        <v>0</v>
      </c>
      <c r="AB269" s="43">
        <v>72341</v>
      </c>
      <c r="AC269" s="43">
        <v>0</v>
      </c>
      <c r="AD269" s="43">
        <v>7400</v>
      </c>
      <c r="AE269" s="43">
        <v>0</v>
      </c>
      <c r="AF269" s="43">
        <v>0</v>
      </c>
      <c r="AG269" s="43"/>
      <c r="AH269" s="43">
        <f t="shared" si="10"/>
        <v>1974554</v>
      </c>
    </row>
    <row r="270" spans="1:34" s="4" customFormat="1" x14ac:dyDescent="0.2">
      <c r="A270" s="4">
        <v>222</v>
      </c>
      <c r="B270" s="4" t="s">
        <v>317</v>
      </c>
      <c r="D270" s="4" t="s">
        <v>20</v>
      </c>
      <c r="F270" s="43">
        <v>0</v>
      </c>
      <c r="G270" s="43">
        <v>0</v>
      </c>
      <c r="H270" s="43">
        <v>1184507</v>
      </c>
      <c r="I270" s="43">
        <v>0</v>
      </c>
      <c r="J270" s="43">
        <v>602947</v>
      </c>
      <c r="K270" s="43">
        <v>0</v>
      </c>
      <c r="L270" s="43">
        <v>0</v>
      </c>
      <c r="M270" s="43">
        <v>0</v>
      </c>
      <c r="N270" s="43">
        <v>233275</v>
      </c>
      <c r="O270" s="43">
        <v>0</v>
      </c>
      <c r="P270" s="43">
        <v>393494</v>
      </c>
      <c r="Q270" s="43">
        <v>0</v>
      </c>
      <c r="R270" s="43">
        <v>0</v>
      </c>
      <c r="S270" s="43">
        <v>0</v>
      </c>
      <c r="T270" s="43">
        <v>0</v>
      </c>
      <c r="U270" s="43">
        <v>0</v>
      </c>
      <c r="V270" s="43">
        <v>241364</v>
      </c>
      <c r="W270" s="43">
        <v>0</v>
      </c>
      <c r="X270" s="43">
        <v>120000</v>
      </c>
      <c r="Y270" s="43">
        <v>0</v>
      </c>
      <c r="Z270" s="43">
        <v>5256</v>
      </c>
      <c r="AA270" s="43">
        <v>0</v>
      </c>
      <c r="AB270" s="43">
        <v>0</v>
      </c>
      <c r="AC270" s="43">
        <v>0</v>
      </c>
      <c r="AD270" s="43">
        <v>0</v>
      </c>
      <c r="AE270" s="43">
        <v>0</v>
      </c>
      <c r="AF270" s="43">
        <v>0</v>
      </c>
      <c r="AG270" s="43"/>
      <c r="AH270" s="43">
        <f t="shared" si="10"/>
        <v>2780843</v>
      </c>
    </row>
    <row r="271" spans="1:34" s="4" customFormat="1" x14ac:dyDescent="0.2">
      <c r="A271" s="4">
        <v>24</v>
      </c>
      <c r="B271" s="4" t="s">
        <v>264</v>
      </c>
      <c r="D271" s="4" t="s">
        <v>45</v>
      </c>
      <c r="F271" s="43">
        <v>0</v>
      </c>
      <c r="G271" s="43">
        <v>0</v>
      </c>
      <c r="H271" s="43">
        <v>279044</v>
      </c>
      <c r="I271" s="43">
        <v>0</v>
      </c>
      <c r="J271" s="43">
        <v>96492</v>
      </c>
      <c r="K271" s="43">
        <v>0</v>
      </c>
      <c r="L271" s="43">
        <v>13300</v>
      </c>
      <c r="M271" s="43">
        <v>0</v>
      </c>
      <c r="N271" s="43">
        <v>87657</v>
      </c>
      <c r="O271" s="43">
        <v>0</v>
      </c>
      <c r="P271" s="43">
        <v>44206</v>
      </c>
      <c r="Q271" s="43">
        <v>0</v>
      </c>
      <c r="R271" s="43">
        <v>0</v>
      </c>
      <c r="S271" s="43">
        <v>0</v>
      </c>
      <c r="T271" s="43">
        <v>0</v>
      </c>
      <c r="U271" s="43">
        <v>0</v>
      </c>
      <c r="V271" s="43">
        <v>93910</v>
      </c>
      <c r="W271" s="43">
        <v>0</v>
      </c>
      <c r="X271" s="43">
        <v>0</v>
      </c>
      <c r="Y271" s="43">
        <v>0</v>
      </c>
      <c r="Z271" s="43">
        <v>0</v>
      </c>
      <c r="AA271" s="43">
        <v>0</v>
      </c>
      <c r="AB271" s="43">
        <v>0</v>
      </c>
      <c r="AC271" s="43">
        <v>0</v>
      </c>
      <c r="AD271" s="43">
        <v>0</v>
      </c>
      <c r="AE271" s="43">
        <v>0</v>
      </c>
      <c r="AF271" s="43">
        <v>0</v>
      </c>
      <c r="AG271" s="43"/>
      <c r="AH271" s="43">
        <f t="shared" si="10"/>
        <v>614609</v>
      </c>
    </row>
    <row r="272" spans="1:34" s="4" customFormat="1" x14ac:dyDescent="0.2">
      <c r="B272" s="4" t="s">
        <v>265</v>
      </c>
      <c r="D272" s="4" t="s">
        <v>90</v>
      </c>
      <c r="F272" s="43">
        <v>0</v>
      </c>
      <c r="G272" s="43">
        <v>0</v>
      </c>
      <c r="H272" s="43">
        <v>2431347</v>
      </c>
      <c r="I272" s="43">
        <v>0</v>
      </c>
      <c r="J272" s="43">
        <v>1000218</v>
      </c>
      <c r="K272" s="43">
        <v>0</v>
      </c>
      <c r="L272" s="43">
        <v>277467</v>
      </c>
      <c r="M272" s="43">
        <v>0</v>
      </c>
      <c r="N272" s="43">
        <v>657847</v>
      </c>
      <c r="O272" s="43">
        <v>0</v>
      </c>
      <c r="P272" s="43">
        <v>815687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307464</v>
      </c>
      <c r="W272" s="43">
        <v>0</v>
      </c>
      <c r="X272" s="43">
        <v>0</v>
      </c>
      <c r="Y272" s="43">
        <v>0</v>
      </c>
      <c r="Z272" s="43">
        <v>0</v>
      </c>
      <c r="AA272" s="43">
        <v>0</v>
      </c>
      <c r="AB272" s="43">
        <v>1300000</v>
      </c>
      <c r="AC272" s="43">
        <v>0</v>
      </c>
      <c r="AD272" s="43">
        <v>0</v>
      </c>
      <c r="AE272" s="43">
        <v>0</v>
      </c>
      <c r="AF272" s="43">
        <v>0</v>
      </c>
      <c r="AG272" s="43"/>
      <c r="AH272" s="43">
        <f t="shared" si="10"/>
        <v>6790030</v>
      </c>
    </row>
    <row r="273" spans="1:112" s="4" customFormat="1" hidden="1" x14ac:dyDescent="0.2">
      <c r="A273" s="4">
        <v>260</v>
      </c>
      <c r="B273" s="4" t="s">
        <v>341</v>
      </c>
      <c r="D273" s="4" t="s">
        <v>61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3">
        <v>0</v>
      </c>
      <c r="X273" s="43">
        <v>0</v>
      </c>
      <c r="Y273" s="43">
        <v>0</v>
      </c>
      <c r="Z273" s="43">
        <v>0</v>
      </c>
      <c r="AA273" s="43">
        <v>0</v>
      </c>
      <c r="AB273" s="43">
        <v>0</v>
      </c>
      <c r="AC273" s="43">
        <v>0</v>
      </c>
      <c r="AD273" s="43">
        <v>0</v>
      </c>
      <c r="AE273" s="43">
        <v>0</v>
      </c>
      <c r="AF273" s="43">
        <v>0</v>
      </c>
      <c r="AG273" s="43"/>
      <c r="AH273" s="43">
        <f t="shared" si="10"/>
        <v>0</v>
      </c>
    </row>
    <row r="274" spans="1:112" s="4" customFormat="1" ht="13.5" customHeight="1" x14ac:dyDescent="0.2">
      <c r="B274" s="4" t="s">
        <v>606</v>
      </c>
      <c r="D274" s="4" t="s">
        <v>65</v>
      </c>
      <c r="F274" s="43">
        <v>0</v>
      </c>
      <c r="G274" s="43">
        <v>0</v>
      </c>
      <c r="H274" s="43">
        <v>111090</v>
      </c>
      <c r="I274" s="43">
        <v>0</v>
      </c>
      <c r="J274" s="43">
        <v>83866</v>
      </c>
      <c r="K274" s="43">
        <v>0</v>
      </c>
      <c r="L274" s="43">
        <v>4857</v>
      </c>
      <c r="M274" s="43">
        <v>0</v>
      </c>
      <c r="N274" s="43">
        <v>43416</v>
      </c>
      <c r="O274" s="43">
        <v>0</v>
      </c>
      <c r="P274" s="43">
        <v>43319</v>
      </c>
      <c r="Q274" s="43">
        <v>0</v>
      </c>
      <c r="R274" s="43">
        <v>0</v>
      </c>
      <c r="S274" s="43">
        <v>0</v>
      </c>
      <c r="T274" s="43">
        <v>0</v>
      </c>
      <c r="U274" s="43">
        <v>0</v>
      </c>
      <c r="V274" s="43">
        <v>0</v>
      </c>
      <c r="W274" s="43">
        <v>0</v>
      </c>
      <c r="X274" s="43">
        <v>0</v>
      </c>
      <c r="Y274" s="43">
        <v>0</v>
      </c>
      <c r="Z274" s="43">
        <v>0</v>
      </c>
      <c r="AA274" s="43">
        <v>0</v>
      </c>
      <c r="AB274" s="43">
        <v>0</v>
      </c>
      <c r="AC274" s="43">
        <v>0</v>
      </c>
      <c r="AD274" s="43">
        <v>1040</v>
      </c>
      <c r="AE274" s="43">
        <v>0</v>
      </c>
      <c r="AF274" s="43">
        <v>0</v>
      </c>
      <c r="AG274" s="43"/>
      <c r="AH274" s="43">
        <f t="shared" si="10"/>
        <v>287588</v>
      </c>
    </row>
    <row r="275" spans="1:112" s="4" customFormat="1" x14ac:dyDescent="0.2">
      <c r="A275" s="4">
        <v>230</v>
      </c>
      <c r="B275" s="4" t="s">
        <v>596</v>
      </c>
      <c r="D275" s="4" t="s">
        <v>54</v>
      </c>
      <c r="F275" s="43">
        <v>0</v>
      </c>
      <c r="G275" s="43">
        <v>0</v>
      </c>
      <c r="H275" s="43">
        <v>4331916</v>
      </c>
      <c r="I275" s="43">
        <v>0</v>
      </c>
      <c r="J275" s="43">
        <v>745501</v>
      </c>
      <c r="K275" s="43">
        <v>0</v>
      </c>
      <c r="L275" s="43">
        <v>0</v>
      </c>
      <c r="M275" s="43">
        <v>0</v>
      </c>
      <c r="N275" s="43">
        <v>346873</v>
      </c>
      <c r="O275" s="43">
        <v>0</v>
      </c>
      <c r="P275" s="43">
        <v>84711</v>
      </c>
      <c r="Q275" s="43">
        <v>0</v>
      </c>
      <c r="R275" s="43">
        <v>0</v>
      </c>
      <c r="S275" s="43">
        <v>0</v>
      </c>
      <c r="T275" s="43">
        <v>0</v>
      </c>
      <c r="U275" s="43">
        <v>0</v>
      </c>
      <c r="V275" s="43">
        <v>1669585</v>
      </c>
      <c r="W275" s="43">
        <v>0</v>
      </c>
      <c r="X275" s="43">
        <v>0</v>
      </c>
      <c r="Y275" s="43">
        <v>0</v>
      </c>
      <c r="Z275" s="43">
        <v>0</v>
      </c>
      <c r="AA275" s="43">
        <v>0</v>
      </c>
      <c r="AB275" s="43">
        <v>0</v>
      </c>
      <c r="AC275" s="43">
        <v>0</v>
      </c>
      <c r="AD275" s="43">
        <v>0</v>
      </c>
      <c r="AE275" s="43">
        <v>0</v>
      </c>
      <c r="AF275" s="43">
        <v>0</v>
      </c>
      <c r="AG275" s="43"/>
      <c r="AH275" s="43">
        <f t="shared" si="10"/>
        <v>7178586</v>
      </c>
    </row>
    <row r="276" spans="1:112" s="4" customFormat="1" x14ac:dyDescent="0.2">
      <c r="A276" s="4">
        <v>245</v>
      </c>
      <c r="B276" s="4" t="s">
        <v>597</v>
      </c>
      <c r="D276" s="4" t="s">
        <v>25</v>
      </c>
      <c r="F276" s="43">
        <v>0</v>
      </c>
      <c r="G276" s="43">
        <v>0</v>
      </c>
      <c r="H276" s="43">
        <v>938764</v>
      </c>
      <c r="I276" s="43">
        <v>0</v>
      </c>
      <c r="J276" s="43">
        <v>351499</v>
      </c>
      <c r="K276" s="43">
        <v>0</v>
      </c>
      <c r="L276" s="43">
        <v>83171</v>
      </c>
      <c r="M276" s="43">
        <v>0</v>
      </c>
      <c r="N276" s="43">
        <v>254196</v>
      </c>
      <c r="O276" s="43">
        <v>0</v>
      </c>
      <c r="P276" s="43">
        <v>267641</v>
      </c>
      <c r="Q276" s="43">
        <v>0</v>
      </c>
      <c r="R276" s="43">
        <v>0</v>
      </c>
      <c r="S276" s="43">
        <v>0</v>
      </c>
      <c r="T276" s="43">
        <v>0</v>
      </c>
      <c r="U276" s="43">
        <v>0</v>
      </c>
      <c r="V276" s="43">
        <v>213161</v>
      </c>
      <c r="W276" s="43">
        <v>0</v>
      </c>
      <c r="X276" s="43">
        <v>0</v>
      </c>
      <c r="Y276" s="43">
        <v>0</v>
      </c>
      <c r="Z276" s="43">
        <v>0</v>
      </c>
      <c r="AA276" s="43">
        <v>0</v>
      </c>
      <c r="AB276" s="43">
        <v>500000</v>
      </c>
      <c r="AC276" s="43">
        <v>0</v>
      </c>
      <c r="AD276" s="43">
        <v>0</v>
      </c>
      <c r="AE276" s="43">
        <v>0</v>
      </c>
      <c r="AF276" s="43">
        <v>0</v>
      </c>
      <c r="AG276" s="43"/>
      <c r="AH276" s="43">
        <f t="shared" si="10"/>
        <v>2608432</v>
      </c>
    </row>
    <row r="277" spans="1:112" s="4" customFormat="1" x14ac:dyDescent="0.2">
      <c r="A277" s="4">
        <v>171</v>
      </c>
      <c r="B277" s="4" t="s">
        <v>267</v>
      </c>
      <c r="D277" s="4" t="s">
        <v>53</v>
      </c>
      <c r="F277" s="43">
        <v>0</v>
      </c>
      <c r="G277" s="43">
        <v>0</v>
      </c>
      <c r="H277" s="43">
        <v>1515290</v>
      </c>
      <c r="I277" s="43">
        <v>0</v>
      </c>
      <c r="J277" s="43">
        <v>1656799</v>
      </c>
      <c r="K277" s="43">
        <v>0</v>
      </c>
      <c r="L277" s="43">
        <v>1325587</v>
      </c>
      <c r="M277" s="43">
        <v>0</v>
      </c>
      <c r="N277" s="43">
        <v>601791</v>
      </c>
      <c r="O277" s="43">
        <v>0</v>
      </c>
      <c r="P277" s="43">
        <v>1289746</v>
      </c>
      <c r="Q277" s="43">
        <v>0</v>
      </c>
      <c r="R277" s="43">
        <v>0</v>
      </c>
      <c r="S277" s="43">
        <v>0</v>
      </c>
      <c r="T277" s="43">
        <v>0</v>
      </c>
      <c r="U277" s="43">
        <v>0</v>
      </c>
      <c r="V277" s="43">
        <v>179169</v>
      </c>
      <c r="W277" s="43">
        <v>0</v>
      </c>
      <c r="X277" s="43">
        <v>0</v>
      </c>
      <c r="Y277" s="43">
        <v>0</v>
      </c>
      <c r="Z277" s="43">
        <v>0</v>
      </c>
      <c r="AA277" s="43">
        <v>0</v>
      </c>
      <c r="AB277" s="43">
        <v>0</v>
      </c>
      <c r="AC277" s="43">
        <v>0</v>
      </c>
      <c r="AD277" s="43">
        <v>0</v>
      </c>
      <c r="AE277" s="43">
        <v>0</v>
      </c>
      <c r="AF277" s="43">
        <v>0</v>
      </c>
      <c r="AG277" s="43"/>
      <c r="AH277" s="43">
        <f t="shared" si="10"/>
        <v>6568382</v>
      </c>
    </row>
    <row r="278" spans="1:112" s="4" customFormat="1" hidden="1" x14ac:dyDescent="0.2">
      <c r="A278" s="4">
        <v>87</v>
      </c>
      <c r="B278" s="4" t="s">
        <v>459</v>
      </c>
      <c r="D278" s="4" t="s">
        <v>40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3">
        <v>0</v>
      </c>
      <c r="Q278" s="43">
        <v>0</v>
      </c>
      <c r="R278" s="43">
        <v>0</v>
      </c>
      <c r="S278" s="43">
        <v>0</v>
      </c>
      <c r="T278" s="43">
        <v>0</v>
      </c>
      <c r="U278" s="43">
        <v>0</v>
      </c>
      <c r="V278" s="43">
        <v>0</v>
      </c>
      <c r="W278" s="43">
        <v>0</v>
      </c>
      <c r="X278" s="43">
        <v>0</v>
      </c>
      <c r="Y278" s="43">
        <v>0</v>
      </c>
      <c r="Z278" s="43">
        <v>0</v>
      </c>
      <c r="AA278" s="43">
        <v>0</v>
      </c>
      <c r="AB278" s="43">
        <v>0</v>
      </c>
      <c r="AC278" s="43">
        <v>0</v>
      </c>
      <c r="AD278" s="43">
        <v>0</v>
      </c>
      <c r="AE278" s="43">
        <v>0</v>
      </c>
      <c r="AF278" s="43">
        <v>0</v>
      </c>
      <c r="AG278" s="43"/>
      <c r="AH278" s="43">
        <f t="shared" si="10"/>
        <v>0</v>
      </c>
    </row>
    <row r="279" spans="1:112" s="4" customFormat="1" x14ac:dyDescent="0.2">
      <c r="A279" s="4">
        <v>247</v>
      </c>
      <c r="B279" s="4" t="s">
        <v>598</v>
      </c>
      <c r="D279" s="4" t="s">
        <v>223</v>
      </c>
      <c r="F279" s="43">
        <v>0</v>
      </c>
      <c r="G279" s="43">
        <v>0</v>
      </c>
      <c r="H279" s="43">
        <v>2102061</v>
      </c>
      <c r="I279" s="43">
        <v>0</v>
      </c>
      <c r="J279" s="43">
        <v>1015748</v>
      </c>
      <c r="K279" s="43">
        <v>0</v>
      </c>
      <c r="L279" s="43">
        <v>341002</v>
      </c>
      <c r="M279" s="43">
        <v>0</v>
      </c>
      <c r="N279" s="43">
        <v>648638</v>
      </c>
      <c r="O279" s="43">
        <v>0</v>
      </c>
      <c r="P279" s="43">
        <v>528464</v>
      </c>
      <c r="Q279" s="43">
        <v>0</v>
      </c>
      <c r="R279" s="43">
        <v>0</v>
      </c>
      <c r="S279" s="43">
        <v>0</v>
      </c>
      <c r="T279" s="43">
        <v>0</v>
      </c>
      <c r="U279" s="43">
        <v>0</v>
      </c>
      <c r="V279" s="43">
        <v>246212</v>
      </c>
      <c r="W279" s="43">
        <v>0</v>
      </c>
      <c r="X279" s="43">
        <v>255000</v>
      </c>
      <c r="Y279" s="43">
        <v>0</v>
      </c>
      <c r="Z279" s="43">
        <v>205444</v>
      </c>
      <c r="AA279" s="43">
        <v>0</v>
      </c>
      <c r="AB279" s="43">
        <v>450000</v>
      </c>
      <c r="AC279" s="43">
        <v>0</v>
      </c>
      <c r="AD279" s="43">
        <v>0</v>
      </c>
      <c r="AE279" s="43">
        <v>0</v>
      </c>
      <c r="AF279" s="43">
        <v>0</v>
      </c>
      <c r="AG279" s="43"/>
      <c r="AH279" s="43">
        <f t="shared" si="10"/>
        <v>5792569</v>
      </c>
    </row>
    <row r="280" spans="1:112" s="4" customFormat="1" hidden="1" x14ac:dyDescent="0.2">
      <c r="A280" s="4">
        <v>254</v>
      </c>
      <c r="B280" s="4" t="s">
        <v>269</v>
      </c>
      <c r="D280" s="4" t="s">
        <v>63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0</v>
      </c>
      <c r="S280" s="43">
        <v>0</v>
      </c>
      <c r="T280" s="43">
        <v>0</v>
      </c>
      <c r="U280" s="43">
        <v>0</v>
      </c>
      <c r="V280" s="43">
        <v>0</v>
      </c>
      <c r="W280" s="43">
        <v>0</v>
      </c>
      <c r="X280" s="43">
        <v>0</v>
      </c>
      <c r="Y280" s="43">
        <v>0</v>
      </c>
      <c r="Z280" s="43">
        <v>0</v>
      </c>
      <c r="AA280" s="43">
        <v>0</v>
      </c>
      <c r="AB280" s="43">
        <v>0</v>
      </c>
      <c r="AC280" s="43">
        <v>0</v>
      </c>
      <c r="AD280" s="43">
        <v>0</v>
      </c>
      <c r="AE280" s="43">
        <v>0</v>
      </c>
      <c r="AF280" s="43">
        <v>0</v>
      </c>
      <c r="AG280" s="43"/>
      <c r="AH280" s="43">
        <f t="shared" si="10"/>
        <v>0</v>
      </c>
    </row>
    <row r="281" spans="1:112" s="4" customFormat="1" hidden="1" x14ac:dyDescent="0.2">
      <c r="A281" s="4">
        <v>255</v>
      </c>
      <c r="B281" s="4" t="s">
        <v>270</v>
      </c>
      <c r="D281" s="4" t="s">
        <v>63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0</v>
      </c>
      <c r="S281" s="43">
        <v>0</v>
      </c>
      <c r="T281" s="43">
        <v>0</v>
      </c>
      <c r="U281" s="43">
        <v>0</v>
      </c>
      <c r="V281" s="43">
        <v>0</v>
      </c>
      <c r="W281" s="43">
        <v>0</v>
      </c>
      <c r="X281" s="43">
        <v>0</v>
      </c>
      <c r="Y281" s="43">
        <v>0</v>
      </c>
      <c r="Z281" s="43">
        <v>0</v>
      </c>
      <c r="AA281" s="43">
        <v>0</v>
      </c>
      <c r="AB281" s="43">
        <v>0</v>
      </c>
      <c r="AC281" s="43">
        <v>0</v>
      </c>
      <c r="AD281" s="43">
        <v>0</v>
      </c>
      <c r="AE281" s="43">
        <v>0</v>
      </c>
      <c r="AF281" s="43">
        <v>0</v>
      </c>
      <c r="AG281" s="43"/>
      <c r="AH281" s="43">
        <f t="shared" si="10"/>
        <v>0</v>
      </c>
    </row>
    <row r="282" spans="1:112" s="4" customFormat="1" hidden="1" x14ac:dyDescent="0.2">
      <c r="A282" s="4">
        <v>44</v>
      </c>
      <c r="B282" s="4" t="s">
        <v>271</v>
      </c>
      <c r="D282" s="4" t="s">
        <v>49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3">
        <v>0</v>
      </c>
      <c r="Q282" s="43">
        <v>0</v>
      </c>
      <c r="R282" s="43">
        <v>0</v>
      </c>
      <c r="S282" s="43">
        <v>0</v>
      </c>
      <c r="T282" s="43">
        <v>0</v>
      </c>
      <c r="U282" s="43">
        <v>0</v>
      </c>
      <c r="V282" s="43">
        <v>0</v>
      </c>
      <c r="W282" s="43">
        <v>0</v>
      </c>
      <c r="X282" s="43">
        <v>0</v>
      </c>
      <c r="Y282" s="43">
        <v>0</v>
      </c>
      <c r="Z282" s="43">
        <v>0</v>
      </c>
      <c r="AA282" s="43">
        <v>0</v>
      </c>
      <c r="AB282" s="43">
        <v>0</v>
      </c>
      <c r="AC282" s="43">
        <v>0</v>
      </c>
      <c r="AD282" s="43">
        <v>0</v>
      </c>
      <c r="AE282" s="43">
        <v>0</v>
      </c>
      <c r="AF282" s="43">
        <v>0</v>
      </c>
      <c r="AG282" s="43"/>
      <c r="AH282" s="43">
        <f t="shared" si="10"/>
        <v>0</v>
      </c>
    </row>
    <row r="283" spans="1:112" s="4" customFormat="1" hidden="1" x14ac:dyDescent="0.2">
      <c r="A283" s="4">
        <v>78</v>
      </c>
      <c r="B283" s="4" t="s">
        <v>560</v>
      </c>
      <c r="D283" s="4" t="s">
        <v>90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43">
        <v>0</v>
      </c>
      <c r="X283" s="43">
        <v>0</v>
      </c>
      <c r="Y283" s="43">
        <v>0</v>
      </c>
      <c r="Z283" s="43">
        <v>0</v>
      </c>
      <c r="AA283" s="43">
        <v>0</v>
      </c>
      <c r="AB283" s="43">
        <v>0</v>
      </c>
      <c r="AC283" s="43">
        <v>0</v>
      </c>
      <c r="AD283" s="43">
        <v>0</v>
      </c>
      <c r="AE283" s="43">
        <v>0</v>
      </c>
      <c r="AF283" s="43">
        <v>0</v>
      </c>
      <c r="AG283" s="43"/>
      <c r="AH283" s="43">
        <f t="shared" si="10"/>
        <v>0</v>
      </c>
    </row>
    <row r="284" spans="1:112" s="4" customFormat="1" hidden="1" x14ac:dyDescent="0.2">
      <c r="A284" s="4">
        <v>256</v>
      </c>
      <c r="B284" s="4" t="s">
        <v>272</v>
      </c>
      <c r="D284" s="4" t="s">
        <v>63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3">
        <v>0</v>
      </c>
      <c r="X284" s="43">
        <v>0</v>
      </c>
      <c r="Y284" s="43">
        <v>0</v>
      </c>
      <c r="Z284" s="43">
        <v>0</v>
      </c>
      <c r="AA284" s="43">
        <v>0</v>
      </c>
      <c r="AB284" s="43">
        <v>0</v>
      </c>
      <c r="AC284" s="43">
        <v>0</v>
      </c>
      <c r="AD284" s="43">
        <v>0</v>
      </c>
      <c r="AE284" s="43">
        <v>0</v>
      </c>
      <c r="AF284" s="43">
        <v>0</v>
      </c>
      <c r="AG284" s="43"/>
      <c r="AH284" s="43">
        <f t="shared" si="10"/>
        <v>0</v>
      </c>
    </row>
    <row r="285" spans="1:112" s="4" customFormat="1" hidden="1" x14ac:dyDescent="0.2">
      <c r="A285" s="4">
        <v>129</v>
      </c>
      <c r="B285" s="4" t="s">
        <v>460</v>
      </c>
      <c r="D285" s="4" t="s">
        <v>13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43">
        <v>0</v>
      </c>
      <c r="X285" s="43">
        <v>0</v>
      </c>
      <c r="Y285" s="43">
        <v>0</v>
      </c>
      <c r="Z285" s="43">
        <v>0</v>
      </c>
      <c r="AA285" s="43">
        <v>0</v>
      </c>
      <c r="AB285" s="43">
        <v>0</v>
      </c>
      <c r="AC285" s="43">
        <v>0</v>
      </c>
      <c r="AD285" s="43">
        <v>0</v>
      </c>
      <c r="AE285" s="43">
        <v>0</v>
      </c>
      <c r="AF285" s="43">
        <v>0</v>
      </c>
      <c r="AG285" s="43"/>
      <c r="AH285" s="43">
        <f t="shared" si="10"/>
        <v>0</v>
      </c>
    </row>
    <row r="286" spans="1:112" s="4" customFormat="1" hidden="1" x14ac:dyDescent="0.2">
      <c r="A286" s="4">
        <v>114</v>
      </c>
      <c r="B286" s="4" t="s">
        <v>273</v>
      </c>
      <c r="D286" s="4" t="s">
        <v>87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0</v>
      </c>
      <c r="R286" s="43">
        <v>0</v>
      </c>
      <c r="S286" s="43">
        <v>0</v>
      </c>
      <c r="T286" s="43">
        <v>0</v>
      </c>
      <c r="U286" s="43">
        <v>0</v>
      </c>
      <c r="V286" s="43">
        <v>0</v>
      </c>
      <c r="W286" s="43">
        <v>0</v>
      </c>
      <c r="X286" s="43">
        <v>0</v>
      </c>
      <c r="Y286" s="43">
        <v>0</v>
      </c>
      <c r="Z286" s="43">
        <v>0</v>
      </c>
      <c r="AA286" s="43">
        <v>0</v>
      </c>
      <c r="AB286" s="43">
        <v>0</v>
      </c>
      <c r="AC286" s="43">
        <v>0</v>
      </c>
      <c r="AD286" s="43">
        <v>0</v>
      </c>
      <c r="AE286" s="43">
        <v>0</v>
      </c>
      <c r="AF286" s="43">
        <v>0</v>
      </c>
      <c r="AG286" s="43"/>
      <c r="AH286" s="43">
        <f t="shared" si="10"/>
        <v>0</v>
      </c>
    </row>
    <row r="287" spans="1:112" s="4" customFormat="1" hidden="1" x14ac:dyDescent="0.2">
      <c r="A287" s="4">
        <v>249</v>
      </c>
      <c r="B287" s="4" t="s">
        <v>599</v>
      </c>
      <c r="D287" s="4" t="s">
        <v>202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3">
        <v>0</v>
      </c>
      <c r="R287" s="43">
        <v>0</v>
      </c>
      <c r="S287" s="43">
        <v>0</v>
      </c>
      <c r="T287" s="43">
        <v>0</v>
      </c>
      <c r="U287" s="43">
        <v>0</v>
      </c>
      <c r="V287" s="43">
        <v>0</v>
      </c>
      <c r="W287" s="43">
        <v>0</v>
      </c>
      <c r="X287" s="43">
        <v>0</v>
      </c>
      <c r="Y287" s="43">
        <v>0</v>
      </c>
      <c r="Z287" s="43">
        <v>0</v>
      </c>
      <c r="AA287" s="43">
        <v>0</v>
      </c>
      <c r="AB287" s="43">
        <v>0</v>
      </c>
      <c r="AC287" s="43">
        <v>0</v>
      </c>
      <c r="AD287" s="43">
        <v>0</v>
      </c>
      <c r="AE287" s="43">
        <v>0</v>
      </c>
      <c r="AF287" s="43">
        <v>0</v>
      </c>
      <c r="AG287" s="43"/>
      <c r="AH287" s="43">
        <f t="shared" si="10"/>
        <v>0</v>
      </c>
    </row>
    <row r="288" spans="1:112" s="4" customFormat="1" x14ac:dyDescent="0.2">
      <c r="A288" s="4">
        <v>130</v>
      </c>
      <c r="B288" s="4" t="s">
        <v>274</v>
      </c>
      <c r="D288" s="4" t="s">
        <v>13</v>
      </c>
      <c r="F288" s="43">
        <v>0</v>
      </c>
      <c r="G288" s="43">
        <v>0</v>
      </c>
      <c r="H288" s="43">
        <v>1662021</v>
      </c>
      <c r="I288" s="43">
        <v>0</v>
      </c>
      <c r="J288" s="43">
        <v>1199530</v>
      </c>
      <c r="K288" s="43">
        <v>0</v>
      </c>
      <c r="L288" s="43">
        <v>73996</v>
      </c>
      <c r="M288" s="43">
        <v>0</v>
      </c>
      <c r="N288" s="43">
        <v>427837</v>
      </c>
      <c r="O288" s="43">
        <v>0</v>
      </c>
      <c r="P288" s="43">
        <v>1164749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43">
        <v>86740</v>
      </c>
      <c r="W288" s="43">
        <v>0</v>
      </c>
      <c r="X288" s="43">
        <v>0</v>
      </c>
      <c r="Y288" s="43">
        <v>0</v>
      </c>
      <c r="Z288" s="43">
        <v>0</v>
      </c>
      <c r="AA288" s="43">
        <v>0</v>
      </c>
      <c r="AB288" s="43">
        <v>103723</v>
      </c>
      <c r="AC288" s="43">
        <v>0</v>
      </c>
      <c r="AD288" s="43">
        <v>0</v>
      </c>
      <c r="AE288" s="43">
        <v>0</v>
      </c>
      <c r="AF288" s="43">
        <v>0</v>
      </c>
      <c r="AG288" s="43"/>
      <c r="AH288" s="43">
        <f t="shared" si="10"/>
        <v>4718596</v>
      </c>
      <c r="DH288" s="4">
        <v>0</v>
      </c>
    </row>
    <row r="289" spans="1:34" s="4" customFormat="1" hidden="1" x14ac:dyDescent="0.2">
      <c r="A289" s="4">
        <v>37</v>
      </c>
      <c r="B289" s="4" t="s">
        <v>275</v>
      </c>
      <c r="D289" s="4" t="s">
        <v>67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3">
        <v>0</v>
      </c>
      <c r="Q289" s="43">
        <v>0</v>
      </c>
      <c r="R289" s="43">
        <v>0</v>
      </c>
      <c r="S289" s="43">
        <v>0</v>
      </c>
      <c r="T289" s="43">
        <v>0</v>
      </c>
      <c r="U289" s="43">
        <v>0</v>
      </c>
      <c r="V289" s="43">
        <v>0</v>
      </c>
      <c r="W289" s="43">
        <v>0</v>
      </c>
      <c r="X289" s="43">
        <v>0</v>
      </c>
      <c r="Y289" s="43">
        <v>0</v>
      </c>
      <c r="Z289" s="43">
        <v>0</v>
      </c>
      <c r="AA289" s="43">
        <v>0</v>
      </c>
      <c r="AB289" s="43">
        <v>0</v>
      </c>
      <c r="AC289" s="43">
        <v>0</v>
      </c>
      <c r="AD289" s="43">
        <v>0</v>
      </c>
      <c r="AE289" s="43">
        <v>0</v>
      </c>
      <c r="AF289" s="43">
        <v>0</v>
      </c>
      <c r="AG289" s="43"/>
      <c r="AH289" s="43">
        <f t="shared" si="10"/>
        <v>0</v>
      </c>
    </row>
    <row r="290" spans="1:34" s="4" customFormat="1" x14ac:dyDescent="0.2">
      <c r="A290" s="4">
        <v>257</v>
      </c>
      <c r="B290" s="4" t="s">
        <v>600</v>
      </c>
      <c r="D290" s="4" t="s">
        <v>63</v>
      </c>
      <c r="F290" s="43">
        <v>0</v>
      </c>
      <c r="G290" s="43">
        <v>0</v>
      </c>
      <c r="H290" s="43">
        <v>1631784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3">
        <v>0</v>
      </c>
      <c r="T290" s="43">
        <v>0</v>
      </c>
      <c r="U290" s="43">
        <v>0</v>
      </c>
      <c r="V290" s="43">
        <v>60741</v>
      </c>
      <c r="W290" s="43">
        <v>0</v>
      </c>
      <c r="X290" s="43">
        <v>349168</v>
      </c>
      <c r="Y290" s="43">
        <v>0</v>
      </c>
      <c r="Z290" s="43">
        <v>14916</v>
      </c>
      <c r="AA290" s="43">
        <v>0</v>
      </c>
      <c r="AB290" s="43">
        <v>0</v>
      </c>
      <c r="AC290" s="43">
        <v>0</v>
      </c>
      <c r="AD290" s="43">
        <v>0</v>
      </c>
      <c r="AE290" s="43">
        <v>0</v>
      </c>
      <c r="AF290" s="43">
        <v>0</v>
      </c>
      <c r="AG290" s="43"/>
      <c r="AH290" s="43">
        <f t="shared" si="10"/>
        <v>2056609</v>
      </c>
    </row>
    <row r="291" spans="1:34" s="4" customFormat="1" hidden="1" x14ac:dyDescent="0.2">
      <c r="A291" s="4">
        <v>61</v>
      </c>
      <c r="B291" s="4" t="s">
        <v>276</v>
      </c>
      <c r="D291" s="4" t="s">
        <v>79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43">
        <v>0</v>
      </c>
      <c r="X291" s="43">
        <v>0</v>
      </c>
      <c r="Y291" s="43">
        <v>0</v>
      </c>
      <c r="Z291" s="43">
        <v>0</v>
      </c>
      <c r="AA291" s="43">
        <v>0</v>
      </c>
      <c r="AB291" s="43">
        <v>0</v>
      </c>
      <c r="AC291" s="43">
        <v>0</v>
      </c>
      <c r="AD291" s="43">
        <v>0</v>
      </c>
      <c r="AE291" s="43">
        <v>0</v>
      </c>
      <c r="AF291" s="43">
        <v>0</v>
      </c>
      <c r="AG291" s="43"/>
      <c r="AH291" s="43">
        <f t="shared" si="10"/>
        <v>0</v>
      </c>
    </row>
    <row r="292" spans="1:34" s="4" customFormat="1" hidden="1" x14ac:dyDescent="0.2">
      <c r="A292" s="4">
        <v>65</v>
      </c>
      <c r="B292" s="4" t="s">
        <v>318</v>
      </c>
      <c r="D292" s="4" t="s">
        <v>68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3">
        <v>0</v>
      </c>
      <c r="X292" s="43">
        <v>0</v>
      </c>
      <c r="Y292" s="43">
        <v>0</v>
      </c>
      <c r="Z292" s="43">
        <v>0</v>
      </c>
      <c r="AA292" s="43">
        <v>0</v>
      </c>
      <c r="AB292" s="43">
        <v>0</v>
      </c>
      <c r="AC292" s="43">
        <v>0</v>
      </c>
      <c r="AD292" s="43">
        <v>0</v>
      </c>
      <c r="AE292" s="43">
        <v>0</v>
      </c>
      <c r="AF292" s="43">
        <v>0</v>
      </c>
      <c r="AG292" s="43"/>
      <c r="AH292" s="43">
        <f t="shared" si="10"/>
        <v>0</v>
      </c>
    </row>
    <row r="293" spans="1:34" s="4" customFormat="1" x14ac:dyDescent="0.2">
      <c r="A293" s="4">
        <v>81</v>
      </c>
      <c r="B293" s="4" t="s">
        <v>277</v>
      </c>
      <c r="D293" s="4" t="s">
        <v>90</v>
      </c>
      <c r="F293" s="43">
        <v>0</v>
      </c>
      <c r="G293" s="43">
        <v>0</v>
      </c>
      <c r="H293" s="43">
        <v>3618414</v>
      </c>
      <c r="I293" s="43">
        <v>0</v>
      </c>
      <c r="J293" s="43">
        <v>1941337</v>
      </c>
      <c r="K293" s="43">
        <v>0</v>
      </c>
      <c r="L293" s="43">
        <v>868779</v>
      </c>
      <c r="M293" s="43">
        <v>0</v>
      </c>
      <c r="N293" s="43">
        <v>722816</v>
      </c>
      <c r="O293" s="43">
        <v>0</v>
      </c>
      <c r="P293" s="43">
        <v>1348101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312059</v>
      </c>
      <c r="W293" s="43">
        <v>0</v>
      </c>
      <c r="X293" s="43">
        <v>0</v>
      </c>
      <c r="Y293" s="43">
        <v>0</v>
      </c>
      <c r="Z293" s="43">
        <v>0</v>
      </c>
      <c r="AA293" s="43">
        <v>0</v>
      </c>
      <c r="AB293" s="43">
        <v>237915</v>
      </c>
      <c r="AC293" s="43">
        <v>0</v>
      </c>
      <c r="AD293" s="43">
        <v>0</v>
      </c>
      <c r="AE293" s="43">
        <v>0</v>
      </c>
      <c r="AF293" s="43">
        <v>0</v>
      </c>
      <c r="AG293" s="43"/>
      <c r="AH293" s="43">
        <f t="shared" si="10"/>
        <v>9049421</v>
      </c>
    </row>
    <row r="294" spans="1:34" s="4" customFormat="1" hidden="1" x14ac:dyDescent="0.2">
      <c r="A294" s="4">
        <v>172</v>
      </c>
      <c r="B294" s="4" t="s">
        <v>461</v>
      </c>
      <c r="D294" s="4" t="s">
        <v>53</v>
      </c>
      <c r="F294" s="80">
        <v>0</v>
      </c>
      <c r="G294" s="80">
        <v>0</v>
      </c>
      <c r="H294" s="80">
        <v>0</v>
      </c>
      <c r="I294" s="80">
        <v>0</v>
      </c>
      <c r="J294" s="80">
        <v>0</v>
      </c>
      <c r="K294" s="80">
        <v>0</v>
      </c>
      <c r="L294" s="80">
        <v>0</v>
      </c>
      <c r="M294" s="80">
        <v>0</v>
      </c>
      <c r="N294" s="80">
        <v>0</v>
      </c>
      <c r="O294" s="80">
        <v>0</v>
      </c>
      <c r="P294" s="80">
        <v>0</v>
      </c>
      <c r="Q294" s="80">
        <v>0</v>
      </c>
      <c r="R294" s="80">
        <v>0</v>
      </c>
      <c r="S294" s="80">
        <v>0</v>
      </c>
      <c r="T294" s="80">
        <v>0</v>
      </c>
      <c r="U294" s="80">
        <v>0</v>
      </c>
      <c r="V294" s="80">
        <v>0</v>
      </c>
      <c r="W294" s="80">
        <v>0</v>
      </c>
      <c r="X294" s="80">
        <v>0</v>
      </c>
      <c r="Y294" s="80">
        <v>0</v>
      </c>
      <c r="Z294" s="80">
        <v>0</v>
      </c>
      <c r="AA294" s="80">
        <v>0</v>
      </c>
      <c r="AB294" s="80">
        <v>0</v>
      </c>
      <c r="AC294" s="80">
        <v>0</v>
      </c>
      <c r="AD294" s="80">
        <v>0</v>
      </c>
      <c r="AE294" s="80">
        <v>0</v>
      </c>
      <c r="AF294" s="80">
        <v>0</v>
      </c>
      <c r="AG294" s="82"/>
      <c r="AH294" s="82">
        <f t="shared" si="10"/>
        <v>0</v>
      </c>
    </row>
    <row r="295" spans="1:34" s="4" customFormat="1" x14ac:dyDescent="0.2"/>
    <row r="296" spans="1:34" s="4" customFormat="1" x14ac:dyDescent="0.2">
      <c r="B296" s="3"/>
    </row>
    <row r="297" spans="1:34" s="4" customFormat="1" x14ac:dyDescent="0.2"/>
    <row r="298" spans="1:34" s="4" customFormat="1" x14ac:dyDescent="0.2">
      <c r="AH298" s="8"/>
    </row>
    <row r="299" spans="1:34" s="4" customFormat="1" x14ac:dyDescent="0.2">
      <c r="AH299" s="8"/>
    </row>
    <row r="300" spans="1:34" s="4" customFormat="1" x14ac:dyDescent="0.2">
      <c r="AH300" s="8"/>
    </row>
    <row r="301" spans="1:34" s="4" customFormat="1" x14ac:dyDescent="0.2">
      <c r="AH301" s="8"/>
    </row>
    <row r="302" spans="1:34" s="4" customFormat="1" x14ac:dyDescent="0.2">
      <c r="R302" s="8"/>
    </row>
    <row r="303" spans="1:34" s="52" customFormat="1" ht="12.75" x14ac:dyDescent="0.2"/>
    <row r="304" spans="1:34" s="52" customFormat="1" ht="12.75" x14ac:dyDescent="0.2"/>
    <row r="305" spans="6:32" s="52" customFormat="1" ht="12.75" x14ac:dyDescent="0.2"/>
    <row r="306" spans="6:32" s="52" customFormat="1" ht="12.75" x14ac:dyDescent="0.2"/>
    <row r="307" spans="6:32" s="52" customFormat="1" ht="12.75" x14ac:dyDescent="0.2"/>
    <row r="308" spans="6:32" s="52" customFormat="1" ht="12.75" x14ac:dyDescent="0.2"/>
    <row r="309" spans="6:32" s="9" customFormat="1" ht="12.75" x14ac:dyDescent="0.2">
      <c r="F309" s="52"/>
      <c r="H309" s="52"/>
      <c r="J309" s="52"/>
      <c r="L309" s="52"/>
      <c r="N309" s="52"/>
      <c r="P309" s="52"/>
      <c r="R309" s="52"/>
      <c r="T309" s="52"/>
      <c r="V309" s="52"/>
      <c r="X309" s="52"/>
      <c r="Z309" s="52"/>
      <c r="AB309" s="52"/>
      <c r="AD309" s="52"/>
      <c r="AF309" s="52"/>
    </row>
    <row r="310" spans="6:32" s="9" customFormat="1" ht="12.75" x14ac:dyDescent="0.2">
      <c r="F310" s="52"/>
      <c r="H310" s="52"/>
      <c r="J310" s="52"/>
      <c r="L310" s="52"/>
      <c r="N310" s="52"/>
      <c r="P310" s="52"/>
      <c r="R310" s="52"/>
      <c r="T310" s="52"/>
      <c r="V310" s="52"/>
      <c r="X310" s="52"/>
      <c r="Z310" s="52"/>
      <c r="AB310" s="52"/>
      <c r="AD310" s="52"/>
      <c r="AF310" s="52"/>
    </row>
    <row r="311" spans="6:32" s="9" customFormat="1" ht="12.75" x14ac:dyDescent="0.2">
      <c r="F311" s="52"/>
      <c r="H311" s="52"/>
      <c r="J311" s="52"/>
      <c r="L311" s="52"/>
      <c r="N311" s="52"/>
      <c r="P311" s="52"/>
      <c r="R311" s="52"/>
      <c r="T311" s="52"/>
      <c r="V311" s="52"/>
      <c r="X311" s="52"/>
      <c r="Z311" s="52"/>
      <c r="AB311" s="52"/>
      <c r="AD311" s="52"/>
      <c r="AF311" s="52"/>
    </row>
    <row r="312" spans="6:32" s="9" customFormat="1" ht="12.75" x14ac:dyDescent="0.2">
      <c r="F312" s="52"/>
      <c r="H312" s="52"/>
      <c r="J312" s="52"/>
      <c r="L312" s="52"/>
      <c r="N312" s="52"/>
      <c r="P312" s="52"/>
      <c r="R312" s="52"/>
      <c r="T312" s="52"/>
      <c r="V312" s="52"/>
      <c r="X312" s="52"/>
      <c r="Z312" s="52"/>
      <c r="AB312" s="52"/>
      <c r="AD312" s="52"/>
      <c r="AF312" s="52"/>
    </row>
    <row r="313" spans="6:32" s="9" customFormat="1" ht="12.75" x14ac:dyDescent="0.2">
      <c r="F313" s="52"/>
      <c r="H313" s="52"/>
      <c r="J313" s="52"/>
      <c r="L313" s="52"/>
      <c r="N313" s="52"/>
      <c r="P313" s="52"/>
      <c r="R313" s="52"/>
      <c r="T313" s="52"/>
      <c r="V313" s="52"/>
      <c r="X313" s="52"/>
      <c r="Z313" s="52"/>
      <c r="AB313" s="52"/>
      <c r="AD313" s="52"/>
      <c r="AF313" s="52"/>
    </row>
    <row r="314" spans="6:32" s="9" customFormat="1" ht="12.75" x14ac:dyDescent="0.2">
      <c r="F314" s="52"/>
      <c r="H314" s="52"/>
      <c r="J314" s="52"/>
      <c r="L314" s="52"/>
      <c r="N314" s="52"/>
      <c r="P314" s="52"/>
      <c r="R314" s="52"/>
      <c r="T314" s="52"/>
      <c r="V314" s="52"/>
      <c r="X314" s="52"/>
      <c r="Z314" s="52"/>
      <c r="AB314" s="52"/>
      <c r="AD314" s="52"/>
      <c r="AF314" s="52"/>
    </row>
    <row r="315" spans="6:32" s="9" customFormat="1" ht="12.75" x14ac:dyDescent="0.2">
      <c r="F315" s="52"/>
      <c r="H315" s="52"/>
      <c r="J315" s="52"/>
      <c r="L315" s="52"/>
      <c r="N315" s="52"/>
      <c r="P315" s="52"/>
      <c r="R315" s="52"/>
      <c r="T315" s="52"/>
      <c r="V315" s="52"/>
      <c r="X315" s="52"/>
      <c r="Z315" s="52"/>
      <c r="AB315" s="52"/>
      <c r="AD315" s="52"/>
      <c r="AF315" s="52"/>
    </row>
    <row r="316" spans="6:32" s="9" customFormat="1" ht="12.75" x14ac:dyDescent="0.2">
      <c r="F316" s="52"/>
      <c r="H316" s="52"/>
      <c r="J316" s="52"/>
      <c r="L316" s="52"/>
      <c r="N316" s="52"/>
      <c r="P316" s="52"/>
      <c r="R316" s="52"/>
      <c r="T316" s="52"/>
      <c r="V316" s="52"/>
      <c r="X316" s="52"/>
      <c r="Z316" s="52"/>
      <c r="AB316" s="52"/>
      <c r="AD316" s="52"/>
      <c r="AF316" s="52"/>
    </row>
    <row r="317" spans="6:32" s="9" customFormat="1" ht="12.75" x14ac:dyDescent="0.2">
      <c r="F317" s="52"/>
      <c r="H317" s="52"/>
      <c r="J317" s="52"/>
      <c r="L317" s="52"/>
      <c r="N317" s="52"/>
      <c r="P317" s="52"/>
      <c r="R317" s="52"/>
      <c r="T317" s="52"/>
      <c r="V317" s="52"/>
      <c r="X317" s="52"/>
      <c r="Z317" s="52"/>
      <c r="AB317" s="52"/>
      <c r="AD317" s="52"/>
      <c r="AF317" s="52"/>
    </row>
  </sheetData>
  <sortState ref="A18:AF268">
    <sortCondition ref="B18:B268"/>
  </sortState>
  <phoneticPr fontId="1" type="noConversion"/>
  <printOptions horizontalCentered="1"/>
  <pageMargins left="0.75" right="0.75" top="0.5" bottom="0.5" header="0" footer="0.3"/>
  <pageSetup scale="74" firstPageNumber="20" fitToWidth="2" fitToHeight="0" pageOrder="overThenDown" orientation="portrait" useFirstPageNumber="1" horizontalDpi="300" verticalDpi="300" r:id="rId1"/>
  <headerFooter scaleWithDoc="0" alignWithMargins="0">
    <oddFooter>&amp;C&amp;"Times New Roman,Regular"&amp;11&amp;P</oddFooter>
  </headerFooter>
  <rowBreaks count="1" manualBreakCount="1">
    <brk id="181" min="1" max="33" man="1"/>
  </rowBreaks>
  <colBreaks count="1" manualBreakCount="1">
    <brk id="16" max="29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I642"/>
  <sheetViews>
    <sheetView view="pageBreakPreview" zoomScale="60" zoomScaleNormal="110" workbookViewId="0">
      <selection activeCell="A88" sqref="A88"/>
    </sheetView>
  </sheetViews>
  <sheetFormatPr defaultColWidth="8.85546875" defaultRowHeight="12" x14ac:dyDescent="0.2"/>
  <cols>
    <col min="1" max="1" width="30" style="17" customWidth="1"/>
    <col min="2" max="2" width="2.140625" style="17" customWidth="1"/>
    <col min="3" max="3" width="8.85546875" style="17" customWidth="1"/>
    <col min="4" max="4" width="2" style="17" customWidth="1"/>
    <col min="5" max="5" width="9.85546875" style="17" customWidth="1"/>
    <col min="6" max="6" width="2" style="17" customWidth="1"/>
    <col min="7" max="7" width="9.28515625" style="17" bestFit="1" customWidth="1"/>
    <col min="8" max="8" width="2.140625" style="17" customWidth="1"/>
    <col min="9" max="9" width="10.140625" style="17" bestFit="1" customWidth="1"/>
    <col min="10" max="10" width="2.42578125" style="17" customWidth="1"/>
    <col min="11" max="11" width="9.5703125" style="17" customWidth="1"/>
    <col min="12" max="12" width="2.5703125" style="17" customWidth="1"/>
    <col min="13" max="13" width="8.85546875" style="17"/>
    <col min="14" max="14" width="2.7109375" style="17" customWidth="1"/>
    <col min="15" max="15" width="9.28515625" style="17" bestFit="1" customWidth="1"/>
    <col min="16" max="16" width="2.7109375" style="17" customWidth="1"/>
    <col min="17" max="17" width="10.140625" style="17" bestFit="1" customWidth="1"/>
    <col min="18" max="18" width="2.7109375" style="17" customWidth="1"/>
    <col min="19" max="19" width="9.28515625" style="17" bestFit="1" customWidth="1"/>
    <col min="20" max="20" width="2.28515625" style="17" customWidth="1"/>
    <col min="21" max="21" width="9.7109375" style="17" customWidth="1"/>
    <col min="22" max="22" width="2.28515625" style="17" customWidth="1"/>
    <col min="23" max="23" width="9.28515625" style="17" bestFit="1" customWidth="1"/>
    <col min="24" max="24" width="2.7109375" style="17" customWidth="1"/>
    <col min="25" max="25" width="10.140625" style="17" bestFit="1" customWidth="1"/>
    <col min="26" max="26" width="2.140625" style="17" customWidth="1"/>
    <col min="27" max="27" width="10.5703125" style="17" customWidth="1"/>
    <col min="28" max="28" width="2" style="17" customWidth="1"/>
    <col min="29" max="29" width="11" style="17" customWidth="1"/>
    <col min="30" max="16384" width="8.85546875" style="17"/>
  </cols>
  <sheetData>
    <row r="1" spans="1:29" x14ac:dyDescent="0.2">
      <c r="A1" s="97" t="s">
        <v>518</v>
      </c>
      <c r="B1" s="97"/>
      <c r="C1" s="97"/>
      <c r="D1" s="97"/>
      <c r="E1" s="97"/>
      <c r="F1" s="97"/>
      <c r="G1" s="97"/>
    </row>
    <row r="2" spans="1:29" x14ac:dyDescent="0.2">
      <c r="A2" s="18" t="s">
        <v>633</v>
      </c>
    </row>
    <row r="3" spans="1:29" ht="12.75" x14ac:dyDescent="0.2">
      <c r="A3" s="18"/>
      <c r="G3" s="19"/>
    </row>
    <row r="4" spans="1:29" ht="12.75" x14ac:dyDescent="0.2">
      <c r="A4" s="20" t="s">
        <v>519</v>
      </c>
      <c r="G4" s="19"/>
    </row>
    <row r="5" spans="1:29" x14ac:dyDescent="0.2">
      <c r="A5" s="21"/>
    </row>
    <row r="6" spans="1:29" s="18" customFormat="1" x14ac:dyDescent="0.2">
      <c r="A6" s="22" t="s">
        <v>5</v>
      </c>
      <c r="B6" s="22"/>
      <c r="C6" s="22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29" x14ac:dyDescent="0.2">
      <c r="E7" s="98" t="s">
        <v>30</v>
      </c>
      <c r="F7" s="98"/>
      <c r="G7" s="98"/>
      <c r="H7" s="98"/>
      <c r="I7" s="25"/>
      <c r="K7" s="98" t="s">
        <v>520</v>
      </c>
      <c r="L7" s="98"/>
      <c r="M7" s="98"/>
      <c r="N7" s="26"/>
      <c r="O7" s="26"/>
      <c r="P7" s="25"/>
      <c r="Q7" s="25"/>
      <c r="S7" s="98" t="s">
        <v>405</v>
      </c>
      <c r="T7" s="98"/>
      <c r="U7" s="98"/>
      <c r="V7" s="98"/>
      <c r="W7" s="98"/>
      <c r="X7" s="25"/>
      <c r="Y7" s="25"/>
      <c r="AA7" s="17" t="s">
        <v>521</v>
      </c>
      <c r="AC7" s="17" t="s">
        <v>521</v>
      </c>
    </row>
    <row r="8" spans="1:29" x14ac:dyDescent="0.2">
      <c r="E8" s="28" t="s">
        <v>522</v>
      </c>
      <c r="F8" s="28"/>
      <c r="G8" s="28" t="s">
        <v>28</v>
      </c>
      <c r="H8" s="28"/>
      <c r="I8" s="27" t="s">
        <v>26</v>
      </c>
      <c r="K8" s="28" t="s">
        <v>522</v>
      </c>
      <c r="L8" s="28"/>
      <c r="M8" s="29" t="s">
        <v>523</v>
      </c>
      <c r="N8" s="29"/>
      <c r="O8" s="29"/>
      <c r="P8" s="27"/>
      <c r="Q8" s="27" t="s">
        <v>26</v>
      </c>
      <c r="S8" s="27" t="s">
        <v>524</v>
      </c>
      <c r="T8" s="27"/>
      <c r="U8" s="27"/>
      <c r="V8" s="27"/>
      <c r="W8" s="27"/>
      <c r="X8" s="27"/>
      <c r="Y8" s="27" t="s">
        <v>26</v>
      </c>
      <c r="AA8" s="17" t="s">
        <v>525</v>
      </c>
      <c r="AC8" s="17" t="s">
        <v>525</v>
      </c>
    </row>
    <row r="9" spans="1:29" x14ac:dyDescent="0.2">
      <c r="A9" s="26" t="s">
        <v>6</v>
      </c>
      <c r="B9" s="28"/>
      <c r="C9" s="26" t="s">
        <v>4</v>
      </c>
      <c r="D9" s="28"/>
      <c r="E9" s="26" t="s">
        <v>30</v>
      </c>
      <c r="F9" s="27"/>
      <c r="G9" s="26" t="s">
        <v>30</v>
      </c>
      <c r="H9" s="27"/>
      <c r="I9" s="26" t="s">
        <v>30</v>
      </c>
      <c r="J9" s="23"/>
      <c r="K9" s="26" t="s">
        <v>526</v>
      </c>
      <c r="L9" s="27"/>
      <c r="M9" s="26" t="s">
        <v>527</v>
      </c>
      <c r="N9" s="27"/>
      <c r="O9" s="26" t="s">
        <v>528</v>
      </c>
      <c r="P9" s="27"/>
      <c r="Q9" s="26" t="s">
        <v>526</v>
      </c>
      <c r="R9" s="23"/>
      <c r="S9" s="26" t="s">
        <v>529</v>
      </c>
      <c r="T9" s="27"/>
      <c r="U9" s="26" t="s">
        <v>530</v>
      </c>
      <c r="V9" s="27"/>
      <c r="W9" s="26" t="s">
        <v>407</v>
      </c>
      <c r="X9" s="27"/>
      <c r="Y9" s="26" t="s">
        <v>405</v>
      </c>
      <c r="AA9" s="17" t="s">
        <v>531</v>
      </c>
      <c r="AC9" s="17" t="s">
        <v>531</v>
      </c>
    </row>
    <row r="10" spans="1:29" x14ac:dyDescent="0.2">
      <c r="K10" s="27"/>
      <c r="L10" s="27"/>
      <c r="M10" s="27"/>
      <c r="N10" s="27"/>
      <c r="O10" s="27"/>
      <c r="P10" s="27"/>
      <c r="Q10" s="27"/>
      <c r="S10" s="27"/>
      <c r="T10" s="27"/>
      <c r="U10" s="27"/>
      <c r="V10" s="27"/>
      <c r="W10" s="27"/>
      <c r="X10" s="27"/>
      <c r="Y10" s="27"/>
    </row>
    <row r="11" spans="1:29" s="33" customFormat="1" hidden="1" x14ac:dyDescent="0.2">
      <c r="A11" s="2" t="s">
        <v>348</v>
      </c>
      <c r="B11" s="2"/>
      <c r="C11" s="2" t="s">
        <v>38</v>
      </c>
      <c r="D11" s="30"/>
      <c r="E11" s="33">
        <f>+I11-G11</f>
        <v>0</v>
      </c>
      <c r="F11" s="32"/>
      <c r="G11" s="32">
        <v>0</v>
      </c>
      <c r="H11" s="32"/>
      <c r="I11" s="32">
        <v>0</v>
      </c>
      <c r="K11" s="33">
        <f t="shared" ref="K11:K22" si="0">+Q11-M11-O11</f>
        <v>0</v>
      </c>
      <c r="M11" s="33">
        <v>0</v>
      </c>
      <c r="O11" s="33">
        <v>0</v>
      </c>
      <c r="Q11" s="33">
        <v>0</v>
      </c>
      <c r="S11" s="33">
        <v>0</v>
      </c>
      <c r="U11" s="33">
        <f>Y11-W11-S11</f>
        <v>0</v>
      </c>
      <c r="W11" s="33">
        <v>0</v>
      </c>
      <c r="Y11" s="33">
        <v>0</v>
      </c>
      <c r="AA11" s="17">
        <f t="shared" ref="AA11:AA35" si="1">+H11-P11-X11</f>
        <v>0</v>
      </c>
      <c r="AC11" s="33">
        <f t="shared" ref="AC11:AC35" si="2">+D11+F11+-J11-L11-R11-T11-V11-N11</f>
        <v>0</v>
      </c>
    </row>
    <row r="12" spans="1:29" x14ac:dyDescent="0.2">
      <c r="A12" s="15" t="s">
        <v>425</v>
      </c>
      <c r="B12" s="15"/>
      <c r="C12" s="15" t="s">
        <v>20</v>
      </c>
      <c r="D12" s="30"/>
      <c r="E12" s="17">
        <v>4698566</v>
      </c>
      <c r="G12" s="32">
        <v>0</v>
      </c>
      <c r="I12" s="17">
        <f>E12+G12</f>
        <v>4698566</v>
      </c>
      <c r="K12" s="17">
        <f t="shared" si="0"/>
        <v>0</v>
      </c>
      <c r="U12" s="17">
        <f>60043+6201+4021+484807</f>
        <v>555072</v>
      </c>
      <c r="W12" s="17">
        <v>4143494</v>
      </c>
      <c r="Y12" s="17">
        <f>S12+U12+W12</f>
        <v>4698566</v>
      </c>
      <c r="AA12" s="17">
        <f t="shared" si="1"/>
        <v>0</v>
      </c>
      <c r="AB12" s="33"/>
      <c r="AC12" s="33">
        <f t="shared" si="2"/>
        <v>0</v>
      </c>
    </row>
    <row r="13" spans="1:29" hidden="1" x14ac:dyDescent="0.2">
      <c r="A13" s="12" t="s">
        <v>69</v>
      </c>
      <c r="B13" s="12"/>
      <c r="C13" s="15" t="s">
        <v>39</v>
      </c>
      <c r="D13" s="31"/>
      <c r="E13" s="17">
        <f>+I13-G13</f>
        <v>0</v>
      </c>
      <c r="F13" s="33"/>
      <c r="G13" s="32">
        <v>0</v>
      </c>
      <c r="H13" s="33"/>
      <c r="I13" s="33"/>
      <c r="K13" s="17">
        <f t="shared" si="0"/>
        <v>0</v>
      </c>
      <c r="U13" s="17">
        <f>Y13-W13-S13</f>
        <v>0</v>
      </c>
      <c r="AA13" s="17">
        <f t="shared" si="1"/>
        <v>0</v>
      </c>
      <c r="AB13" s="33"/>
      <c r="AC13" s="33">
        <f t="shared" si="2"/>
        <v>0</v>
      </c>
    </row>
    <row r="14" spans="1:29" hidden="1" x14ac:dyDescent="0.2">
      <c r="A14" s="12" t="s">
        <v>426</v>
      </c>
      <c r="B14" s="12"/>
      <c r="C14" s="15" t="s">
        <v>95</v>
      </c>
      <c r="D14" s="30"/>
      <c r="E14" s="17">
        <f>+I14-G14</f>
        <v>0</v>
      </c>
      <c r="G14" s="32">
        <v>0</v>
      </c>
      <c r="K14" s="17">
        <f t="shared" si="0"/>
        <v>0</v>
      </c>
      <c r="U14" s="17">
        <f>Y14-W14-S14</f>
        <v>0</v>
      </c>
      <c r="AA14" s="17">
        <f t="shared" si="1"/>
        <v>0</v>
      </c>
      <c r="AB14" s="33"/>
      <c r="AC14" s="33">
        <f t="shared" si="2"/>
        <v>0</v>
      </c>
    </row>
    <row r="15" spans="1:29" hidden="1" x14ac:dyDescent="0.2">
      <c r="A15" s="15" t="s">
        <v>74</v>
      </c>
      <c r="B15" s="15"/>
      <c r="C15" s="15" t="s">
        <v>55</v>
      </c>
      <c r="D15" s="30"/>
      <c r="E15" s="17">
        <f>+I15-G15</f>
        <v>0</v>
      </c>
      <c r="G15" s="32">
        <v>0</v>
      </c>
      <c r="K15" s="17">
        <f t="shared" si="0"/>
        <v>0</v>
      </c>
      <c r="U15" s="17">
        <f>Y15-W15-S15</f>
        <v>0</v>
      </c>
      <c r="AA15" s="17">
        <f t="shared" si="1"/>
        <v>0</v>
      </c>
      <c r="AB15" s="33"/>
      <c r="AC15" s="33">
        <f t="shared" si="2"/>
        <v>0</v>
      </c>
    </row>
    <row r="16" spans="1:29" hidden="1" x14ac:dyDescent="0.2">
      <c r="A16" s="12" t="s">
        <v>75</v>
      </c>
      <c r="B16" s="12"/>
      <c r="C16" s="12" t="s">
        <v>76</v>
      </c>
      <c r="D16" s="30"/>
      <c r="E16" s="17">
        <f>+I16-G16</f>
        <v>0</v>
      </c>
      <c r="G16" s="32">
        <v>0</v>
      </c>
      <c r="K16" s="17">
        <f t="shared" si="0"/>
        <v>0</v>
      </c>
      <c r="U16" s="17">
        <f>Y16-W16-S16</f>
        <v>0</v>
      </c>
      <c r="AA16" s="17">
        <f t="shared" si="1"/>
        <v>0</v>
      </c>
      <c r="AB16" s="33"/>
      <c r="AC16" s="33">
        <f t="shared" si="2"/>
        <v>0</v>
      </c>
    </row>
    <row r="17" spans="1:29" hidden="1" x14ac:dyDescent="0.2">
      <c r="A17" s="12" t="s">
        <v>349</v>
      </c>
      <c r="B17" s="12"/>
      <c r="C17" s="15" t="s">
        <v>40</v>
      </c>
      <c r="D17" s="30"/>
      <c r="E17" s="17">
        <f>+I17-G17</f>
        <v>0</v>
      </c>
      <c r="G17" s="32">
        <v>0</v>
      </c>
      <c r="K17" s="17">
        <f t="shared" si="0"/>
        <v>0</v>
      </c>
      <c r="U17" s="17">
        <f>Y17-W17-S17</f>
        <v>0</v>
      </c>
      <c r="AA17" s="17">
        <f t="shared" si="1"/>
        <v>0</v>
      </c>
      <c r="AB17" s="33"/>
      <c r="AC17" s="33">
        <f t="shared" si="2"/>
        <v>0</v>
      </c>
    </row>
    <row r="18" spans="1:29" x14ac:dyDescent="0.2">
      <c r="A18" s="15" t="s">
        <v>80</v>
      </c>
      <c r="B18" s="15"/>
      <c r="C18" s="15" t="s">
        <v>81</v>
      </c>
      <c r="D18" s="30"/>
      <c r="E18" s="17">
        <v>2233427</v>
      </c>
      <c r="G18" s="32">
        <v>0</v>
      </c>
      <c r="I18" s="17">
        <f>E18+G18</f>
        <v>2233427</v>
      </c>
      <c r="K18" s="17">
        <f t="shared" si="0"/>
        <v>0</v>
      </c>
      <c r="U18" s="17">
        <f>459726+1184528</f>
        <v>1644254</v>
      </c>
      <c r="W18" s="17">
        <v>589173</v>
      </c>
      <c r="Y18" s="17">
        <f>S18+U18+W18</f>
        <v>2233427</v>
      </c>
      <c r="AA18" s="17">
        <f t="shared" si="1"/>
        <v>0</v>
      </c>
      <c r="AB18" s="33"/>
      <c r="AC18" s="33">
        <f t="shared" si="2"/>
        <v>0</v>
      </c>
    </row>
    <row r="19" spans="1:29" hidden="1" x14ac:dyDescent="0.2">
      <c r="A19" s="12" t="s">
        <v>350</v>
      </c>
      <c r="B19" s="12"/>
      <c r="C19" s="15" t="s">
        <v>41</v>
      </c>
      <c r="D19" s="30"/>
      <c r="E19" s="17">
        <f>+I19-G19</f>
        <v>0</v>
      </c>
      <c r="G19" s="32">
        <v>0</v>
      </c>
      <c r="K19" s="17">
        <f t="shared" si="0"/>
        <v>0</v>
      </c>
      <c r="U19" s="17">
        <f>Y19-W19-S19</f>
        <v>0</v>
      </c>
      <c r="AA19" s="17">
        <f t="shared" si="1"/>
        <v>0</v>
      </c>
      <c r="AB19" s="33"/>
      <c r="AC19" s="33">
        <f t="shared" si="2"/>
        <v>0</v>
      </c>
    </row>
    <row r="20" spans="1:29" hidden="1" x14ac:dyDescent="0.2">
      <c r="A20" s="12" t="s">
        <v>351</v>
      </c>
      <c r="B20" s="12"/>
      <c r="C20" s="15" t="s">
        <v>42</v>
      </c>
      <c r="D20" s="30"/>
      <c r="E20" s="17">
        <f>+I20-G20</f>
        <v>0</v>
      </c>
      <c r="G20" s="32">
        <v>0</v>
      </c>
      <c r="K20" s="17">
        <f t="shared" si="0"/>
        <v>0</v>
      </c>
      <c r="U20" s="17">
        <f>Y20-W20-S20</f>
        <v>0</v>
      </c>
      <c r="AA20" s="17">
        <f t="shared" si="1"/>
        <v>0</v>
      </c>
      <c r="AB20" s="33"/>
      <c r="AC20" s="33">
        <f t="shared" si="2"/>
        <v>0</v>
      </c>
    </row>
    <row r="21" spans="1:29" x14ac:dyDescent="0.2">
      <c r="A21" s="12" t="s">
        <v>82</v>
      </c>
      <c r="B21" s="12"/>
      <c r="C21" s="15" t="s">
        <v>55</v>
      </c>
      <c r="D21" s="30"/>
      <c r="E21" s="17">
        <v>1217988</v>
      </c>
      <c r="G21" s="32">
        <v>0</v>
      </c>
      <c r="I21" s="17">
        <f>E21+G21</f>
        <v>1217988</v>
      </c>
      <c r="K21" s="17">
        <f t="shared" si="0"/>
        <v>0</v>
      </c>
      <c r="U21" s="17">
        <v>765775</v>
      </c>
      <c r="W21" s="17">
        <v>452213</v>
      </c>
      <c r="Y21" s="17">
        <f>U21+W21</f>
        <v>1217988</v>
      </c>
      <c r="AA21" s="17">
        <f t="shared" si="1"/>
        <v>0</v>
      </c>
      <c r="AB21" s="33"/>
      <c r="AC21" s="33">
        <f t="shared" si="2"/>
        <v>0</v>
      </c>
    </row>
    <row r="22" spans="1:29" hidden="1" x14ac:dyDescent="0.2">
      <c r="A22" s="12" t="s">
        <v>352</v>
      </c>
      <c r="B22" s="15"/>
      <c r="C22" s="15" t="s">
        <v>20</v>
      </c>
      <c r="D22" s="30"/>
      <c r="E22" s="17">
        <f>+I22-G22</f>
        <v>0</v>
      </c>
      <c r="G22" s="32">
        <v>0</v>
      </c>
      <c r="K22" s="17">
        <f t="shared" si="0"/>
        <v>0</v>
      </c>
      <c r="U22" s="17">
        <f>Y22-W22-S22</f>
        <v>0</v>
      </c>
      <c r="AA22" s="17">
        <f t="shared" si="1"/>
        <v>0</v>
      </c>
      <c r="AB22" s="33"/>
      <c r="AC22" s="33">
        <f t="shared" si="2"/>
        <v>0</v>
      </c>
    </row>
    <row r="23" spans="1:29" x14ac:dyDescent="0.2">
      <c r="A23" s="12" t="s">
        <v>19</v>
      </c>
      <c r="B23" s="12"/>
      <c r="C23" s="12" t="s">
        <v>11</v>
      </c>
      <c r="D23" s="30"/>
      <c r="E23" s="17">
        <v>647535</v>
      </c>
      <c r="G23" s="32">
        <v>0</v>
      </c>
      <c r="I23" s="17">
        <f>E23+G23</f>
        <v>647535</v>
      </c>
      <c r="K23" s="17">
        <v>0</v>
      </c>
      <c r="U23" s="17">
        <f>461379+134478</f>
        <v>595857</v>
      </c>
      <c r="W23" s="17">
        <v>51678</v>
      </c>
      <c r="Y23" s="17">
        <f>U23+W23</f>
        <v>647535</v>
      </c>
      <c r="AA23" s="17">
        <f t="shared" si="1"/>
        <v>0</v>
      </c>
      <c r="AB23" s="33"/>
      <c r="AC23" s="33">
        <f t="shared" si="2"/>
        <v>0</v>
      </c>
    </row>
    <row r="24" spans="1:29" hidden="1" x14ac:dyDescent="0.2">
      <c r="A24" s="12" t="s">
        <v>353</v>
      </c>
      <c r="B24" s="15"/>
      <c r="C24" s="15" t="s">
        <v>11</v>
      </c>
      <c r="D24" s="30"/>
      <c r="E24" s="17">
        <f>+I24-G24</f>
        <v>0</v>
      </c>
      <c r="G24" s="32">
        <v>0</v>
      </c>
      <c r="K24" s="17">
        <f>+Q24-M24-O24</f>
        <v>0</v>
      </c>
      <c r="U24" s="17">
        <f>Y24-W24-S24</f>
        <v>0</v>
      </c>
      <c r="AA24" s="17">
        <f t="shared" si="1"/>
        <v>0</v>
      </c>
      <c r="AB24" s="33"/>
      <c r="AC24" s="33">
        <f t="shared" si="2"/>
        <v>0</v>
      </c>
    </row>
    <row r="25" spans="1:29" x14ac:dyDescent="0.2">
      <c r="A25" s="12" t="s">
        <v>84</v>
      </c>
      <c r="B25" s="15"/>
      <c r="C25" s="15" t="s">
        <v>85</v>
      </c>
      <c r="D25" s="30"/>
      <c r="E25" s="17">
        <v>262239</v>
      </c>
      <c r="G25" s="32">
        <v>0</v>
      </c>
      <c r="I25" s="17">
        <f>E25+G25</f>
        <v>262239</v>
      </c>
      <c r="K25" s="17">
        <v>0</v>
      </c>
      <c r="U25" s="17">
        <v>0</v>
      </c>
      <c r="W25" s="17">
        <v>262239</v>
      </c>
      <c r="Y25" s="17">
        <f>U25+W25</f>
        <v>262239</v>
      </c>
      <c r="AA25" s="17">
        <f t="shared" si="1"/>
        <v>0</v>
      </c>
      <c r="AB25" s="33"/>
      <c r="AC25" s="33">
        <f t="shared" si="2"/>
        <v>0</v>
      </c>
    </row>
    <row r="26" spans="1:29" x14ac:dyDescent="0.2">
      <c r="A26" s="12" t="s">
        <v>86</v>
      </c>
      <c r="B26" s="15"/>
      <c r="C26" s="15" t="s">
        <v>87</v>
      </c>
      <c r="D26" s="30"/>
      <c r="E26" s="17">
        <v>884356</v>
      </c>
      <c r="G26" s="32">
        <v>0</v>
      </c>
      <c r="I26" s="17">
        <f>E26+G26</f>
        <v>884356</v>
      </c>
      <c r="K26" s="17">
        <f>+Q26-M26-O26</f>
        <v>0</v>
      </c>
      <c r="U26" s="17">
        <v>5393</v>
      </c>
      <c r="W26" s="17">
        <v>878963</v>
      </c>
      <c r="Y26" s="17">
        <f>U26+W26</f>
        <v>884356</v>
      </c>
      <c r="AA26" s="17">
        <f t="shared" si="1"/>
        <v>0</v>
      </c>
      <c r="AB26" s="33"/>
      <c r="AC26" s="33">
        <f t="shared" si="2"/>
        <v>0</v>
      </c>
    </row>
    <row r="27" spans="1:29" x14ac:dyDescent="0.2">
      <c r="A27" s="12" t="s">
        <v>88</v>
      </c>
      <c r="B27" s="15"/>
      <c r="C27" s="15" t="s">
        <v>43</v>
      </c>
      <c r="D27" s="30"/>
      <c r="E27" s="17">
        <v>441411</v>
      </c>
      <c r="G27" s="32">
        <v>0</v>
      </c>
      <c r="I27" s="17">
        <f>E27+G27</f>
        <v>441411</v>
      </c>
      <c r="K27" s="17">
        <v>0</v>
      </c>
      <c r="U27" s="17">
        <v>303910</v>
      </c>
      <c r="W27" s="17">
        <v>137501</v>
      </c>
      <c r="Y27" s="17">
        <f>U27+W27</f>
        <v>441411</v>
      </c>
      <c r="AA27" s="17">
        <f t="shared" si="1"/>
        <v>0</v>
      </c>
      <c r="AB27" s="33"/>
      <c r="AC27" s="33">
        <f t="shared" si="2"/>
        <v>0</v>
      </c>
    </row>
    <row r="28" spans="1:29" x14ac:dyDescent="0.2">
      <c r="A28" s="12" t="s">
        <v>91</v>
      </c>
      <c r="B28" s="15"/>
      <c r="C28" s="15" t="s">
        <v>92</v>
      </c>
      <c r="D28" s="30"/>
      <c r="E28" s="17">
        <v>3555809</v>
      </c>
      <c r="G28" s="32">
        <v>0</v>
      </c>
      <c r="I28" s="17">
        <f>E28+G28</f>
        <v>3555809</v>
      </c>
      <c r="K28" s="17">
        <v>0</v>
      </c>
      <c r="U28" s="17">
        <f>1717768+13994</f>
        <v>1731762</v>
      </c>
      <c r="W28" s="17">
        <v>1824048</v>
      </c>
      <c r="Y28" s="17">
        <f>U28+W28</f>
        <v>3555810</v>
      </c>
      <c r="AA28" s="17">
        <f t="shared" si="1"/>
        <v>0</v>
      </c>
      <c r="AB28" s="33"/>
      <c r="AC28" s="33">
        <f t="shared" si="2"/>
        <v>0</v>
      </c>
    </row>
    <row r="29" spans="1:29" x14ac:dyDescent="0.2">
      <c r="A29" s="12" t="s">
        <v>93</v>
      </c>
      <c r="B29" s="15"/>
      <c r="C29" s="15" t="s">
        <v>67</v>
      </c>
      <c r="D29" s="30"/>
      <c r="E29" s="17">
        <v>442439</v>
      </c>
      <c r="G29" s="32">
        <v>0</v>
      </c>
      <c r="I29" s="17">
        <f>E29+G29</f>
        <v>442439</v>
      </c>
      <c r="K29" s="17">
        <f>+Q29-M29-O29</f>
        <v>0</v>
      </c>
      <c r="U29" s="17">
        <f>50470+232701</f>
        <v>283171</v>
      </c>
      <c r="W29" s="17">
        <v>159268</v>
      </c>
      <c r="Y29" s="17">
        <f>U29+W29</f>
        <v>442439</v>
      </c>
      <c r="AA29" s="17">
        <f t="shared" si="1"/>
        <v>0</v>
      </c>
      <c r="AB29" s="33"/>
      <c r="AC29" s="33">
        <f t="shared" si="2"/>
        <v>0</v>
      </c>
    </row>
    <row r="30" spans="1:29" hidden="1" x14ac:dyDescent="0.2">
      <c r="A30" s="12" t="s">
        <v>354</v>
      </c>
      <c r="B30" s="15"/>
      <c r="C30" s="15" t="s">
        <v>44</v>
      </c>
      <c r="D30" s="30"/>
      <c r="E30" s="17">
        <f>+I30-G30</f>
        <v>0</v>
      </c>
      <c r="G30" s="32"/>
      <c r="K30" s="17">
        <f>+Q30-M30-O30</f>
        <v>0</v>
      </c>
      <c r="U30" s="17">
        <f>Y30-W30-S30</f>
        <v>0</v>
      </c>
      <c r="AA30" s="17">
        <f t="shared" si="1"/>
        <v>0</v>
      </c>
      <c r="AB30" s="33"/>
      <c r="AC30" s="33">
        <f t="shared" si="2"/>
        <v>0</v>
      </c>
    </row>
    <row r="31" spans="1:29" x14ac:dyDescent="0.2">
      <c r="A31" s="12" t="s">
        <v>635</v>
      </c>
      <c r="B31" s="15"/>
      <c r="C31" s="15" t="s">
        <v>567</v>
      </c>
      <c r="D31" s="30"/>
      <c r="E31" s="17">
        <v>753872</v>
      </c>
      <c r="G31" s="32">
        <v>0</v>
      </c>
      <c r="I31" s="17">
        <f>E31+G31</f>
        <v>753872</v>
      </c>
      <c r="K31" s="17">
        <v>0</v>
      </c>
      <c r="U31" s="17">
        <v>158406</v>
      </c>
      <c r="W31" s="17">
        <v>595466</v>
      </c>
      <c r="Y31" s="17">
        <f t="shared" ref="Y31:Y40" si="3">U31+W31</f>
        <v>753872</v>
      </c>
      <c r="AA31" s="17">
        <f t="shared" si="1"/>
        <v>0</v>
      </c>
      <c r="AB31" s="33"/>
      <c r="AC31" s="33">
        <f t="shared" si="2"/>
        <v>0</v>
      </c>
    </row>
    <row r="32" spans="1:29" x14ac:dyDescent="0.2">
      <c r="A32" s="12" t="s">
        <v>98</v>
      </c>
      <c r="B32" s="15"/>
      <c r="C32" s="15" t="s">
        <v>54</v>
      </c>
      <c r="D32" s="30"/>
      <c r="E32" s="17">
        <v>918940</v>
      </c>
      <c r="G32" s="32">
        <v>0</v>
      </c>
      <c r="I32" s="17">
        <f>E32+G32</f>
        <v>918940</v>
      </c>
      <c r="K32" s="17">
        <f>+Q32-M32-O32</f>
        <v>0</v>
      </c>
      <c r="U32" s="17">
        <v>548453</v>
      </c>
      <c r="W32" s="17">
        <v>370487</v>
      </c>
      <c r="Y32" s="17">
        <f t="shared" si="3"/>
        <v>918940</v>
      </c>
      <c r="AA32" s="17">
        <f t="shared" si="1"/>
        <v>0</v>
      </c>
      <c r="AB32" s="33"/>
      <c r="AC32" s="33">
        <f t="shared" si="2"/>
        <v>0</v>
      </c>
    </row>
    <row r="33" spans="1:31" hidden="1" x14ac:dyDescent="0.2">
      <c r="A33" s="12" t="s">
        <v>31</v>
      </c>
      <c r="B33" s="15"/>
      <c r="C33" s="15" t="s">
        <v>45</v>
      </c>
      <c r="D33" s="30"/>
      <c r="E33" s="17">
        <f>+I33-G33</f>
        <v>0</v>
      </c>
      <c r="G33" s="32"/>
      <c r="K33" s="17">
        <f>+Q33-M33-O33</f>
        <v>0</v>
      </c>
      <c r="U33" s="17">
        <v>0</v>
      </c>
      <c r="W33" s="17">
        <v>0</v>
      </c>
      <c r="Y33" s="17">
        <f t="shared" si="3"/>
        <v>0</v>
      </c>
      <c r="AA33" s="17">
        <f t="shared" si="1"/>
        <v>0</v>
      </c>
      <c r="AB33" s="33"/>
      <c r="AC33" s="33">
        <f t="shared" si="2"/>
        <v>0</v>
      </c>
      <c r="AE33" s="17" t="s">
        <v>532</v>
      </c>
    </row>
    <row r="34" spans="1:31" x14ac:dyDescent="0.2">
      <c r="A34" s="12" t="s">
        <v>99</v>
      </c>
      <c r="B34" s="15"/>
      <c r="C34" s="15" t="s">
        <v>100</v>
      </c>
      <c r="D34" s="30"/>
      <c r="E34" s="17">
        <v>295554</v>
      </c>
      <c r="G34" s="32">
        <v>0</v>
      </c>
      <c r="I34" s="17">
        <f>E34+G34</f>
        <v>295554</v>
      </c>
      <c r="K34" s="17">
        <v>0</v>
      </c>
      <c r="U34" s="17">
        <v>118089</v>
      </c>
      <c r="W34" s="17">
        <v>177465</v>
      </c>
      <c r="Y34" s="17">
        <f t="shared" si="3"/>
        <v>295554</v>
      </c>
      <c r="AA34" s="17">
        <f t="shared" si="1"/>
        <v>0</v>
      </c>
      <c r="AB34" s="33"/>
      <c r="AC34" s="33">
        <f t="shared" si="2"/>
        <v>0</v>
      </c>
    </row>
    <row r="35" spans="1:31" x14ac:dyDescent="0.2">
      <c r="A35" s="12" t="s">
        <v>101</v>
      </c>
      <c r="B35" s="15"/>
      <c r="C35" s="15" t="s">
        <v>50</v>
      </c>
      <c r="D35" s="30"/>
      <c r="E35" s="17">
        <v>561791.56999999995</v>
      </c>
      <c r="G35" s="32">
        <v>0</v>
      </c>
      <c r="I35" s="17">
        <f>E35+G35</f>
        <v>561791.56999999995</v>
      </c>
      <c r="K35" s="17">
        <v>0</v>
      </c>
      <c r="U35" s="17">
        <f>70037.51+9754.53</f>
        <v>79792.039999999994</v>
      </c>
      <c r="W35" s="17">
        <v>481999.53</v>
      </c>
      <c r="Y35" s="17">
        <f t="shared" si="3"/>
        <v>561791.57000000007</v>
      </c>
      <c r="AA35" s="17">
        <f t="shared" si="1"/>
        <v>0</v>
      </c>
      <c r="AB35" s="33"/>
      <c r="AC35" s="33">
        <f t="shared" si="2"/>
        <v>0</v>
      </c>
    </row>
    <row r="36" spans="1:31" x14ac:dyDescent="0.2">
      <c r="A36" s="12" t="s">
        <v>636</v>
      </c>
      <c r="B36" s="15"/>
      <c r="C36" s="15" t="s">
        <v>66</v>
      </c>
      <c r="D36" s="30"/>
      <c r="E36" s="17">
        <v>209161</v>
      </c>
      <c r="G36" s="32">
        <v>0</v>
      </c>
      <c r="I36" s="17">
        <f>E36+G36</f>
        <v>209161</v>
      </c>
      <c r="K36" s="17">
        <v>0</v>
      </c>
      <c r="U36" s="17">
        <v>0</v>
      </c>
      <c r="W36" s="17">
        <v>209161</v>
      </c>
      <c r="Y36" s="17">
        <f t="shared" si="3"/>
        <v>209161</v>
      </c>
      <c r="AB36" s="33"/>
      <c r="AC36" s="33"/>
    </row>
    <row r="37" spans="1:31" x14ac:dyDescent="0.2">
      <c r="A37" s="12" t="s">
        <v>107</v>
      </c>
      <c r="B37" s="12"/>
      <c r="C37" s="12" t="s">
        <v>108</v>
      </c>
      <c r="D37" s="30"/>
      <c r="E37" s="17">
        <v>1424805</v>
      </c>
      <c r="G37" s="32">
        <v>0</v>
      </c>
      <c r="I37" s="17">
        <f>E37+G37</f>
        <v>1424805</v>
      </c>
      <c r="K37" s="17">
        <f>+Q37-M37-O37</f>
        <v>0</v>
      </c>
      <c r="U37" s="17">
        <f>180908+612000</f>
        <v>792908</v>
      </c>
      <c r="W37" s="17">
        <v>631897</v>
      </c>
      <c r="Y37" s="17">
        <f t="shared" si="3"/>
        <v>1424805</v>
      </c>
      <c r="AA37" s="17">
        <f>+H37-P37-X37</f>
        <v>0</v>
      </c>
      <c r="AB37" s="33"/>
      <c r="AC37" s="33">
        <f>+D37+F37+-J37-L37-R37-T37-V37-N37</f>
        <v>0</v>
      </c>
    </row>
    <row r="38" spans="1:31" hidden="1" x14ac:dyDescent="0.2">
      <c r="A38" s="12" t="s">
        <v>355</v>
      </c>
      <c r="B38" s="15"/>
      <c r="C38" s="15" t="s">
        <v>46</v>
      </c>
      <c r="D38" s="30"/>
      <c r="E38" s="17">
        <f>+I38-G38</f>
        <v>0</v>
      </c>
      <c r="G38" s="32"/>
      <c r="K38" s="17">
        <f>+Q38-M38-O38</f>
        <v>0</v>
      </c>
      <c r="U38" s="17">
        <v>0</v>
      </c>
      <c r="W38" s="17">
        <v>0</v>
      </c>
      <c r="Y38" s="17">
        <f t="shared" si="3"/>
        <v>0</v>
      </c>
      <c r="AA38" s="17">
        <f>+H38-P38-X38</f>
        <v>0</v>
      </c>
      <c r="AB38" s="33"/>
      <c r="AC38" s="33">
        <f>+D38+F38+-J38-L38-R38-T38-V38-N38</f>
        <v>0</v>
      </c>
    </row>
    <row r="39" spans="1:31" x14ac:dyDescent="0.2">
      <c r="A39" s="12" t="s">
        <v>109</v>
      </c>
      <c r="B39" s="15"/>
      <c r="C39" s="15" t="s">
        <v>14</v>
      </c>
      <c r="D39" s="30"/>
      <c r="E39" s="17">
        <v>1305016</v>
      </c>
      <c r="G39" s="32">
        <v>0</v>
      </c>
      <c r="I39" s="17">
        <f>E39+G39</f>
        <v>1305016</v>
      </c>
      <c r="K39" s="17">
        <v>0</v>
      </c>
      <c r="U39" s="17">
        <v>0</v>
      </c>
      <c r="W39" s="17">
        <v>1305015</v>
      </c>
      <c r="Y39" s="17">
        <f t="shared" si="3"/>
        <v>1305015</v>
      </c>
      <c r="AA39" s="17">
        <f>+H39-P39-X39</f>
        <v>0</v>
      </c>
      <c r="AB39" s="33"/>
      <c r="AC39" s="33">
        <f>+D39+F39+-J39-L39-R39-T39-V39-N39</f>
        <v>0</v>
      </c>
    </row>
    <row r="40" spans="1:31" hidden="1" x14ac:dyDescent="0.2">
      <c r="A40" s="12" t="s">
        <v>356</v>
      </c>
      <c r="B40" s="15"/>
      <c r="C40" s="15" t="s">
        <v>47</v>
      </c>
      <c r="D40" s="30"/>
      <c r="E40" s="17">
        <f>+I40-G40</f>
        <v>0</v>
      </c>
      <c r="K40" s="17">
        <f>+Q40-M40-O40</f>
        <v>0</v>
      </c>
      <c r="U40" s="17">
        <v>0</v>
      </c>
      <c r="W40" s="17">
        <v>0</v>
      </c>
      <c r="Y40" s="17">
        <f t="shared" si="3"/>
        <v>0</v>
      </c>
      <c r="AA40" s="17">
        <f>+H40-P40-X40</f>
        <v>0</v>
      </c>
      <c r="AB40" s="33"/>
      <c r="AC40" s="33">
        <f>+D40+F40+-J40-L40-R40-T40-V40-N40</f>
        <v>0</v>
      </c>
    </row>
    <row r="41" spans="1:31" x14ac:dyDescent="0.2">
      <c r="A41" s="12" t="s">
        <v>111</v>
      </c>
      <c r="B41" s="15"/>
      <c r="C41" s="15" t="s">
        <v>112</v>
      </c>
      <c r="D41" s="30"/>
      <c r="E41" s="17">
        <v>8611309</v>
      </c>
      <c r="G41" s="28">
        <v>0</v>
      </c>
      <c r="I41" s="17">
        <f>E41+G41</f>
        <v>8611309</v>
      </c>
      <c r="U41" s="17">
        <f>1980081+535698</f>
        <v>2515779</v>
      </c>
      <c r="W41" s="17">
        <v>6095530</v>
      </c>
      <c r="Y41" s="17">
        <f t="shared" ref="Y41:Y50" si="4">U41+W41</f>
        <v>8611309</v>
      </c>
      <c r="AB41" s="33"/>
      <c r="AC41" s="33"/>
    </row>
    <row r="42" spans="1:31" hidden="1" x14ac:dyDescent="0.2">
      <c r="A42" s="12" t="s">
        <v>357</v>
      </c>
      <c r="B42" s="15"/>
      <c r="C42" s="15" t="s">
        <v>24</v>
      </c>
      <c r="D42" s="30"/>
      <c r="E42" s="17">
        <f>+I42-G42</f>
        <v>0</v>
      </c>
      <c r="K42" s="17">
        <f>+Q42-M42-O42</f>
        <v>0</v>
      </c>
      <c r="U42" s="17">
        <v>0</v>
      </c>
      <c r="W42" s="17">
        <v>0</v>
      </c>
      <c r="Y42" s="17">
        <f t="shared" si="4"/>
        <v>0</v>
      </c>
      <c r="AA42" s="17">
        <f t="shared" ref="AA42:AA50" si="5">+H42-P42-X42</f>
        <v>0</v>
      </c>
      <c r="AB42" s="33"/>
      <c r="AC42" s="33">
        <f t="shared" ref="AC42:AC50" si="6">+D42+F42+-J42-L42-R42-T42-V42-N42</f>
        <v>0</v>
      </c>
    </row>
    <row r="43" spans="1:31" x14ac:dyDescent="0.2">
      <c r="A43" s="12" t="s">
        <v>113</v>
      </c>
      <c r="B43" s="15"/>
      <c r="C43" s="15" t="s">
        <v>114</v>
      </c>
      <c r="D43" s="30"/>
      <c r="E43" s="17">
        <v>13257425</v>
      </c>
      <c r="G43" s="17">
        <v>0</v>
      </c>
      <c r="I43" s="17">
        <f>E43+G43</f>
        <v>13257425</v>
      </c>
      <c r="K43" s="17">
        <f>+Q43-M43-O43</f>
        <v>0</v>
      </c>
      <c r="U43" s="17">
        <f>1157442+147993</f>
        <v>1305435</v>
      </c>
      <c r="W43" s="17">
        <v>11951991</v>
      </c>
      <c r="Y43" s="17">
        <f t="shared" si="4"/>
        <v>13257426</v>
      </c>
      <c r="AA43" s="17">
        <f t="shared" si="5"/>
        <v>0</v>
      </c>
      <c r="AB43" s="33"/>
      <c r="AC43" s="33">
        <f t="shared" si="6"/>
        <v>0</v>
      </c>
    </row>
    <row r="44" spans="1:31" x14ac:dyDescent="0.2">
      <c r="A44" s="12" t="s">
        <v>419</v>
      </c>
      <c r="B44" s="15"/>
      <c r="C44" s="15" t="s">
        <v>17</v>
      </c>
      <c r="D44" s="30"/>
      <c r="E44" s="17">
        <v>7374275</v>
      </c>
      <c r="G44" s="17">
        <v>0</v>
      </c>
      <c r="I44" s="17">
        <f>E44+G44</f>
        <v>7374275</v>
      </c>
      <c r="K44" s="17">
        <v>0</v>
      </c>
      <c r="U44" s="17">
        <f>784152+508145</f>
        <v>1292297</v>
      </c>
      <c r="W44" s="17">
        <v>6081978</v>
      </c>
      <c r="Y44" s="17">
        <f t="shared" si="4"/>
        <v>7374275</v>
      </c>
      <c r="AA44" s="17">
        <f t="shared" si="5"/>
        <v>0</v>
      </c>
      <c r="AB44" s="33"/>
      <c r="AC44" s="33">
        <f t="shared" si="6"/>
        <v>0</v>
      </c>
    </row>
    <row r="45" spans="1:31" x14ac:dyDescent="0.2">
      <c r="A45" s="12" t="s">
        <v>420</v>
      </c>
      <c r="B45" s="15"/>
      <c r="C45" s="15" t="s">
        <v>17</v>
      </c>
      <c r="D45" s="30"/>
      <c r="E45" s="17">
        <v>67164208</v>
      </c>
      <c r="G45" s="17">
        <v>0</v>
      </c>
      <c r="I45" s="17">
        <f>E45+G45</f>
        <v>67164208</v>
      </c>
      <c r="K45" s="17">
        <v>0</v>
      </c>
      <c r="U45" s="17">
        <f>16120444+17494039</f>
        <v>33614483</v>
      </c>
      <c r="W45" s="17">
        <v>33549725</v>
      </c>
      <c r="Y45" s="17">
        <f t="shared" si="4"/>
        <v>67164208</v>
      </c>
      <c r="AA45" s="17">
        <f t="shared" si="5"/>
        <v>0</v>
      </c>
      <c r="AB45" s="33"/>
      <c r="AC45" s="33">
        <f t="shared" si="6"/>
        <v>0</v>
      </c>
    </row>
    <row r="46" spans="1:31" hidden="1" x14ac:dyDescent="0.2">
      <c r="A46" s="4" t="s">
        <v>70</v>
      </c>
      <c r="B46" s="4"/>
      <c r="C46" s="4" t="s">
        <v>48</v>
      </c>
      <c r="D46" s="30"/>
      <c r="E46" s="17">
        <f>+I46-G46</f>
        <v>0</v>
      </c>
      <c r="K46" s="17">
        <f>+Q46-M46-O46</f>
        <v>0</v>
      </c>
      <c r="U46" s="17">
        <v>0</v>
      </c>
      <c r="W46" s="17">
        <v>0</v>
      </c>
      <c r="Y46" s="17">
        <f t="shared" si="4"/>
        <v>0</v>
      </c>
      <c r="AA46" s="17">
        <f t="shared" si="5"/>
        <v>0</v>
      </c>
      <c r="AB46" s="33"/>
      <c r="AC46" s="33">
        <f t="shared" si="6"/>
        <v>0</v>
      </c>
    </row>
    <row r="47" spans="1:31" x14ac:dyDescent="0.2">
      <c r="A47" s="12" t="s">
        <v>637</v>
      </c>
      <c r="B47" s="15"/>
      <c r="C47" s="15" t="s">
        <v>90</v>
      </c>
      <c r="D47" s="30"/>
      <c r="E47" s="17">
        <v>152444525</v>
      </c>
      <c r="G47" s="17">
        <v>0</v>
      </c>
      <c r="I47" s="17">
        <f>E47+G47</f>
        <v>152444525</v>
      </c>
      <c r="K47" s="17">
        <v>0</v>
      </c>
      <c r="U47" s="17">
        <f>815665+484771+122861856+68312</f>
        <v>124230604</v>
      </c>
      <c r="W47" s="17">
        <v>28213921</v>
      </c>
      <c r="Y47" s="17">
        <f t="shared" si="4"/>
        <v>152444525</v>
      </c>
      <c r="AA47" s="17">
        <f t="shared" si="5"/>
        <v>0</v>
      </c>
      <c r="AB47" s="33"/>
      <c r="AC47" s="33">
        <f t="shared" si="6"/>
        <v>0</v>
      </c>
    </row>
    <row r="48" spans="1:31" hidden="1" x14ac:dyDescent="0.2">
      <c r="A48" s="15" t="s">
        <v>358</v>
      </c>
      <c r="B48" s="15"/>
      <c r="C48" s="15" t="s">
        <v>68</v>
      </c>
      <c r="D48" s="30"/>
      <c r="E48" s="17">
        <f>+I48-G48</f>
        <v>0</v>
      </c>
      <c r="K48" s="17">
        <f>+Q48-M48-O48</f>
        <v>0</v>
      </c>
      <c r="U48" s="17">
        <v>0</v>
      </c>
      <c r="W48" s="17">
        <v>0</v>
      </c>
      <c r="Y48" s="17">
        <f t="shared" si="4"/>
        <v>0</v>
      </c>
      <c r="AA48" s="17">
        <f t="shared" si="5"/>
        <v>0</v>
      </c>
      <c r="AB48" s="33"/>
      <c r="AC48" s="33">
        <f t="shared" si="6"/>
        <v>0</v>
      </c>
    </row>
    <row r="49" spans="1:35" x14ac:dyDescent="0.2">
      <c r="A49" s="15" t="s">
        <v>117</v>
      </c>
      <c r="B49" s="15"/>
      <c r="C49" s="15" t="s">
        <v>41</v>
      </c>
      <c r="D49" s="30"/>
      <c r="E49" s="17">
        <v>420209</v>
      </c>
      <c r="G49" s="17">
        <v>0</v>
      </c>
      <c r="I49" s="17">
        <f>E49+G49</f>
        <v>420209</v>
      </c>
      <c r="K49" s="17">
        <v>0</v>
      </c>
      <c r="U49" s="17">
        <v>129254</v>
      </c>
      <c r="W49" s="17">
        <v>290955</v>
      </c>
      <c r="Y49" s="17">
        <f t="shared" si="4"/>
        <v>420209</v>
      </c>
      <c r="AA49" s="17">
        <f t="shared" si="5"/>
        <v>0</v>
      </c>
      <c r="AB49" s="33"/>
      <c r="AC49" s="33">
        <f t="shared" si="6"/>
        <v>0</v>
      </c>
    </row>
    <row r="50" spans="1:35" x14ac:dyDescent="0.2">
      <c r="A50" s="15" t="s">
        <v>118</v>
      </c>
      <c r="B50" s="15"/>
      <c r="C50" s="15" t="s">
        <v>119</v>
      </c>
      <c r="D50" s="15"/>
      <c r="E50" s="43">
        <v>1736366</v>
      </c>
      <c r="F50" s="43"/>
      <c r="G50" s="43">
        <v>0</v>
      </c>
      <c r="H50" s="43"/>
      <c r="I50" s="43">
        <f>E50+G50</f>
        <v>1736366</v>
      </c>
      <c r="J50" s="43"/>
      <c r="K50" s="43">
        <v>0</v>
      </c>
      <c r="L50" s="43"/>
      <c r="M50" s="43"/>
      <c r="N50" s="43"/>
      <c r="O50" s="43"/>
      <c r="P50" s="43"/>
      <c r="Q50" s="43"/>
      <c r="R50" s="43"/>
      <c r="S50" s="43"/>
      <c r="T50" s="43"/>
      <c r="U50" s="43">
        <f>17167+732894+177111</f>
        <v>927172</v>
      </c>
      <c r="V50" s="43"/>
      <c r="W50" s="43">
        <v>809194</v>
      </c>
      <c r="X50" s="43"/>
      <c r="Y50" s="43">
        <f t="shared" si="4"/>
        <v>1736366</v>
      </c>
      <c r="Z50" s="43"/>
      <c r="AA50" s="17">
        <f t="shared" si="5"/>
        <v>0</v>
      </c>
      <c r="AB50" s="43"/>
      <c r="AC50" s="33">
        <f t="shared" si="6"/>
        <v>0</v>
      </c>
      <c r="AD50" s="43"/>
      <c r="AE50" s="43"/>
      <c r="AF50" s="43"/>
      <c r="AG50" s="43"/>
      <c r="AH50" s="43"/>
      <c r="AI50" s="43"/>
    </row>
    <row r="51" spans="1:35" hidden="1" x14ac:dyDescent="0.2">
      <c r="A51" s="12" t="s">
        <v>359</v>
      </c>
      <c r="B51" s="15"/>
      <c r="C51" s="15" t="s">
        <v>50</v>
      </c>
      <c r="D51" s="30"/>
      <c r="E51" s="17">
        <f>+I51-G51</f>
        <v>0</v>
      </c>
      <c r="K51" s="17">
        <f>+Q51-M51-O51</f>
        <v>0</v>
      </c>
      <c r="U51" s="17">
        <v>0</v>
      </c>
      <c r="W51" s="17">
        <v>0</v>
      </c>
      <c r="Y51" s="17">
        <f t="shared" ref="Y51:Y83" si="7">U51+W51</f>
        <v>0</v>
      </c>
      <c r="AA51" s="17">
        <f>+H51-P51-X51</f>
        <v>0</v>
      </c>
      <c r="AB51" s="33"/>
      <c r="AC51" s="33">
        <f>+D51+F51+-J51-L51-R51-T51-V51-N51</f>
        <v>0</v>
      </c>
    </row>
    <row r="52" spans="1:35" x14ac:dyDescent="0.2">
      <c r="A52" s="12" t="s">
        <v>121</v>
      </c>
      <c r="B52" s="15"/>
      <c r="C52" s="15" t="s">
        <v>17</v>
      </c>
      <c r="D52" s="30"/>
      <c r="E52" s="17">
        <v>84117262</v>
      </c>
      <c r="G52" s="17">
        <v>0</v>
      </c>
      <c r="I52" s="17">
        <f t="shared" ref="I52:I58" si="8">E52+G52</f>
        <v>84117262</v>
      </c>
      <c r="K52" s="17">
        <v>0</v>
      </c>
      <c r="U52" s="17">
        <f>77791184+2858803</f>
        <v>80649987</v>
      </c>
      <c r="W52" s="17">
        <v>3467275</v>
      </c>
      <c r="Y52" s="17">
        <f t="shared" si="7"/>
        <v>84117262</v>
      </c>
      <c r="AA52" s="17">
        <f>+H52-P52-X52</f>
        <v>0</v>
      </c>
      <c r="AB52" s="33"/>
      <c r="AC52" s="33">
        <f>+D52+F52+-J52-L52-R52-T52-V52-N52</f>
        <v>0</v>
      </c>
    </row>
    <row r="53" spans="1:35" x14ac:dyDescent="0.2">
      <c r="A53" s="12" t="s">
        <v>602</v>
      </c>
      <c r="B53" s="15"/>
      <c r="C53" s="15" t="s">
        <v>20</v>
      </c>
      <c r="D53" s="30"/>
      <c r="E53" s="17">
        <v>1432076</v>
      </c>
      <c r="G53" s="17">
        <v>0</v>
      </c>
      <c r="I53" s="17">
        <f t="shared" si="8"/>
        <v>1432076</v>
      </c>
      <c r="K53" s="17">
        <f>+Q53-M53-O53</f>
        <v>0</v>
      </c>
      <c r="U53" s="17">
        <f>1060+92043</f>
        <v>93103</v>
      </c>
      <c r="W53" s="17">
        <v>1338973</v>
      </c>
      <c r="Y53" s="17">
        <f t="shared" si="7"/>
        <v>1432076</v>
      </c>
      <c r="AA53" s="17">
        <f>+H53-P53-X53</f>
        <v>0</v>
      </c>
      <c r="AB53" s="33"/>
      <c r="AC53" s="33">
        <f>+D53+F53+-J53-L53-R53-T53-V53-N53</f>
        <v>0</v>
      </c>
    </row>
    <row r="54" spans="1:35" x14ac:dyDescent="0.2">
      <c r="A54" s="12" t="s">
        <v>122</v>
      </c>
      <c r="B54" s="15"/>
      <c r="C54" s="15" t="s">
        <v>53</v>
      </c>
      <c r="D54" s="30"/>
      <c r="E54" s="17">
        <v>32578190</v>
      </c>
      <c r="G54" s="17">
        <v>0</v>
      </c>
      <c r="I54" s="17">
        <f t="shared" si="8"/>
        <v>32578190</v>
      </c>
      <c r="K54" s="17">
        <f>+Q54-M54-O54</f>
        <v>0</v>
      </c>
      <c r="U54" s="17">
        <f>11484736+527547</f>
        <v>12012283</v>
      </c>
      <c r="W54" s="17">
        <v>20565907</v>
      </c>
      <c r="Y54" s="17">
        <f t="shared" si="7"/>
        <v>32578190</v>
      </c>
      <c r="AA54" s="17">
        <f>+H54-P54-X54</f>
        <v>0</v>
      </c>
      <c r="AB54" s="33"/>
      <c r="AC54" s="33">
        <f>+D54+F54+-J54-L54-R54-T54-V54-N54</f>
        <v>0</v>
      </c>
    </row>
    <row r="55" spans="1:35" x14ac:dyDescent="0.2">
      <c r="A55" s="12" t="s">
        <v>125</v>
      </c>
      <c r="B55" s="15"/>
      <c r="C55" s="15" t="s">
        <v>68</v>
      </c>
      <c r="D55" s="30"/>
      <c r="E55" s="17">
        <v>8464994</v>
      </c>
      <c r="G55" s="17">
        <v>0</v>
      </c>
      <c r="I55" s="17">
        <f t="shared" si="8"/>
        <v>8464994</v>
      </c>
      <c r="K55" s="17">
        <v>0</v>
      </c>
      <c r="U55" s="17">
        <f>647952+54844</f>
        <v>702796</v>
      </c>
      <c r="W55" s="17">
        <v>7762198</v>
      </c>
      <c r="Y55" s="17">
        <f t="shared" si="7"/>
        <v>8464994</v>
      </c>
      <c r="AA55" s="17">
        <f>+H55-P55-X55</f>
        <v>0</v>
      </c>
      <c r="AB55" s="33"/>
      <c r="AC55" s="33">
        <f>+D55+F55+-J55-L55-R55-T55-V55-N55</f>
        <v>0</v>
      </c>
    </row>
    <row r="56" spans="1:35" x14ac:dyDescent="0.2">
      <c r="A56" s="12" t="s">
        <v>128</v>
      </c>
      <c r="B56" s="15"/>
      <c r="C56" s="15" t="s">
        <v>61</v>
      </c>
      <c r="D56" s="30"/>
      <c r="E56" s="17">
        <v>374528</v>
      </c>
      <c r="G56" s="17">
        <v>0</v>
      </c>
      <c r="I56" s="17">
        <f t="shared" si="8"/>
        <v>374528</v>
      </c>
      <c r="K56" s="17">
        <v>0</v>
      </c>
      <c r="U56" s="17">
        <v>213564</v>
      </c>
      <c r="W56" s="17">
        <v>160964</v>
      </c>
      <c r="Y56" s="17">
        <f t="shared" si="7"/>
        <v>374528</v>
      </c>
      <c r="AA56" s="17">
        <f t="shared" ref="AA56:AA58" si="9">+H56-P56-X56</f>
        <v>0</v>
      </c>
      <c r="AB56" s="33"/>
      <c r="AC56" s="33">
        <f t="shared" ref="AC56:AC58" si="10">+D56+F56+-J56-L56-R56-T56-V56-N56</f>
        <v>0</v>
      </c>
    </row>
    <row r="57" spans="1:35" x14ac:dyDescent="0.2">
      <c r="A57" s="12" t="s">
        <v>129</v>
      </c>
      <c r="B57" s="15"/>
      <c r="C57" s="15" t="s">
        <v>24</v>
      </c>
      <c r="D57" s="30"/>
      <c r="E57" s="17">
        <v>873205</v>
      </c>
      <c r="G57" s="17">
        <v>0</v>
      </c>
      <c r="I57" s="17">
        <f t="shared" si="8"/>
        <v>873205</v>
      </c>
      <c r="K57" s="17">
        <v>0</v>
      </c>
      <c r="U57" s="17">
        <v>168649</v>
      </c>
      <c r="W57" s="17">
        <v>704556</v>
      </c>
      <c r="Y57" s="17">
        <f t="shared" si="7"/>
        <v>873205</v>
      </c>
      <c r="AA57" s="17">
        <f t="shared" si="9"/>
        <v>0</v>
      </c>
      <c r="AB57" s="33"/>
      <c r="AC57" s="33">
        <f t="shared" si="10"/>
        <v>0</v>
      </c>
    </row>
    <row r="58" spans="1:35" x14ac:dyDescent="0.2">
      <c r="A58" s="12" t="s">
        <v>131</v>
      </c>
      <c r="B58" s="15"/>
      <c r="C58" s="15" t="s">
        <v>24</v>
      </c>
      <c r="D58" s="30"/>
      <c r="E58" s="17">
        <v>512219</v>
      </c>
      <c r="G58" s="17">
        <v>0</v>
      </c>
      <c r="I58" s="17">
        <f t="shared" si="8"/>
        <v>512219</v>
      </c>
      <c r="K58" s="17">
        <v>0</v>
      </c>
      <c r="U58" s="17">
        <v>0</v>
      </c>
      <c r="W58" s="17">
        <v>512219</v>
      </c>
      <c r="Y58" s="17">
        <f t="shared" si="7"/>
        <v>512219</v>
      </c>
      <c r="AA58" s="17">
        <f t="shared" si="9"/>
        <v>0</v>
      </c>
      <c r="AB58" s="33"/>
      <c r="AC58" s="33">
        <f t="shared" si="10"/>
        <v>0</v>
      </c>
    </row>
    <row r="59" spans="1:35" hidden="1" x14ac:dyDescent="0.2">
      <c r="A59" s="4" t="s">
        <v>504</v>
      </c>
      <c r="B59" s="4"/>
      <c r="C59" s="4" t="s">
        <v>17</v>
      </c>
      <c r="D59" s="30"/>
      <c r="E59" s="17">
        <f>+I59-G59</f>
        <v>0</v>
      </c>
      <c r="K59" s="17">
        <f t="shared" ref="K59:K91" si="11">+Q59-M59-O59</f>
        <v>0</v>
      </c>
      <c r="U59" s="17">
        <v>0</v>
      </c>
      <c r="W59" s="17">
        <v>0</v>
      </c>
      <c r="Y59" s="17">
        <f t="shared" si="7"/>
        <v>0</v>
      </c>
      <c r="AA59" s="17">
        <f t="shared" ref="AA59:AA91" si="12">+H59-P59-X59</f>
        <v>0</v>
      </c>
      <c r="AB59" s="33"/>
      <c r="AC59" s="33">
        <f t="shared" ref="AC59:AC91" si="13">+D59+F59+-J59-L59-R59-T59-V59-N59</f>
        <v>0</v>
      </c>
    </row>
    <row r="60" spans="1:35" x14ac:dyDescent="0.2">
      <c r="A60" s="12" t="s">
        <v>421</v>
      </c>
      <c r="B60" s="15"/>
      <c r="C60" s="15" t="s">
        <v>18</v>
      </c>
      <c r="D60" s="30"/>
      <c r="E60" s="17">
        <v>2091302</v>
      </c>
      <c r="G60" s="17">
        <v>0</v>
      </c>
      <c r="I60" s="17">
        <f>E60+G60</f>
        <v>2091302</v>
      </c>
      <c r="K60" s="17">
        <f t="shared" si="11"/>
        <v>0</v>
      </c>
      <c r="U60" s="17">
        <v>628341</v>
      </c>
      <c r="W60" s="17">
        <v>1462961</v>
      </c>
      <c r="Y60" s="17">
        <f t="shared" si="7"/>
        <v>2091302</v>
      </c>
      <c r="AA60" s="17">
        <f t="shared" si="12"/>
        <v>0</v>
      </c>
      <c r="AB60" s="33"/>
      <c r="AC60" s="33">
        <f t="shared" si="13"/>
        <v>0</v>
      </c>
    </row>
    <row r="61" spans="1:35" x14ac:dyDescent="0.2">
      <c r="A61" s="12" t="s">
        <v>16</v>
      </c>
      <c r="B61" s="15"/>
      <c r="C61" s="15" t="s">
        <v>17</v>
      </c>
      <c r="D61" s="30"/>
      <c r="E61" s="17">
        <v>5741129</v>
      </c>
      <c r="G61" s="17">
        <v>0</v>
      </c>
      <c r="I61" s="17">
        <f>E61+G61</f>
        <v>5741129</v>
      </c>
      <c r="K61" s="17">
        <f t="shared" si="11"/>
        <v>0</v>
      </c>
      <c r="U61" s="17">
        <v>1783956</v>
      </c>
      <c r="W61" s="17">
        <v>3957173</v>
      </c>
      <c r="Y61" s="17">
        <f t="shared" si="7"/>
        <v>5741129</v>
      </c>
      <c r="AA61" s="17">
        <f t="shared" si="12"/>
        <v>0</v>
      </c>
      <c r="AB61" s="33"/>
      <c r="AC61" s="33">
        <f t="shared" si="13"/>
        <v>0</v>
      </c>
    </row>
    <row r="62" spans="1:35" hidden="1" x14ac:dyDescent="0.2">
      <c r="A62" s="15" t="s">
        <v>361</v>
      </c>
      <c r="B62" s="15"/>
      <c r="C62" s="15" t="s">
        <v>40</v>
      </c>
      <c r="D62" s="30"/>
      <c r="E62" s="17">
        <f>+I62-G62</f>
        <v>0</v>
      </c>
      <c r="K62" s="17">
        <f t="shared" si="11"/>
        <v>0</v>
      </c>
      <c r="U62" s="17">
        <v>0</v>
      </c>
      <c r="W62" s="17">
        <v>0</v>
      </c>
      <c r="Y62" s="17">
        <f t="shared" si="7"/>
        <v>0</v>
      </c>
      <c r="AA62" s="17">
        <f t="shared" si="12"/>
        <v>0</v>
      </c>
      <c r="AB62" s="33"/>
      <c r="AC62" s="33">
        <f t="shared" si="13"/>
        <v>0</v>
      </c>
    </row>
    <row r="63" spans="1:35" x14ac:dyDescent="0.2">
      <c r="A63" s="12" t="s">
        <v>619</v>
      </c>
      <c r="B63" s="15"/>
      <c r="C63" s="15" t="s">
        <v>87</v>
      </c>
      <c r="D63" s="30"/>
      <c r="E63" s="17">
        <v>587284</v>
      </c>
      <c r="G63" s="17">
        <v>0</v>
      </c>
      <c r="I63" s="17">
        <f>E63+G63</f>
        <v>587284</v>
      </c>
      <c r="K63" s="17">
        <f t="shared" si="11"/>
        <v>0</v>
      </c>
      <c r="U63" s="17">
        <f>1035+49489</f>
        <v>50524</v>
      </c>
      <c r="W63" s="17">
        <v>536760</v>
      </c>
      <c r="Y63" s="17">
        <f t="shared" si="7"/>
        <v>587284</v>
      </c>
      <c r="AA63" s="17">
        <f t="shared" si="12"/>
        <v>0</v>
      </c>
      <c r="AB63" s="33"/>
      <c r="AC63" s="33">
        <f t="shared" si="13"/>
        <v>0</v>
      </c>
    </row>
    <row r="64" spans="1:35" x14ac:dyDescent="0.2">
      <c r="A64" s="12" t="s">
        <v>428</v>
      </c>
      <c r="B64" s="15"/>
      <c r="C64" s="15" t="s">
        <v>65</v>
      </c>
      <c r="D64" s="30"/>
      <c r="E64" s="17">
        <v>2056607</v>
      </c>
      <c r="G64" s="17">
        <v>0</v>
      </c>
      <c r="I64" s="17">
        <f>E64+G64</f>
        <v>2056607</v>
      </c>
      <c r="K64" s="17">
        <f t="shared" si="11"/>
        <v>0</v>
      </c>
      <c r="U64" s="17">
        <f>32844+139333</f>
        <v>172177</v>
      </c>
      <c r="W64" s="17">
        <v>1884430</v>
      </c>
      <c r="Y64" s="17">
        <f t="shared" si="7"/>
        <v>2056607</v>
      </c>
      <c r="AA64" s="17">
        <f t="shared" si="12"/>
        <v>0</v>
      </c>
      <c r="AB64" s="33"/>
      <c r="AC64" s="33">
        <f t="shared" si="13"/>
        <v>0</v>
      </c>
    </row>
    <row r="65" spans="1:29" x14ac:dyDescent="0.2">
      <c r="A65" s="12" t="s">
        <v>135</v>
      </c>
      <c r="B65" s="15"/>
      <c r="C65" s="15" t="s">
        <v>13</v>
      </c>
      <c r="D65" s="30"/>
      <c r="E65" s="17">
        <v>199503</v>
      </c>
      <c r="G65" s="17">
        <v>0</v>
      </c>
      <c r="I65" s="17">
        <f>E65+G65</f>
        <v>199503</v>
      </c>
      <c r="K65" s="17">
        <f t="shared" ref="K65" si="14">+Q65-M65-O65</f>
        <v>0</v>
      </c>
      <c r="U65" s="17">
        <f>17935+8137</f>
        <v>26072</v>
      </c>
      <c r="W65" s="17">
        <v>173431</v>
      </c>
      <c r="Y65" s="17">
        <f t="shared" ref="Y65" si="15">U65+W65</f>
        <v>199503</v>
      </c>
      <c r="AA65" s="17">
        <f t="shared" ref="AA65" si="16">+H65-P65-X65</f>
        <v>0</v>
      </c>
      <c r="AB65" s="33"/>
      <c r="AC65" s="33">
        <f t="shared" ref="AC65" si="17">+D65+F65+-J65-L65-R65-T65-V65-N65</f>
        <v>0</v>
      </c>
    </row>
    <row r="66" spans="1:29" hidden="1" x14ac:dyDescent="0.2">
      <c r="A66" s="4" t="s">
        <v>505</v>
      </c>
      <c r="B66" s="4"/>
      <c r="C66" s="4" t="s">
        <v>137</v>
      </c>
      <c r="D66" s="30"/>
      <c r="E66" s="17">
        <f>+I66-G66</f>
        <v>0</v>
      </c>
      <c r="K66" s="17">
        <f t="shared" si="11"/>
        <v>0</v>
      </c>
      <c r="U66" s="17">
        <v>0</v>
      </c>
      <c r="W66" s="17">
        <v>0</v>
      </c>
      <c r="Y66" s="17">
        <f t="shared" si="7"/>
        <v>0</v>
      </c>
      <c r="AA66" s="17">
        <f t="shared" si="12"/>
        <v>0</v>
      </c>
      <c r="AB66" s="33"/>
      <c r="AC66" s="33">
        <f t="shared" si="13"/>
        <v>0</v>
      </c>
    </row>
    <row r="67" spans="1:29" hidden="1" x14ac:dyDescent="0.2">
      <c r="A67" s="12" t="s">
        <v>360</v>
      </c>
      <c r="B67" s="15"/>
      <c r="C67" s="15" t="s">
        <v>51</v>
      </c>
      <c r="D67" s="30"/>
      <c r="E67" s="17">
        <f>+I67-G67</f>
        <v>0</v>
      </c>
      <c r="K67" s="17">
        <f t="shared" si="11"/>
        <v>0</v>
      </c>
      <c r="U67" s="17">
        <v>0</v>
      </c>
      <c r="W67" s="17">
        <v>0</v>
      </c>
      <c r="Y67" s="17">
        <f t="shared" si="7"/>
        <v>0</v>
      </c>
      <c r="AA67" s="17">
        <f t="shared" si="12"/>
        <v>0</v>
      </c>
      <c r="AB67" s="33"/>
      <c r="AC67" s="33">
        <f t="shared" si="13"/>
        <v>0</v>
      </c>
    </row>
    <row r="68" spans="1:29" x14ac:dyDescent="0.2">
      <c r="A68" s="12" t="s">
        <v>139</v>
      </c>
      <c r="B68" s="15"/>
      <c r="C68" s="15" t="s">
        <v>87</v>
      </c>
      <c r="D68" s="30"/>
      <c r="E68" s="17">
        <v>48985</v>
      </c>
      <c r="G68" s="17">
        <v>0</v>
      </c>
      <c r="I68" s="17">
        <f>E68+G68</f>
        <v>48985</v>
      </c>
      <c r="K68" s="17">
        <f t="shared" si="11"/>
        <v>0</v>
      </c>
      <c r="U68" s="17">
        <v>0</v>
      </c>
      <c r="W68" s="17">
        <v>48985</v>
      </c>
      <c r="Y68" s="17">
        <f t="shared" si="7"/>
        <v>48985</v>
      </c>
      <c r="AA68" s="17">
        <f t="shared" si="12"/>
        <v>0</v>
      </c>
      <c r="AB68" s="33"/>
      <c r="AC68" s="33">
        <f t="shared" si="13"/>
        <v>0</v>
      </c>
    </row>
    <row r="69" spans="1:29" hidden="1" x14ac:dyDescent="0.2">
      <c r="A69" s="12" t="s">
        <v>362</v>
      </c>
      <c r="B69" s="15"/>
      <c r="C69" s="15" t="s">
        <v>52</v>
      </c>
      <c r="D69" s="30"/>
      <c r="E69" s="17">
        <f>+I69-G69</f>
        <v>0</v>
      </c>
      <c r="K69" s="17">
        <f t="shared" si="11"/>
        <v>0</v>
      </c>
      <c r="U69" s="17">
        <v>0</v>
      </c>
      <c r="W69" s="17">
        <v>0</v>
      </c>
      <c r="Y69" s="17">
        <f t="shared" si="7"/>
        <v>0</v>
      </c>
      <c r="AA69" s="17">
        <f t="shared" si="12"/>
        <v>0</v>
      </c>
      <c r="AB69" s="33"/>
      <c r="AC69" s="33">
        <f t="shared" si="13"/>
        <v>0</v>
      </c>
    </row>
    <row r="70" spans="1:29" hidden="1" x14ac:dyDescent="0.2">
      <c r="A70" s="4" t="s">
        <v>363</v>
      </c>
      <c r="B70" s="4"/>
      <c r="C70" s="4" t="s">
        <v>50</v>
      </c>
      <c r="D70" s="30"/>
      <c r="E70" s="17">
        <f>+I70-G70</f>
        <v>0</v>
      </c>
      <c r="K70" s="17">
        <f t="shared" si="11"/>
        <v>0</v>
      </c>
      <c r="U70" s="17">
        <v>0</v>
      </c>
      <c r="W70" s="17">
        <v>0</v>
      </c>
      <c r="Y70" s="17">
        <f t="shared" si="7"/>
        <v>0</v>
      </c>
      <c r="AA70" s="17">
        <f t="shared" si="12"/>
        <v>0</v>
      </c>
      <c r="AB70" s="33"/>
      <c r="AC70" s="33">
        <f t="shared" si="13"/>
        <v>0</v>
      </c>
    </row>
    <row r="71" spans="1:29" x14ac:dyDescent="0.2">
      <c r="A71" s="12" t="s">
        <v>301</v>
      </c>
      <c r="B71" s="15"/>
      <c r="C71" s="15" t="s">
        <v>87</v>
      </c>
      <c r="D71" s="30"/>
      <c r="E71" s="17">
        <v>507557</v>
      </c>
      <c r="G71" s="17">
        <v>0</v>
      </c>
      <c r="I71" s="17">
        <f>E71+G71</f>
        <v>507557</v>
      </c>
      <c r="K71" s="17">
        <f t="shared" si="11"/>
        <v>0</v>
      </c>
      <c r="U71" s="17">
        <v>28541</v>
      </c>
      <c r="W71" s="17">
        <v>479016</v>
      </c>
      <c r="Y71" s="17">
        <f t="shared" si="7"/>
        <v>507557</v>
      </c>
      <c r="AA71" s="17">
        <f t="shared" si="12"/>
        <v>0</v>
      </c>
      <c r="AB71" s="33"/>
      <c r="AC71" s="33">
        <f t="shared" si="13"/>
        <v>0</v>
      </c>
    </row>
    <row r="72" spans="1:29" x14ac:dyDescent="0.2">
      <c r="A72" s="12" t="s">
        <v>144</v>
      </c>
      <c r="B72" s="15"/>
      <c r="C72" s="15" t="s">
        <v>15</v>
      </c>
      <c r="D72" s="30"/>
      <c r="E72" s="17">
        <v>3828699</v>
      </c>
      <c r="G72" s="17">
        <v>0</v>
      </c>
      <c r="I72" s="17">
        <f>E72+G72</f>
        <v>3828699</v>
      </c>
      <c r="K72" s="17">
        <f t="shared" si="11"/>
        <v>0</v>
      </c>
      <c r="U72" s="17">
        <v>1263529</v>
      </c>
      <c r="W72" s="17">
        <v>2565170</v>
      </c>
      <c r="Y72" s="17">
        <f t="shared" si="7"/>
        <v>3828699</v>
      </c>
      <c r="AA72" s="17">
        <f t="shared" si="12"/>
        <v>0</v>
      </c>
      <c r="AB72" s="33"/>
      <c r="AC72" s="33">
        <f t="shared" si="13"/>
        <v>0</v>
      </c>
    </row>
    <row r="73" spans="1:29" hidden="1" x14ac:dyDescent="0.2">
      <c r="A73" s="4" t="s">
        <v>364</v>
      </c>
      <c r="B73" s="4"/>
      <c r="C73" s="4" t="s">
        <v>53</v>
      </c>
      <c r="D73" s="30"/>
      <c r="E73" s="17">
        <f>+I73-G73</f>
        <v>0</v>
      </c>
      <c r="K73" s="17">
        <f t="shared" si="11"/>
        <v>0</v>
      </c>
      <c r="U73" s="17">
        <v>0</v>
      </c>
      <c r="W73" s="17">
        <v>0</v>
      </c>
      <c r="Y73" s="17">
        <f t="shared" si="7"/>
        <v>0</v>
      </c>
      <c r="AA73" s="17">
        <f t="shared" si="12"/>
        <v>0</v>
      </c>
      <c r="AB73" s="33"/>
      <c r="AC73" s="33">
        <f t="shared" si="13"/>
        <v>0</v>
      </c>
    </row>
    <row r="74" spans="1:29" hidden="1" x14ac:dyDescent="0.2">
      <c r="A74" s="12" t="s">
        <v>33</v>
      </c>
      <c r="B74" s="15"/>
      <c r="C74" s="15" t="s">
        <v>24</v>
      </c>
      <c r="D74" s="30"/>
      <c r="E74" s="17">
        <f>+I74-G74</f>
        <v>0</v>
      </c>
      <c r="K74" s="17">
        <f t="shared" si="11"/>
        <v>0</v>
      </c>
      <c r="U74" s="17">
        <v>0</v>
      </c>
      <c r="W74" s="17">
        <v>0</v>
      </c>
      <c r="Y74" s="17">
        <f t="shared" si="7"/>
        <v>0</v>
      </c>
      <c r="AA74" s="17">
        <f t="shared" si="12"/>
        <v>0</v>
      </c>
      <c r="AB74" s="33"/>
      <c r="AC74" s="33">
        <f t="shared" si="13"/>
        <v>0</v>
      </c>
    </row>
    <row r="75" spans="1:29" x14ac:dyDescent="0.2">
      <c r="A75" s="15" t="s">
        <v>370</v>
      </c>
      <c r="B75" s="15"/>
      <c r="C75" s="15" t="s">
        <v>55</v>
      </c>
      <c r="D75" s="30"/>
      <c r="E75" s="17">
        <v>898252</v>
      </c>
      <c r="G75" s="17">
        <v>0</v>
      </c>
      <c r="I75" s="17">
        <f t="shared" ref="I75:I80" si="18">E75+G75</f>
        <v>898252</v>
      </c>
      <c r="K75" s="17">
        <f t="shared" si="11"/>
        <v>0</v>
      </c>
      <c r="U75" s="17">
        <f>1483+314813+161854</f>
        <v>478150</v>
      </c>
      <c r="W75" s="17">
        <v>420102</v>
      </c>
      <c r="Y75" s="17">
        <f t="shared" si="7"/>
        <v>898252</v>
      </c>
      <c r="AA75" s="17">
        <f t="shared" si="12"/>
        <v>0</v>
      </c>
      <c r="AB75" s="33"/>
      <c r="AC75" s="33">
        <f t="shared" si="13"/>
        <v>0</v>
      </c>
    </row>
    <row r="76" spans="1:29" x14ac:dyDescent="0.2">
      <c r="A76" s="15" t="s">
        <v>147</v>
      </c>
      <c r="B76" s="15"/>
      <c r="C76" s="15" t="s">
        <v>90</v>
      </c>
      <c r="D76" s="30"/>
      <c r="E76" s="17">
        <v>1809700</v>
      </c>
      <c r="G76" s="17">
        <v>0</v>
      </c>
      <c r="I76" s="17">
        <f t="shared" si="18"/>
        <v>1809700</v>
      </c>
      <c r="K76" s="17">
        <f t="shared" si="11"/>
        <v>0</v>
      </c>
      <c r="U76" s="17">
        <v>398655</v>
      </c>
      <c r="W76" s="17">
        <v>1411045</v>
      </c>
      <c r="Y76" s="17">
        <f t="shared" si="7"/>
        <v>1809700</v>
      </c>
      <c r="AA76" s="17">
        <f t="shared" si="12"/>
        <v>0</v>
      </c>
      <c r="AB76" s="33"/>
      <c r="AC76" s="33">
        <f t="shared" si="13"/>
        <v>0</v>
      </c>
    </row>
    <row r="77" spans="1:29" x14ac:dyDescent="0.2">
      <c r="A77" s="15" t="s">
        <v>149</v>
      </c>
      <c r="B77" s="15"/>
      <c r="C77" s="15" t="s">
        <v>150</v>
      </c>
      <c r="D77" s="30"/>
      <c r="E77" s="17">
        <v>8299100</v>
      </c>
      <c r="G77" s="17">
        <v>0</v>
      </c>
      <c r="I77" s="17">
        <f t="shared" si="18"/>
        <v>8299100</v>
      </c>
      <c r="K77" s="17">
        <f t="shared" si="11"/>
        <v>0</v>
      </c>
      <c r="U77" s="17">
        <f>3224842+2103997+1150450+130092</f>
        <v>6609381</v>
      </c>
      <c r="W77" s="17">
        <v>1689719</v>
      </c>
      <c r="Y77" s="17">
        <f t="shared" si="7"/>
        <v>8299100</v>
      </c>
      <c r="AA77" s="17">
        <f t="shared" si="12"/>
        <v>0</v>
      </c>
      <c r="AB77" s="33"/>
      <c r="AC77" s="33">
        <f t="shared" si="13"/>
        <v>0</v>
      </c>
    </row>
    <row r="78" spans="1:29" x14ac:dyDescent="0.2">
      <c r="A78" s="15" t="s">
        <v>584</v>
      </c>
      <c r="B78" s="15"/>
      <c r="C78" s="15" t="s">
        <v>152</v>
      </c>
      <c r="D78" s="30"/>
      <c r="E78" s="17">
        <v>698399</v>
      </c>
      <c r="G78" s="17">
        <v>0</v>
      </c>
      <c r="I78" s="17">
        <f t="shared" si="18"/>
        <v>698399</v>
      </c>
      <c r="K78" s="17">
        <f t="shared" si="11"/>
        <v>0</v>
      </c>
      <c r="U78" s="17">
        <v>484579</v>
      </c>
      <c r="W78" s="17">
        <v>213820</v>
      </c>
      <c r="Y78" s="17">
        <f t="shared" si="7"/>
        <v>698399</v>
      </c>
      <c r="AA78" s="17">
        <f t="shared" si="12"/>
        <v>0</v>
      </c>
      <c r="AB78" s="33"/>
      <c r="AC78" s="33">
        <f t="shared" si="13"/>
        <v>0</v>
      </c>
    </row>
    <row r="79" spans="1:29" x14ac:dyDescent="0.2">
      <c r="A79" s="15" t="s">
        <v>154</v>
      </c>
      <c r="B79" s="15"/>
      <c r="C79" s="15" t="s">
        <v>59</v>
      </c>
      <c r="D79" s="30"/>
      <c r="E79" s="17">
        <v>28633</v>
      </c>
      <c r="G79" s="17">
        <v>0</v>
      </c>
      <c r="I79" s="17">
        <f t="shared" si="18"/>
        <v>28633</v>
      </c>
      <c r="K79" s="17">
        <f t="shared" si="11"/>
        <v>0</v>
      </c>
      <c r="U79" s="17">
        <v>0</v>
      </c>
      <c r="W79" s="17">
        <v>28633</v>
      </c>
      <c r="Y79" s="17">
        <f t="shared" si="7"/>
        <v>28633</v>
      </c>
      <c r="AA79" s="17">
        <f t="shared" si="12"/>
        <v>0</v>
      </c>
      <c r="AB79" s="33"/>
      <c r="AC79" s="33">
        <f t="shared" si="13"/>
        <v>0</v>
      </c>
    </row>
    <row r="80" spans="1:29" x14ac:dyDescent="0.2">
      <c r="A80" s="15" t="s">
        <v>155</v>
      </c>
      <c r="B80" s="15"/>
      <c r="C80" s="15" t="s">
        <v>156</v>
      </c>
      <c r="D80" s="30"/>
      <c r="E80" s="17">
        <v>561930</v>
      </c>
      <c r="G80" s="17">
        <v>0</v>
      </c>
      <c r="I80" s="17">
        <f t="shared" si="18"/>
        <v>561930</v>
      </c>
      <c r="K80" s="17">
        <f t="shared" si="11"/>
        <v>0</v>
      </c>
      <c r="U80" s="17">
        <f>42177+58899</f>
        <v>101076</v>
      </c>
      <c r="W80" s="17">
        <v>460854</v>
      </c>
      <c r="Y80" s="17">
        <f t="shared" si="7"/>
        <v>561930</v>
      </c>
      <c r="AA80" s="17">
        <f t="shared" si="12"/>
        <v>0</v>
      </c>
      <c r="AB80" s="33"/>
      <c r="AC80" s="33">
        <f t="shared" si="13"/>
        <v>0</v>
      </c>
    </row>
    <row r="81" spans="1:35" s="72" customFormat="1" hidden="1" x14ac:dyDescent="0.2">
      <c r="A81" s="5" t="s">
        <v>34</v>
      </c>
      <c r="B81" s="6"/>
      <c r="C81" s="6" t="s">
        <v>55</v>
      </c>
      <c r="D81" s="30"/>
      <c r="E81" s="17">
        <f>+I81-G81</f>
        <v>0</v>
      </c>
      <c r="F81" s="17"/>
      <c r="G81" s="17"/>
      <c r="H81" s="17"/>
      <c r="I81" s="17"/>
      <c r="J81" s="17"/>
      <c r="K81" s="17">
        <f t="shared" si="11"/>
        <v>0</v>
      </c>
      <c r="L81" s="17"/>
      <c r="M81" s="17"/>
      <c r="N81" s="17"/>
      <c r="O81" s="17"/>
      <c r="P81" s="17"/>
      <c r="Q81" s="17"/>
      <c r="R81" s="17"/>
      <c r="S81" s="17"/>
      <c r="T81" s="17"/>
      <c r="U81" s="17">
        <v>0</v>
      </c>
      <c r="V81" s="17"/>
      <c r="W81" s="17">
        <v>0</v>
      </c>
      <c r="X81" s="17"/>
      <c r="Y81" s="17">
        <f t="shared" si="7"/>
        <v>0</v>
      </c>
      <c r="Z81" s="17"/>
      <c r="AA81" s="17">
        <f t="shared" si="12"/>
        <v>0</v>
      </c>
      <c r="AB81" s="33"/>
      <c r="AC81" s="33">
        <f t="shared" si="13"/>
        <v>0</v>
      </c>
      <c r="AD81" s="17"/>
      <c r="AE81" s="17"/>
      <c r="AF81" s="17"/>
      <c r="AG81" s="17"/>
      <c r="AH81" s="17"/>
      <c r="AI81" s="17"/>
    </row>
    <row r="82" spans="1:35" x14ac:dyDescent="0.2">
      <c r="A82" s="12" t="s">
        <v>365</v>
      </c>
      <c r="B82" s="15"/>
      <c r="C82" s="15" t="s">
        <v>56</v>
      </c>
      <c r="D82" s="30"/>
      <c r="E82" s="17">
        <v>3126181</v>
      </c>
      <c r="G82" s="17">
        <v>0</v>
      </c>
      <c r="I82" s="17">
        <f>E82+G82</f>
        <v>3126181</v>
      </c>
      <c r="K82" s="17">
        <f t="shared" si="11"/>
        <v>0</v>
      </c>
      <c r="U82" s="17">
        <v>0</v>
      </c>
      <c r="W82" s="17">
        <v>3126181</v>
      </c>
      <c r="Y82" s="17">
        <f t="shared" si="7"/>
        <v>3126181</v>
      </c>
      <c r="AA82" s="17">
        <f t="shared" si="12"/>
        <v>0</v>
      </c>
      <c r="AB82" s="33"/>
      <c r="AC82" s="33">
        <f t="shared" si="13"/>
        <v>0</v>
      </c>
    </row>
    <row r="83" spans="1:35" x14ac:dyDescent="0.2">
      <c r="A83" s="15" t="s">
        <v>160</v>
      </c>
      <c r="B83" s="15"/>
      <c r="C83" s="15" t="s">
        <v>58</v>
      </c>
      <c r="D83" s="30"/>
      <c r="E83" s="17">
        <v>97483</v>
      </c>
      <c r="G83" s="17">
        <v>0</v>
      </c>
      <c r="I83" s="17">
        <f>E83+G83</f>
        <v>97483</v>
      </c>
      <c r="K83" s="17">
        <f t="shared" si="11"/>
        <v>0</v>
      </c>
      <c r="U83" s="17">
        <v>0</v>
      </c>
      <c r="W83" s="17">
        <v>97483</v>
      </c>
      <c r="Y83" s="17">
        <f t="shared" si="7"/>
        <v>97483</v>
      </c>
      <c r="AA83" s="17">
        <f t="shared" si="12"/>
        <v>0</v>
      </c>
      <c r="AB83" s="33"/>
      <c r="AC83" s="33">
        <f t="shared" si="13"/>
        <v>0</v>
      </c>
    </row>
    <row r="84" spans="1:35" hidden="1" x14ac:dyDescent="0.2">
      <c r="A84" s="15" t="s">
        <v>162</v>
      </c>
      <c r="B84" s="15"/>
      <c r="C84" s="15" t="s">
        <v>54</v>
      </c>
      <c r="D84" s="30"/>
      <c r="E84" s="17">
        <f>+I84-G84</f>
        <v>0</v>
      </c>
      <c r="K84" s="17">
        <f t="shared" si="11"/>
        <v>0</v>
      </c>
      <c r="U84" s="17">
        <v>0</v>
      </c>
      <c r="W84" s="17">
        <v>0</v>
      </c>
      <c r="Y84" s="17">
        <f t="shared" ref="Y84:Y115" si="19">U84+W84</f>
        <v>0</v>
      </c>
      <c r="AA84" s="17">
        <f t="shared" si="12"/>
        <v>0</v>
      </c>
      <c r="AB84" s="33"/>
      <c r="AC84" s="33">
        <f t="shared" si="13"/>
        <v>0</v>
      </c>
    </row>
    <row r="85" spans="1:35" hidden="1" x14ac:dyDescent="0.2">
      <c r="A85" s="4" t="s">
        <v>627</v>
      </c>
      <c r="B85" s="4"/>
      <c r="C85" s="4" t="s">
        <v>20</v>
      </c>
      <c r="D85" s="34"/>
      <c r="E85" s="17">
        <f>+I85-G85</f>
        <v>1631856.6399999999</v>
      </c>
      <c r="I85" s="17">
        <v>1631856.6399999999</v>
      </c>
      <c r="K85" s="17">
        <f t="shared" si="11"/>
        <v>0</v>
      </c>
      <c r="U85" s="17">
        <v>0</v>
      </c>
      <c r="W85" s="17">
        <v>0</v>
      </c>
      <c r="Y85" s="17">
        <f t="shared" si="19"/>
        <v>0</v>
      </c>
      <c r="AA85" s="17">
        <f t="shared" si="12"/>
        <v>0</v>
      </c>
      <c r="AB85" s="33"/>
      <c r="AC85" s="33">
        <f t="shared" si="13"/>
        <v>0</v>
      </c>
    </row>
    <row r="86" spans="1:35" x14ac:dyDescent="0.2">
      <c r="A86" s="15" t="s">
        <v>638</v>
      </c>
      <c r="B86" s="15"/>
      <c r="C86" s="15" t="s">
        <v>20</v>
      </c>
      <c r="D86" s="30"/>
      <c r="E86" s="17">
        <v>3089073</v>
      </c>
      <c r="G86" s="17">
        <v>0</v>
      </c>
      <c r="I86" s="17">
        <f>E86+G86</f>
        <v>3089073</v>
      </c>
      <c r="K86" s="17">
        <f t="shared" si="11"/>
        <v>0</v>
      </c>
      <c r="U86" s="17">
        <f>1192617+561673</f>
        <v>1754290</v>
      </c>
      <c r="W86" s="17">
        <v>1334785</v>
      </c>
      <c r="Y86" s="17">
        <f t="shared" si="19"/>
        <v>3089075</v>
      </c>
      <c r="AA86" s="17">
        <f t="shared" si="12"/>
        <v>0</v>
      </c>
      <c r="AB86" s="33"/>
      <c r="AC86" s="33">
        <f t="shared" si="13"/>
        <v>0</v>
      </c>
    </row>
    <row r="87" spans="1:35" hidden="1" x14ac:dyDescent="0.2">
      <c r="A87" s="12" t="s">
        <v>35</v>
      </c>
      <c r="B87" s="15"/>
      <c r="C87" s="15" t="s">
        <v>10</v>
      </c>
      <c r="D87" s="30"/>
      <c r="E87" s="17">
        <f>+I87-G87</f>
        <v>0</v>
      </c>
      <c r="K87" s="17">
        <f t="shared" si="11"/>
        <v>0</v>
      </c>
      <c r="U87" s="17">
        <v>0</v>
      </c>
      <c r="W87" s="17">
        <v>0</v>
      </c>
      <c r="Y87" s="17">
        <f t="shared" si="19"/>
        <v>0</v>
      </c>
      <c r="AA87" s="17">
        <f t="shared" si="12"/>
        <v>0</v>
      </c>
      <c r="AB87" s="33"/>
      <c r="AC87" s="33">
        <f t="shared" si="13"/>
        <v>0</v>
      </c>
    </row>
    <row r="88" spans="1:35" x14ac:dyDescent="0.2">
      <c r="A88" s="15" t="s">
        <v>166</v>
      </c>
      <c r="B88" s="15"/>
      <c r="C88" s="15" t="s">
        <v>156</v>
      </c>
      <c r="D88" s="30"/>
      <c r="E88" s="17">
        <v>1069318</v>
      </c>
      <c r="G88" s="17">
        <v>0</v>
      </c>
      <c r="I88" s="17">
        <f>E88+G88</f>
        <v>1069318</v>
      </c>
      <c r="K88" s="17">
        <f t="shared" si="11"/>
        <v>0</v>
      </c>
      <c r="U88" s="17">
        <v>906</v>
      </c>
      <c r="W88" s="17">
        <v>1068412</v>
      </c>
      <c r="Y88" s="17">
        <f t="shared" si="19"/>
        <v>1069318</v>
      </c>
      <c r="AA88" s="17">
        <f t="shared" si="12"/>
        <v>0</v>
      </c>
      <c r="AB88" s="33"/>
      <c r="AC88" s="33">
        <f t="shared" si="13"/>
        <v>0</v>
      </c>
    </row>
    <row r="89" spans="1:35" hidden="1" x14ac:dyDescent="0.2">
      <c r="A89" s="15" t="s">
        <v>369</v>
      </c>
      <c r="B89" s="15"/>
      <c r="C89" s="15" t="s">
        <v>168</v>
      </c>
      <c r="D89" s="30"/>
      <c r="E89" s="17">
        <f>+I89-G89</f>
        <v>0</v>
      </c>
      <c r="K89" s="17">
        <f t="shared" si="11"/>
        <v>0</v>
      </c>
      <c r="U89" s="17">
        <v>0</v>
      </c>
      <c r="W89" s="17">
        <v>0</v>
      </c>
      <c r="Y89" s="17">
        <f t="shared" si="19"/>
        <v>0</v>
      </c>
      <c r="AA89" s="17">
        <f t="shared" si="12"/>
        <v>0</v>
      </c>
      <c r="AB89" s="33"/>
      <c r="AC89" s="33">
        <f t="shared" si="13"/>
        <v>0</v>
      </c>
    </row>
    <row r="90" spans="1:35" hidden="1" x14ac:dyDescent="0.2">
      <c r="A90" s="12" t="s">
        <v>366</v>
      </c>
      <c r="B90" s="15"/>
      <c r="C90" s="15" t="s">
        <v>57</v>
      </c>
      <c r="D90" s="30"/>
      <c r="E90" s="17">
        <f>+I90-G90</f>
        <v>0</v>
      </c>
      <c r="K90" s="17">
        <f t="shared" si="11"/>
        <v>0</v>
      </c>
      <c r="U90" s="17">
        <v>0</v>
      </c>
      <c r="W90" s="17">
        <v>0</v>
      </c>
      <c r="Y90" s="17">
        <f t="shared" si="19"/>
        <v>0</v>
      </c>
      <c r="AA90" s="17">
        <f t="shared" si="12"/>
        <v>0</v>
      </c>
      <c r="AB90" s="33"/>
      <c r="AC90" s="33">
        <f t="shared" si="13"/>
        <v>0</v>
      </c>
    </row>
    <row r="91" spans="1:35" x14ac:dyDescent="0.2">
      <c r="A91" s="15" t="s">
        <v>639</v>
      </c>
      <c r="B91" s="15"/>
      <c r="C91" s="15" t="s">
        <v>156</v>
      </c>
      <c r="D91" s="30"/>
      <c r="E91" s="17">
        <v>2156979.2400000002</v>
      </c>
      <c r="G91" s="17">
        <v>0</v>
      </c>
      <c r="I91" s="17">
        <f>E91+G91</f>
        <v>2156979.2400000002</v>
      </c>
      <c r="K91" s="17">
        <f t="shared" si="11"/>
        <v>0</v>
      </c>
      <c r="U91" s="17">
        <f>166595.4+1057863.69</f>
        <v>1224459.0899999999</v>
      </c>
      <c r="W91" s="17">
        <v>932520.15</v>
      </c>
      <c r="Y91" s="17">
        <f t="shared" si="19"/>
        <v>2156979.2399999998</v>
      </c>
      <c r="AA91" s="17">
        <f t="shared" si="12"/>
        <v>0</v>
      </c>
      <c r="AB91" s="33"/>
      <c r="AC91" s="33">
        <f t="shared" si="13"/>
        <v>0</v>
      </c>
    </row>
    <row r="92" spans="1:35" x14ac:dyDescent="0.2">
      <c r="A92" s="15" t="s">
        <v>429</v>
      </c>
      <c r="B92" s="15"/>
      <c r="C92" s="15" t="s">
        <v>17</v>
      </c>
      <c r="D92" s="30"/>
      <c r="E92" s="17">
        <v>6553052</v>
      </c>
      <c r="G92" s="17">
        <v>0</v>
      </c>
      <c r="I92" s="17">
        <f>E92+G92</f>
        <v>6553052</v>
      </c>
      <c r="K92" s="17">
        <f t="shared" ref="K92:K124" si="20">+Q92-M92-O92</f>
        <v>0</v>
      </c>
      <c r="U92" s="17">
        <v>842926</v>
      </c>
      <c r="W92" s="17">
        <v>5710126</v>
      </c>
      <c r="Y92" s="17">
        <f t="shared" si="19"/>
        <v>6553052</v>
      </c>
      <c r="AA92" s="17">
        <f t="shared" ref="AA92:AA124" si="21">+H92-P92-X92</f>
        <v>0</v>
      </c>
      <c r="AB92" s="33"/>
      <c r="AC92" s="33">
        <f t="shared" ref="AC92:AC124" si="22">+D92+F92+-J92-L92-R92-T92-V92-N92</f>
        <v>0</v>
      </c>
    </row>
    <row r="93" spans="1:35" x14ac:dyDescent="0.2">
      <c r="A93" s="15" t="s">
        <v>7</v>
      </c>
      <c r="B93" s="15"/>
      <c r="C93" s="15" t="s">
        <v>8</v>
      </c>
      <c r="D93" s="30"/>
      <c r="E93" s="17">
        <v>16444078</v>
      </c>
      <c r="G93" s="17">
        <v>0</v>
      </c>
      <c r="I93" s="17">
        <f>E93+G93</f>
        <v>16444078</v>
      </c>
      <c r="K93" s="17">
        <f t="shared" si="20"/>
        <v>0</v>
      </c>
      <c r="U93" s="17">
        <f>4570698+3146560+393091</f>
        <v>8110349</v>
      </c>
      <c r="W93" s="17">
        <v>8333728</v>
      </c>
      <c r="Y93" s="17">
        <f t="shared" si="19"/>
        <v>16444077</v>
      </c>
      <c r="AA93" s="17">
        <f t="shared" si="21"/>
        <v>0</v>
      </c>
      <c r="AB93" s="33"/>
      <c r="AC93" s="33">
        <f t="shared" si="22"/>
        <v>0</v>
      </c>
    </row>
    <row r="94" spans="1:35" hidden="1" x14ac:dyDescent="0.2">
      <c r="A94" s="12" t="s">
        <v>367</v>
      </c>
      <c r="B94" s="15"/>
      <c r="C94" s="15" t="s">
        <v>52</v>
      </c>
      <c r="D94" s="30"/>
      <c r="E94" s="17">
        <f>+I94-G94</f>
        <v>0</v>
      </c>
      <c r="K94" s="17">
        <f t="shared" si="20"/>
        <v>0</v>
      </c>
      <c r="U94" s="17">
        <v>0</v>
      </c>
      <c r="W94" s="17">
        <v>0</v>
      </c>
      <c r="Y94" s="17">
        <f t="shared" si="19"/>
        <v>0</v>
      </c>
      <c r="AA94" s="17">
        <f t="shared" si="21"/>
        <v>0</v>
      </c>
      <c r="AB94" s="33"/>
      <c r="AC94" s="33">
        <f t="shared" si="22"/>
        <v>0</v>
      </c>
    </row>
    <row r="95" spans="1:35" hidden="1" x14ac:dyDescent="0.2">
      <c r="A95" s="12" t="s">
        <v>368</v>
      </c>
      <c r="B95" s="15"/>
      <c r="C95" s="15" t="s">
        <v>49</v>
      </c>
      <c r="D95" s="34"/>
      <c r="E95" s="17">
        <f>+I95-G95</f>
        <v>0</v>
      </c>
      <c r="K95" s="17">
        <f t="shared" si="20"/>
        <v>0</v>
      </c>
      <c r="U95" s="17">
        <v>0</v>
      </c>
      <c r="W95" s="17">
        <v>0</v>
      </c>
      <c r="Y95" s="17">
        <f t="shared" si="19"/>
        <v>0</v>
      </c>
      <c r="AA95" s="17">
        <f t="shared" si="21"/>
        <v>0</v>
      </c>
      <c r="AB95" s="33"/>
      <c r="AC95" s="33">
        <f t="shared" si="22"/>
        <v>0</v>
      </c>
    </row>
    <row r="96" spans="1:35" s="33" customFormat="1" hidden="1" x14ac:dyDescent="0.2">
      <c r="A96" s="4" t="s">
        <v>507</v>
      </c>
      <c r="B96" s="4"/>
      <c r="C96" s="4" t="s">
        <v>49</v>
      </c>
      <c r="D96" s="30"/>
      <c r="E96" s="17">
        <f>+I96-G96</f>
        <v>0</v>
      </c>
      <c r="F96" s="17"/>
      <c r="G96" s="17"/>
      <c r="H96" s="17"/>
      <c r="I96" s="17"/>
      <c r="J96" s="17"/>
      <c r="K96" s="17">
        <f t="shared" si="20"/>
        <v>0</v>
      </c>
      <c r="L96" s="17"/>
      <c r="M96" s="17"/>
      <c r="N96" s="17"/>
      <c r="O96" s="17"/>
      <c r="P96" s="17"/>
      <c r="Q96" s="17"/>
      <c r="R96" s="17"/>
      <c r="S96" s="17"/>
      <c r="T96" s="17"/>
      <c r="U96" s="17">
        <v>0</v>
      </c>
      <c r="V96" s="17"/>
      <c r="W96" s="17">
        <v>0</v>
      </c>
      <c r="X96" s="17"/>
      <c r="Y96" s="17">
        <f t="shared" si="19"/>
        <v>0</v>
      </c>
      <c r="Z96" s="17"/>
      <c r="AA96" s="17">
        <f t="shared" si="21"/>
        <v>0</v>
      </c>
      <c r="AC96" s="33">
        <f t="shared" si="22"/>
        <v>0</v>
      </c>
      <c r="AD96" s="17"/>
      <c r="AE96" s="17"/>
      <c r="AF96" s="17"/>
      <c r="AG96" s="17"/>
      <c r="AH96" s="17"/>
      <c r="AI96" s="17"/>
    </row>
    <row r="97" spans="1:35" x14ac:dyDescent="0.2">
      <c r="A97" s="15" t="s">
        <v>558</v>
      </c>
      <c r="B97" s="15"/>
      <c r="C97" s="15" t="s">
        <v>39</v>
      </c>
      <c r="D97" s="30"/>
      <c r="E97" s="17">
        <v>2044449</v>
      </c>
      <c r="G97" s="17">
        <v>0</v>
      </c>
      <c r="I97" s="17">
        <f t="shared" ref="I97:I104" si="23">E97+G97</f>
        <v>2044449</v>
      </c>
      <c r="K97" s="17">
        <f t="shared" si="20"/>
        <v>0</v>
      </c>
      <c r="U97" s="17">
        <f>433059+70812</f>
        <v>503871</v>
      </c>
      <c r="W97" s="17">
        <v>1540578</v>
      </c>
      <c r="Y97" s="17">
        <f t="shared" si="19"/>
        <v>2044449</v>
      </c>
      <c r="AA97" s="17">
        <f t="shared" si="21"/>
        <v>0</v>
      </c>
      <c r="AB97" s="33"/>
      <c r="AC97" s="33">
        <f t="shared" si="22"/>
        <v>0</v>
      </c>
    </row>
    <row r="98" spans="1:35" x14ac:dyDescent="0.2">
      <c r="A98" s="15" t="s">
        <v>178</v>
      </c>
      <c r="B98" s="15"/>
      <c r="C98" s="15" t="s">
        <v>95</v>
      </c>
      <c r="D98" s="30"/>
      <c r="E98" s="17">
        <v>0</v>
      </c>
      <c r="G98" s="17">
        <v>0</v>
      </c>
      <c r="I98" s="17">
        <f t="shared" si="23"/>
        <v>0</v>
      </c>
      <c r="K98" s="17">
        <f t="shared" si="20"/>
        <v>0</v>
      </c>
      <c r="U98" s="17">
        <v>0</v>
      </c>
      <c r="W98" s="17">
        <v>0</v>
      </c>
      <c r="Y98" s="17">
        <f t="shared" si="19"/>
        <v>0</v>
      </c>
      <c r="AA98" s="17">
        <f t="shared" si="21"/>
        <v>0</v>
      </c>
      <c r="AB98" s="33"/>
      <c r="AC98" s="33">
        <f t="shared" si="22"/>
        <v>0</v>
      </c>
    </row>
    <row r="99" spans="1:35" x14ac:dyDescent="0.2">
      <c r="A99" s="15" t="s">
        <v>640</v>
      </c>
      <c r="B99" s="15"/>
      <c r="C99" s="15" t="s">
        <v>95</v>
      </c>
      <c r="D99" s="30"/>
      <c r="E99" s="17">
        <v>4113727.4</v>
      </c>
      <c r="G99" s="17">
        <v>0</v>
      </c>
      <c r="I99" s="17">
        <f t="shared" ref="I99" si="24">E99+G99</f>
        <v>4113727.4</v>
      </c>
      <c r="K99" s="17">
        <f t="shared" ref="K99" si="25">+Q99-M99-O99</f>
        <v>0</v>
      </c>
      <c r="U99" s="17">
        <f>62757.16+148088.77</f>
        <v>210845.93</v>
      </c>
      <c r="W99" s="17">
        <v>3902881.47</v>
      </c>
      <c r="Y99" s="17">
        <f t="shared" ref="Y99" si="26">U99+W99</f>
        <v>4113727.4000000004</v>
      </c>
      <c r="AA99" s="17">
        <f t="shared" ref="AA99" si="27">+H99-P99-X99</f>
        <v>0</v>
      </c>
      <c r="AB99" s="33"/>
      <c r="AC99" s="33">
        <f t="shared" ref="AC99" si="28">+D99+F99+-J99-L99-R99-T99-V99-N99</f>
        <v>0</v>
      </c>
    </row>
    <row r="100" spans="1:35" x14ac:dyDescent="0.2">
      <c r="A100" s="15" t="s">
        <v>643</v>
      </c>
      <c r="B100" s="15"/>
      <c r="C100" s="15" t="s">
        <v>85</v>
      </c>
      <c r="D100" s="30"/>
      <c r="E100" s="17">
        <v>1451212</v>
      </c>
      <c r="G100" s="17">
        <v>0</v>
      </c>
      <c r="I100" s="17">
        <f t="shared" si="23"/>
        <v>1451212</v>
      </c>
      <c r="K100" s="17">
        <f t="shared" si="20"/>
        <v>0</v>
      </c>
      <c r="U100" s="17">
        <f>6575+1142076+80136</f>
        <v>1228787</v>
      </c>
      <c r="W100" s="17">
        <v>222425</v>
      </c>
      <c r="Y100" s="17">
        <f t="shared" si="19"/>
        <v>1451212</v>
      </c>
      <c r="AA100" s="17">
        <f t="shared" si="21"/>
        <v>0</v>
      </c>
      <c r="AB100" s="33"/>
      <c r="AC100" s="33">
        <f t="shared" si="22"/>
        <v>0</v>
      </c>
    </row>
    <row r="101" spans="1:35" x14ac:dyDescent="0.2">
      <c r="A101" s="15" t="s">
        <v>559</v>
      </c>
      <c r="B101" s="15"/>
      <c r="C101" s="15" t="s">
        <v>179</v>
      </c>
      <c r="D101" s="30"/>
      <c r="E101" s="17">
        <v>1112777</v>
      </c>
      <c r="G101" s="17">
        <v>0</v>
      </c>
      <c r="I101" s="17">
        <f t="shared" si="23"/>
        <v>1112777</v>
      </c>
      <c r="K101" s="17">
        <f t="shared" si="20"/>
        <v>0</v>
      </c>
      <c r="U101" s="17">
        <f>87582+244864+5747</f>
        <v>338193</v>
      </c>
      <c r="W101" s="17">
        <v>774584</v>
      </c>
      <c r="Y101" s="17">
        <f t="shared" si="19"/>
        <v>1112777</v>
      </c>
      <c r="AA101" s="17">
        <f t="shared" si="21"/>
        <v>0</v>
      </c>
      <c r="AB101" s="33"/>
      <c r="AC101" s="33">
        <f t="shared" si="22"/>
        <v>0</v>
      </c>
    </row>
    <row r="102" spans="1:35" x14ac:dyDescent="0.2">
      <c r="A102" s="15" t="s">
        <v>9</v>
      </c>
      <c r="B102" s="15"/>
      <c r="C102" s="15" t="s">
        <v>10</v>
      </c>
      <c r="D102" s="30"/>
      <c r="E102" s="17">
        <v>1586827</v>
      </c>
      <c r="G102" s="17">
        <v>0</v>
      </c>
      <c r="I102" s="17">
        <f t="shared" si="23"/>
        <v>1586827</v>
      </c>
      <c r="K102" s="17">
        <f t="shared" si="20"/>
        <v>0</v>
      </c>
      <c r="U102" s="17">
        <f>887412+91557</f>
        <v>978969</v>
      </c>
      <c r="W102" s="17">
        <v>607859</v>
      </c>
      <c r="Y102" s="17">
        <f t="shared" si="19"/>
        <v>1586828</v>
      </c>
      <c r="AA102" s="17">
        <f t="shared" si="21"/>
        <v>0</v>
      </c>
      <c r="AB102" s="33"/>
      <c r="AC102" s="33">
        <f t="shared" si="22"/>
        <v>0</v>
      </c>
    </row>
    <row r="103" spans="1:35" x14ac:dyDescent="0.2">
      <c r="A103" s="15" t="s">
        <v>180</v>
      </c>
      <c r="B103" s="15"/>
      <c r="C103" s="15" t="s">
        <v>55</v>
      </c>
      <c r="D103" s="30"/>
      <c r="E103" s="17">
        <v>8871115</v>
      </c>
      <c r="G103" s="17">
        <v>0</v>
      </c>
      <c r="I103" s="17">
        <f t="shared" si="23"/>
        <v>8871115</v>
      </c>
      <c r="K103" s="17">
        <f t="shared" si="20"/>
        <v>0</v>
      </c>
      <c r="U103" s="17">
        <f>1207590+497091+222722+205858+1294099+2046989+1156139</f>
        <v>6630488</v>
      </c>
      <c r="W103" s="17">
        <v>2240630</v>
      </c>
      <c r="Y103" s="17">
        <f t="shared" si="19"/>
        <v>8871118</v>
      </c>
      <c r="AA103" s="17">
        <f t="shared" si="21"/>
        <v>0</v>
      </c>
      <c r="AB103" s="33"/>
      <c r="AC103" s="33">
        <f t="shared" si="22"/>
        <v>0</v>
      </c>
    </row>
    <row r="104" spans="1:35" x14ac:dyDescent="0.2">
      <c r="A104" s="15" t="s">
        <v>181</v>
      </c>
      <c r="B104" s="15"/>
      <c r="C104" s="15" t="s">
        <v>81</v>
      </c>
      <c r="D104" s="30"/>
      <c r="E104" s="17">
        <v>464373</v>
      </c>
      <c r="G104" s="17">
        <v>0</v>
      </c>
      <c r="I104" s="17">
        <f t="shared" si="23"/>
        <v>464373</v>
      </c>
      <c r="K104" s="17">
        <f t="shared" si="20"/>
        <v>0</v>
      </c>
      <c r="U104" s="17">
        <f>56447+54734+7192</f>
        <v>118373</v>
      </c>
      <c r="W104" s="17">
        <v>346000</v>
      </c>
      <c r="Y104" s="17">
        <f t="shared" si="19"/>
        <v>464373</v>
      </c>
      <c r="AA104" s="17">
        <f t="shared" si="21"/>
        <v>0</v>
      </c>
      <c r="AB104" s="33"/>
      <c r="AC104" s="33">
        <f t="shared" si="22"/>
        <v>0</v>
      </c>
    </row>
    <row r="105" spans="1:35" s="33" customFormat="1" hidden="1" x14ac:dyDescent="0.2">
      <c r="A105" s="4" t="s">
        <v>510</v>
      </c>
      <c r="B105" s="4"/>
      <c r="C105" s="4" t="s">
        <v>23</v>
      </c>
      <c r="D105" s="30"/>
      <c r="E105" s="17">
        <f>+I105-G105</f>
        <v>0</v>
      </c>
      <c r="F105" s="17"/>
      <c r="G105" s="17"/>
      <c r="H105" s="17"/>
      <c r="I105" s="17"/>
      <c r="J105" s="17"/>
      <c r="K105" s="17">
        <f t="shared" si="20"/>
        <v>0</v>
      </c>
      <c r="L105" s="17"/>
      <c r="M105" s="17"/>
      <c r="N105" s="17"/>
      <c r="O105" s="17"/>
      <c r="P105" s="17"/>
      <c r="Q105" s="17"/>
      <c r="R105" s="17"/>
      <c r="S105" s="17"/>
      <c r="T105" s="17"/>
      <c r="U105" s="17">
        <v>0</v>
      </c>
      <c r="V105" s="17"/>
      <c r="W105" s="17">
        <v>0</v>
      </c>
      <c r="X105" s="17"/>
      <c r="Y105" s="17">
        <f t="shared" si="19"/>
        <v>0</v>
      </c>
      <c r="Z105" s="17"/>
      <c r="AA105" s="17">
        <f t="shared" si="21"/>
        <v>0</v>
      </c>
      <c r="AC105" s="33">
        <f t="shared" si="22"/>
        <v>0</v>
      </c>
      <c r="AD105" s="17"/>
      <c r="AE105" s="17"/>
      <c r="AF105" s="17"/>
      <c r="AG105" s="17"/>
      <c r="AH105" s="17"/>
      <c r="AI105" s="17"/>
    </row>
    <row r="106" spans="1:35" x14ac:dyDescent="0.2">
      <c r="A106" s="15" t="s">
        <v>182</v>
      </c>
      <c r="B106" s="15"/>
      <c r="C106" s="15" t="s">
        <v>13</v>
      </c>
      <c r="D106" s="30"/>
      <c r="E106" s="17">
        <v>1216597</v>
      </c>
      <c r="G106" s="17">
        <v>0</v>
      </c>
      <c r="I106" s="17">
        <f>E106+G106</f>
        <v>1216597</v>
      </c>
      <c r="K106" s="17">
        <f t="shared" si="20"/>
        <v>0</v>
      </c>
      <c r="U106" s="17">
        <v>308638</v>
      </c>
      <c r="W106" s="17">
        <v>907958</v>
      </c>
      <c r="Y106" s="17">
        <f t="shared" si="19"/>
        <v>1216596</v>
      </c>
      <c r="AA106" s="17">
        <f t="shared" si="21"/>
        <v>0</v>
      </c>
      <c r="AB106" s="33"/>
      <c r="AC106" s="33">
        <f t="shared" si="22"/>
        <v>0</v>
      </c>
    </row>
    <row r="107" spans="1:35" x14ac:dyDescent="0.2">
      <c r="A107" s="15" t="s">
        <v>645</v>
      </c>
      <c r="B107" s="15"/>
      <c r="C107" s="15" t="s">
        <v>13</v>
      </c>
      <c r="D107" s="30"/>
      <c r="E107" s="17">
        <v>4845074</v>
      </c>
      <c r="G107" s="17">
        <v>0</v>
      </c>
      <c r="I107" s="17">
        <f>E107+G107</f>
        <v>4845074</v>
      </c>
      <c r="K107" s="17">
        <f t="shared" si="20"/>
        <v>0</v>
      </c>
      <c r="U107" s="17">
        <v>50569</v>
      </c>
      <c r="W107" s="17">
        <v>4794503</v>
      </c>
      <c r="Y107" s="17">
        <f t="shared" si="19"/>
        <v>4845072</v>
      </c>
      <c r="AA107" s="17">
        <f t="shared" si="21"/>
        <v>0</v>
      </c>
      <c r="AB107" s="33"/>
      <c r="AC107" s="33">
        <f t="shared" si="22"/>
        <v>0</v>
      </c>
    </row>
    <row r="108" spans="1:35" x14ac:dyDescent="0.2">
      <c r="A108" s="15" t="s">
        <v>185</v>
      </c>
      <c r="B108" s="15"/>
      <c r="C108" s="15" t="s">
        <v>186</v>
      </c>
      <c r="D108" s="30"/>
      <c r="E108" s="17">
        <v>2428577</v>
      </c>
      <c r="G108" s="17">
        <v>0</v>
      </c>
      <c r="I108" s="17">
        <f>E108+G108</f>
        <v>2428577</v>
      </c>
      <c r="K108" s="17">
        <f t="shared" si="20"/>
        <v>0</v>
      </c>
      <c r="U108" s="17">
        <f>474826+620415</f>
        <v>1095241</v>
      </c>
      <c r="W108" s="17">
        <v>1333336</v>
      </c>
      <c r="Y108" s="17">
        <f t="shared" si="19"/>
        <v>2428577</v>
      </c>
      <c r="AA108" s="17">
        <f t="shared" si="21"/>
        <v>0</v>
      </c>
      <c r="AB108" s="33"/>
      <c r="AC108" s="33">
        <f t="shared" si="22"/>
        <v>0</v>
      </c>
    </row>
    <row r="109" spans="1:35" hidden="1" x14ac:dyDescent="0.2">
      <c r="A109" s="12" t="s">
        <v>430</v>
      </c>
      <c r="B109" s="12"/>
      <c r="C109" s="12" t="s">
        <v>11</v>
      </c>
      <c r="D109" s="30"/>
      <c r="E109" s="17">
        <f>+I109-G109</f>
        <v>0</v>
      </c>
      <c r="K109" s="17">
        <f t="shared" si="20"/>
        <v>0</v>
      </c>
      <c r="U109" s="17">
        <v>0</v>
      </c>
      <c r="W109" s="17">
        <v>0</v>
      </c>
      <c r="Y109" s="17">
        <f t="shared" si="19"/>
        <v>0</v>
      </c>
      <c r="AA109" s="17">
        <f t="shared" si="21"/>
        <v>0</v>
      </c>
      <c r="AB109" s="33"/>
      <c r="AC109" s="33">
        <f t="shared" si="22"/>
        <v>0</v>
      </c>
    </row>
    <row r="110" spans="1:35" hidden="1" x14ac:dyDescent="0.2">
      <c r="A110" s="15" t="s">
        <v>380</v>
      </c>
      <c r="B110" s="15"/>
      <c r="C110" s="15" t="s">
        <v>183</v>
      </c>
      <c r="D110" s="30"/>
      <c r="E110" s="17">
        <f>+I110-G110</f>
        <v>0</v>
      </c>
      <c r="K110" s="17">
        <f t="shared" si="20"/>
        <v>0</v>
      </c>
      <c r="U110" s="17">
        <v>0</v>
      </c>
      <c r="W110" s="17">
        <v>0</v>
      </c>
      <c r="Y110" s="17">
        <f t="shared" si="19"/>
        <v>0</v>
      </c>
      <c r="AA110" s="17">
        <f t="shared" si="21"/>
        <v>0</v>
      </c>
      <c r="AB110" s="33"/>
      <c r="AC110" s="33">
        <f t="shared" si="22"/>
        <v>0</v>
      </c>
    </row>
    <row r="111" spans="1:35" hidden="1" x14ac:dyDescent="0.2">
      <c r="A111" s="4" t="s">
        <v>371</v>
      </c>
      <c r="B111" s="4"/>
      <c r="C111" s="4" t="s">
        <v>52</v>
      </c>
      <c r="D111" s="30"/>
      <c r="E111" s="17">
        <f>+I111-G111</f>
        <v>0</v>
      </c>
      <c r="K111" s="17">
        <f t="shared" si="20"/>
        <v>0</v>
      </c>
      <c r="U111" s="17">
        <v>0</v>
      </c>
      <c r="W111" s="17">
        <v>0</v>
      </c>
      <c r="Y111" s="17">
        <f t="shared" si="19"/>
        <v>0</v>
      </c>
      <c r="AA111" s="17">
        <f t="shared" si="21"/>
        <v>0</v>
      </c>
      <c r="AB111" s="33"/>
      <c r="AC111" s="33">
        <f t="shared" si="22"/>
        <v>0</v>
      </c>
    </row>
    <row r="112" spans="1:35" hidden="1" x14ac:dyDescent="0.2">
      <c r="A112" s="12" t="s">
        <v>372</v>
      </c>
      <c r="B112" s="15"/>
      <c r="C112" s="15" t="s">
        <v>59</v>
      </c>
      <c r="D112" s="30"/>
      <c r="E112" s="17">
        <f>+I112-G112</f>
        <v>0</v>
      </c>
      <c r="K112" s="17">
        <f t="shared" si="20"/>
        <v>0</v>
      </c>
      <c r="U112" s="17">
        <v>0</v>
      </c>
      <c r="W112" s="17">
        <v>0</v>
      </c>
      <c r="Y112" s="17">
        <f t="shared" si="19"/>
        <v>0</v>
      </c>
      <c r="AA112" s="17">
        <f t="shared" si="21"/>
        <v>0</v>
      </c>
      <c r="AB112" s="33"/>
      <c r="AC112" s="33">
        <f t="shared" si="22"/>
        <v>0</v>
      </c>
    </row>
    <row r="113" spans="1:29" x14ac:dyDescent="0.2">
      <c r="A113" s="15" t="s">
        <v>190</v>
      </c>
      <c r="B113" s="15"/>
      <c r="C113" s="15" t="s">
        <v>186</v>
      </c>
      <c r="D113" s="30"/>
      <c r="E113" s="17">
        <v>480984</v>
      </c>
      <c r="G113" s="17">
        <v>0</v>
      </c>
      <c r="I113" s="17">
        <f>E113+G113</f>
        <v>480984</v>
      </c>
      <c r="K113" s="17">
        <f t="shared" si="20"/>
        <v>0</v>
      </c>
      <c r="U113" s="17">
        <v>191740</v>
      </c>
      <c r="W113" s="17">
        <v>289244</v>
      </c>
      <c r="Y113" s="17">
        <f t="shared" si="19"/>
        <v>480984</v>
      </c>
      <c r="AA113" s="17">
        <f t="shared" si="21"/>
        <v>0</v>
      </c>
      <c r="AB113" s="33"/>
      <c r="AC113" s="33">
        <f t="shared" si="22"/>
        <v>0</v>
      </c>
    </row>
    <row r="114" spans="1:29" hidden="1" x14ac:dyDescent="0.2">
      <c r="A114" s="12" t="s">
        <v>373</v>
      </c>
      <c r="B114" s="15"/>
      <c r="C114" s="15" t="s">
        <v>52</v>
      </c>
      <c r="D114" s="34"/>
      <c r="E114" s="17">
        <f>+I114-G114</f>
        <v>0</v>
      </c>
      <c r="K114" s="17">
        <f t="shared" si="20"/>
        <v>0</v>
      </c>
      <c r="U114" s="17">
        <v>0</v>
      </c>
      <c r="W114" s="17">
        <v>0</v>
      </c>
      <c r="Y114" s="17">
        <f t="shared" si="19"/>
        <v>0</v>
      </c>
      <c r="AA114" s="17">
        <f t="shared" si="21"/>
        <v>0</v>
      </c>
      <c r="AB114" s="33"/>
      <c r="AC114" s="33">
        <f t="shared" si="22"/>
        <v>0</v>
      </c>
    </row>
    <row r="115" spans="1:29" x14ac:dyDescent="0.2">
      <c r="A115" s="15" t="s">
        <v>193</v>
      </c>
      <c r="B115" s="15"/>
      <c r="C115" s="15" t="s">
        <v>23</v>
      </c>
      <c r="D115" s="30"/>
      <c r="E115" s="17">
        <v>1275449</v>
      </c>
      <c r="G115" s="17">
        <v>0</v>
      </c>
      <c r="I115" s="17">
        <f>E115+G115</f>
        <v>1275449</v>
      </c>
      <c r="K115" s="17">
        <f t="shared" si="20"/>
        <v>0</v>
      </c>
      <c r="U115" s="17">
        <f>399176+109012</f>
        <v>508188</v>
      </c>
      <c r="W115" s="17">
        <v>767261</v>
      </c>
      <c r="Y115" s="17">
        <f t="shared" si="19"/>
        <v>1275449</v>
      </c>
      <c r="AA115" s="17">
        <f t="shared" si="21"/>
        <v>0</v>
      </c>
      <c r="AB115" s="33"/>
      <c r="AC115" s="33">
        <f t="shared" si="22"/>
        <v>0</v>
      </c>
    </row>
    <row r="116" spans="1:29" x14ac:dyDescent="0.2">
      <c r="A116" s="15" t="s">
        <v>431</v>
      </c>
      <c r="B116" s="15"/>
      <c r="C116" s="15" t="s">
        <v>23</v>
      </c>
      <c r="D116" s="30"/>
      <c r="E116" s="17">
        <v>924450</v>
      </c>
      <c r="G116" s="17">
        <v>0</v>
      </c>
      <c r="I116" s="17">
        <f>E116+G116</f>
        <v>924450</v>
      </c>
      <c r="K116" s="17">
        <f t="shared" si="20"/>
        <v>0</v>
      </c>
      <c r="U116" s="17">
        <f>9391+472797</f>
        <v>482188</v>
      </c>
      <c r="W116" s="17">
        <v>442262</v>
      </c>
      <c r="Y116" s="17">
        <f t="shared" ref="Y116:Y159" si="29">U116+W116</f>
        <v>924450</v>
      </c>
      <c r="AA116" s="17">
        <f t="shared" si="21"/>
        <v>0</v>
      </c>
      <c r="AB116" s="33"/>
      <c r="AC116" s="33">
        <f t="shared" si="22"/>
        <v>0</v>
      </c>
    </row>
    <row r="117" spans="1:29" hidden="1" x14ac:dyDescent="0.2">
      <c r="A117" s="12" t="s">
        <v>374</v>
      </c>
      <c r="B117" s="15"/>
      <c r="C117" s="15" t="s">
        <v>60</v>
      </c>
      <c r="D117" s="30"/>
      <c r="E117" s="17">
        <f>+I117-G117</f>
        <v>0</v>
      </c>
      <c r="K117" s="17">
        <f t="shared" si="20"/>
        <v>0</v>
      </c>
      <c r="U117" s="17">
        <v>0</v>
      </c>
      <c r="W117" s="17">
        <v>0</v>
      </c>
      <c r="Y117" s="17">
        <f t="shared" si="29"/>
        <v>0</v>
      </c>
      <c r="AA117" s="17">
        <f t="shared" si="21"/>
        <v>0</v>
      </c>
      <c r="AB117" s="33"/>
      <c r="AC117" s="33">
        <f t="shared" si="22"/>
        <v>0</v>
      </c>
    </row>
    <row r="118" spans="1:29" x14ac:dyDescent="0.2">
      <c r="A118" s="15" t="s">
        <v>587</v>
      </c>
      <c r="B118" s="15"/>
      <c r="C118" s="15" t="s">
        <v>18</v>
      </c>
      <c r="D118" s="30"/>
      <c r="E118" s="17">
        <v>12611748</v>
      </c>
      <c r="G118" s="17">
        <v>0</v>
      </c>
      <c r="I118" s="17">
        <f>E118+G118</f>
        <v>12611748</v>
      </c>
      <c r="K118" s="17">
        <f t="shared" si="20"/>
        <v>0</v>
      </c>
      <c r="U118" s="17">
        <f>1773041+984316+2084086</f>
        <v>4841443</v>
      </c>
      <c r="W118" s="17">
        <v>7770305</v>
      </c>
      <c r="Y118" s="17">
        <f t="shared" si="29"/>
        <v>12611748</v>
      </c>
      <c r="AA118" s="17">
        <f t="shared" si="21"/>
        <v>0</v>
      </c>
      <c r="AB118" s="33"/>
      <c r="AC118" s="33">
        <f t="shared" si="22"/>
        <v>0</v>
      </c>
    </row>
    <row r="119" spans="1:29" x14ac:dyDescent="0.2">
      <c r="A119" s="15" t="s">
        <v>12</v>
      </c>
      <c r="B119" s="15"/>
      <c r="C119" s="15" t="s">
        <v>13</v>
      </c>
      <c r="D119" s="30"/>
      <c r="E119" s="17">
        <v>2580884</v>
      </c>
      <c r="G119" s="17">
        <v>0</v>
      </c>
      <c r="I119" s="17">
        <f>E119+G119</f>
        <v>2580884</v>
      </c>
      <c r="K119" s="17">
        <f t="shared" si="20"/>
        <v>0</v>
      </c>
      <c r="U119" s="17">
        <f>245658+165223</f>
        <v>410881</v>
      </c>
      <c r="W119" s="17">
        <v>2170003</v>
      </c>
      <c r="Y119" s="17">
        <f t="shared" si="29"/>
        <v>2580884</v>
      </c>
      <c r="AA119" s="17">
        <f t="shared" si="21"/>
        <v>0</v>
      </c>
      <c r="AB119" s="33"/>
      <c r="AC119" s="33">
        <f t="shared" si="22"/>
        <v>0</v>
      </c>
    </row>
    <row r="120" spans="1:29" hidden="1" x14ac:dyDescent="0.2">
      <c r="A120" s="12" t="s">
        <v>195</v>
      </c>
      <c r="B120" s="12"/>
      <c r="C120" s="12" t="s">
        <v>8</v>
      </c>
      <c r="D120" s="30"/>
      <c r="E120" s="17">
        <f>+I120-G120</f>
        <v>7204733</v>
      </c>
      <c r="I120" s="17">
        <v>7204733</v>
      </c>
      <c r="K120" s="17">
        <f t="shared" si="20"/>
        <v>0</v>
      </c>
      <c r="U120" s="17">
        <v>0</v>
      </c>
      <c r="W120" s="17">
        <v>0</v>
      </c>
      <c r="Y120" s="17">
        <f t="shared" si="29"/>
        <v>0</v>
      </c>
      <c r="Z120" s="33"/>
      <c r="AA120" s="17">
        <f t="shared" si="21"/>
        <v>0</v>
      </c>
      <c r="AB120" s="33"/>
      <c r="AC120" s="33">
        <f t="shared" si="22"/>
        <v>0</v>
      </c>
    </row>
    <row r="121" spans="1:29" x14ac:dyDescent="0.2">
      <c r="A121" s="15" t="s">
        <v>652</v>
      </c>
      <c r="B121" s="15"/>
      <c r="C121" s="15" t="s">
        <v>8</v>
      </c>
      <c r="D121" s="30"/>
      <c r="E121" s="17">
        <v>8942172</v>
      </c>
      <c r="G121" s="17">
        <v>0</v>
      </c>
      <c r="I121" s="17">
        <f>E121+G121</f>
        <v>8942172</v>
      </c>
      <c r="K121" s="17">
        <f t="shared" ref="K121" si="30">+Q121-M121-O121</f>
        <v>0</v>
      </c>
      <c r="U121" s="17">
        <f>3008551+514139+127472</f>
        <v>3650162</v>
      </c>
      <c r="W121" s="17">
        <v>5292011</v>
      </c>
      <c r="Y121" s="17">
        <f t="shared" ref="Y121" si="31">U121+W121</f>
        <v>8942173</v>
      </c>
      <c r="AA121" s="17">
        <f t="shared" ref="AA121" si="32">+H121-P121-X121</f>
        <v>0</v>
      </c>
      <c r="AB121" s="33"/>
      <c r="AC121" s="33">
        <f t="shared" ref="AC121" si="33">+D121+F121+-J121-L121-R121-T121-V121-N121</f>
        <v>0</v>
      </c>
    </row>
    <row r="122" spans="1:29" hidden="1" x14ac:dyDescent="0.2">
      <c r="A122" s="12" t="s">
        <v>375</v>
      </c>
      <c r="B122" s="15"/>
      <c r="C122" s="15" t="s">
        <v>23</v>
      </c>
      <c r="D122" s="30"/>
      <c r="E122" s="17">
        <f>+I122-G122</f>
        <v>0</v>
      </c>
      <c r="K122" s="17">
        <f t="shared" si="20"/>
        <v>0</v>
      </c>
      <c r="U122" s="17">
        <v>0</v>
      </c>
      <c r="W122" s="17">
        <v>0</v>
      </c>
      <c r="Y122" s="17">
        <f t="shared" si="29"/>
        <v>0</v>
      </c>
      <c r="AA122" s="17">
        <f t="shared" si="21"/>
        <v>0</v>
      </c>
      <c r="AB122" s="33"/>
      <c r="AC122" s="33">
        <f t="shared" si="22"/>
        <v>0</v>
      </c>
    </row>
    <row r="123" spans="1:29" hidden="1" x14ac:dyDescent="0.2">
      <c r="A123" s="4" t="s">
        <v>375</v>
      </c>
      <c r="B123" s="4"/>
      <c r="C123" s="4" t="s">
        <v>23</v>
      </c>
      <c r="D123" s="30"/>
      <c r="E123" s="17">
        <f>+I123-G123</f>
        <v>0</v>
      </c>
      <c r="K123" s="17">
        <f t="shared" si="20"/>
        <v>0</v>
      </c>
      <c r="U123" s="17">
        <v>0</v>
      </c>
      <c r="W123" s="17">
        <v>0</v>
      </c>
      <c r="Y123" s="17">
        <f t="shared" si="29"/>
        <v>0</v>
      </c>
      <c r="AA123" s="17">
        <f t="shared" si="21"/>
        <v>0</v>
      </c>
      <c r="AB123" s="33"/>
      <c r="AC123" s="33">
        <f t="shared" si="22"/>
        <v>0</v>
      </c>
    </row>
    <row r="124" spans="1:29" hidden="1" x14ac:dyDescent="0.2">
      <c r="A124" s="4" t="s">
        <v>509</v>
      </c>
      <c r="B124" s="4"/>
      <c r="C124" s="4" t="s">
        <v>62</v>
      </c>
      <c r="D124" s="30"/>
      <c r="E124" s="17">
        <f>+I124-G124</f>
        <v>0</v>
      </c>
      <c r="K124" s="17">
        <f t="shared" si="20"/>
        <v>0</v>
      </c>
      <c r="U124" s="17">
        <v>0</v>
      </c>
      <c r="W124" s="17">
        <v>0</v>
      </c>
      <c r="Y124" s="17">
        <f t="shared" si="29"/>
        <v>0</v>
      </c>
      <c r="AA124" s="17">
        <f t="shared" si="21"/>
        <v>0</v>
      </c>
      <c r="AB124" s="33"/>
      <c r="AC124" s="33">
        <f t="shared" si="22"/>
        <v>0</v>
      </c>
    </row>
    <row r="125" spans="1:29" x14ac:dyDescent="0.2">
      <c r="A125" s="17" t="s">
        <v>200</v>
      </c>
      <c r="C125" s="17" t="s">
        <v>87</v>
      </c>
      <c r="D125" s="30"/>
      <c r="E125" s="17">
        <v>189860</v>
      </c>
      <c r="G125" s="17">
        <v>0</v>
      </c>
      <c r="I125" s="17">
        <f>E125+G125</f>
        <v>189860</v>
      </c>
      <c r="K125" s="17">
        <f t="shared" ref="K125:K131" si="34">+Q125-M125-O125</f>
        <v>0</v>
      </c>
      <c r="U125" s="17">
        <v>32927</v>
      </c>
      <c r="W125" s="17">
        <v>156933</v>
      </c>
      <c r="Y125" s="17">
        <f t="shared" si="29"/>
        <v>189860</v>
      </c>
      <c r="AA125" s="17">
        <f t="shared" ref="AA125:AA173" si="35">+H125-P125-X125</f>
        <v>0</v>
      </c>
      <c r="AB125" s="33"/>
      <c r="AC125" s="33">
        <f t="shared" ref="AC125:AC173" si="36">+D125+F125+-J125-L125-R125-T125-V125-N125</f>
        <v>0</v>
      </c>
    </row>
    <row r="126" spans="1:29" x14ac:dyDescent="0.2">
      <c r="A126" s="17" t="s">
        <v>201</v>
      </c>
      <c r="C126" s="17" t="s">
        <v>202</v>
      </c>
      <c r="D126" s="30"/>
      <c r="E126" s="17">
        <v>424076</v>
      </c>
      <c r="G126" s="17">
        <v>0</v>
      </c>
      <c r="I126" s="17">
        <f>E126+G126</f>
        <v>424076</v>
      </c>
      <c r="K126" s="17">
        <f t="shared" si="34"/>
        <v>0</v>
      </c>
      <c r="U126" s="17">
        <v>8223</v>
      </c>
      <c r="W126" s="17">
        <v>415853</v>
      </c>
      <c r="Y126" s="17">
        <f t="shared" si="29"/>
        <v>424076</v>
      </c>
      <c r="AA126" s="17">
        <f t="shared" si="35"/>
        <v>0</v>
      </c>
      <c r="AB126" s="33"/>
      <c r="AC126" s="33">
        <f t="shared" si="36"/>
        <v>0</v>
      </c>
    </row>
    <row r="127" spans="1:29" x14ac:dyDescent="0.2">
      <c r="A127" s="17" t="s">
        <v>646</v>
      </c>
      <c r="C127" s="17" t="s">
        <v>13</v>
      </c>
      <c r="D127" s="30"/>
      <c r="E127" s="17">
        <v>9341593</v>
      </c>
      <c r="G127" s="17">
        <v>0</v>
      </c>
      <c r="I127" s="17">
        <f>E127+G127</f>
        <v>9341593</v>
      </c>
      <c r="K127" s="17">
        <f t="shared" si="34"/>
        <v>0</v>
      </c>
      <c r="U127" s="17">
        <f>3998956+84183+3493604+609829</f>
        <v>8186572</v>
      </c>
      <c r="W127" s="17">
        <v>1155021</v>
      </c>
      <c r="Y127" s="17">
        <f t="shared" si="29"/>
        <v>9341593</v>
      </c>
      <c r="AA127" s="17">
        <f t="shared" si="35"/>
        <v>0</v>
      </c>
      <c r="AB127" s="33"/>
      <c r="AC127" s="33">
        <f t="shared" si="36"/>
        <v>0</v>
      </c>
    </row>
    <row r="128" spans="1:29" hidden="1" x14ac:dyDescent="0.2">
      <c r="A128" s="15" t="s">
        <v>381</v>
      </c>
      <c r="B128" s="15"/>
      <c r="C128" s="15" t="s">
        <v>10</v>
      </c>
      <c r="D128" s="30"/>
      <c r="E128" s="17">
        <f>+I128-G128</f>
        <v>0</v>
      </c>
      <c r="K128" s="17">
        <f t="shared" si="34"/>
        <v>0</v>
      </c>
      <c r="U128" s="17">
        <v>0</v>
      </c>
      <c r="W128" s="17">
        <v>0</v>
      </c>
      <c r="Y128" s="17">
        <f t="shared" si="29"/>
        <v>0</v>
      </c>
      <c r="AA128" s="17">
        <f t="shared" si="35"/>
        <v>0</v>
      </c>
      <c r="AB128" s="33"/>
      <c r="AC128" s="33">
        <f t="shared" si="36"/>
        <v>0</v>
      </c>
    </row>
    <row r="129" spans="1:35" x14ac:dyDescent="0.2">
      <c r="A129" s="12" t="s">
        <v>423</v>
      </c>
      <c r="B129" s="12"/>
      <c r="C129" s="12" t="s">
        <v>14</v>
      </c>
      <c r="D129" s="30"/>
      <c r="E129" s="17">
        <v>685733</v>
      </c>
      <c r="G129" s="17">
        <v>0</v>
      </c>
      <c r="I129" s="17">
        <f>E129+G129</f>
        <v>685733</v>
      </c>
      <c r="K129" s="17">
        <f t="shared" si="34"/>
        <v>0</v>
      </c>
      <c r="U129" s="17">
        <f>104656+6798+142696</f>
        <v>254150</v>
      </c>
      <c r="W129" s="17">
        <v>431582</v>
      </c>
      <c r="Y129" s="17">
        <f t="shared" si="29"/>
        <v>685732</v>
      </c>
      <c r="AA129" s="17">
        <f t="shared" si="35"/>
        <v>0</v>
      </c>
      <c r="AB129" s="33"/>
      <c r="AC129" s="33">
        <f t="shared" si="36"/>
        <v>0</v>
      </c>
    </row>
    <row r="130" spans="1:35" x14ac:dyDescent="0.2">
      <c r="A130" s="15" t="s">
        <v>206</v>
      </c>
      <c r="B130" s="15"/>
      <c r="C130" s="15" t="s">
        <v>207</v>
      </c>
      <c r="D130" s="30"/>
      <c r="E130" s="17">
        <v>5820683</v>
      </c>
      <c r="I130" s="17">
        <f>E130+G130</f>
        <v>5820683</v>
      </c>
      <c r="K130" s="17">
        <f t="shared" si="34"/>
        <v>0</v>
      </c>
      <c r="U130" s="17">
        <f>2569942+637702+14860</f>
        <v>3222504</v>
      </c>
      <c r="W130" s="17">
        <v>2598179</v>
      </c>
      <c r="Y130" s="17">
        <f t="shared" si="29"/>
        <v>5820683</v>
      </c>
      <c r="AA130" s="17">
        <f t="shared" si="35"/>
        <v>0</v>
      </c>
      <c r="AB130" s="33"/>
      <c r="AC130" s="33">
        <f t="shared" si="36"/>
        <v>0</v>
      </c>
    </row>
    <row r="131" spans="1:35" x14ac:dyDescent="0.2">
      <c r="A131" s="15" t="s">
        <v>337</v>
      </c>
      <c r="B131" s="15"/>
      <c r="C131" s="15" t="s">
        <v>87</v>
      </c>
      <c r="D131" s="30"/>
      <c r="E131" s="17">
        <v>255921</v>
      </c>
      <c r="G131" s="17">
        <v>0</v>
      </c>
      <c r="I131" s="17">
        <f>E131+G131</f>
        <v>255921</v>
      </c>
      <c r="K131" s="17">
        <f t="shared" si="34"/>
        <v>0</v>
      </c>
      <c r="U131" s="17">
        <v>56</v>
      </c>
      <c r="W131" s="17">
        <v>255864.62</v>
      </c>
      <c r="Y131" s="17">
        <f t="shared" si="29"/>
        <v>255920.62</v>
      </c>
      <c r="AA131" s="17">
        <f t="shared" si="35"/>
        <v>0</v>
      </c>
      <c r="AB131" s="33"/>
      <c r="AC131" s="33">
        <f t="shared" si="36"/>
        <v>0</v>
      </c>
    </row>
    <row r="132" spans="1:35" x14ac:dyDescent="0.2">
      <c r="A132" s="15" t="s">
        <v>211</v>
      </c>
      <c r="B132" s="15"/>
      <c r="C132" s="15" t="s">
        <v>54</v>
      </c>
      <c r="D132" s="30"/>
      <c r="E132" s="17">
        <v>693790</v>
      </c>
      <c r="G132" s="17">
        <v>0</v>
      </c>
      <c r="I132" s="17">
        <f>E132+G132</f>
        <v>693790</v>
      </c>
      <c r="K132" s="17">
        <f t="shared" ref="K132" si="37">+Q132-M132-O132</f>
        <v>0</v>
      </c>
      <c r="U132" s="17">
        <f>1600+387622</f>
        <v>389222</v>
      </c>
      <c r="W132" s="17">
        <v>304568</v>
      </c>
      <c r="Y132" s="17">
        <f t="shared" ref="Y132" si="38">U132+W132</f>
        <v>693790</v>
      </c>
      <c r="AA132" s="17">
        <f t="shared" ref="AA132" si="39">+H132-P132-X132</f>
        <v>0</v>
      </c>
      <c r="AB132" s="33"/>
      <c r="AC132" s="33">
        <f t="shared" ref="AC132" si="40">+D132+F132+-J132-L132-R132-T132-V132-N132</f>
        <v>0</v>
      </c>
    </row>
    <row r="133" spans="1:35" hidden="1" x14ac:dyDescent="0.2">
      <c r="A133" s="12" t="s">
        <v>376</v>
      </c>
      <c r="B133" s="15"/>
      <c r="C133" s="15" t="s">
        <v>63</v>
      </c>
      <c r="E133" s="17">
        <f t="shared" ref="E133:E181" si="41">+I133-G133</f>
        <v>0</v>
      </c>
      <c r="J133" s="33"/>
      <c r="K133" s="33">
        <v>0</v>
      </c>
      <c r="L133" s="33"/>
      <c r="M133" s="33"/>
      <c r="N133" s="33"/>
      <c r="O133" s="33"/>
      <c r="P133" s="33"/>
      <c r="Q133" s="33"/>
      <c r="R133" s="33"/>
      <c r="S133" s="33"/>
      <c r="T133" s="33"/>
      <c r="U133" s="17">
        <v>0</v>
      </c>
      <c r="V133" s="33"/>
      <c r="W133" s="17">
        <v>0</v>
      </c>
      <c r="X133" s="33"/>
      <c r="Y133" s="17">
        <f t="shared" si="29"/>
        <v>0</v>
      </c>
      <c r="Z133" s="33"/>
      <c r="AA133" s="17">
        <f t="shared" si="35"/>
        <v>0</v>
      </c>
      <c r="AB133" s="33"/>
      <c r="AC133" s="33">
        <f t="shared" si="36"/>
        <v>0</v>
      </c>
      <c r="AD133" s="33"/>
      <c r="AE133" s="33"/>
      <c r="AF133" s="33"/>
      <c r="AG133" s="33"/>
      <c r="AH133" s="33"/>
      <c r="AI133" s="33"/>
    </row>
    <row r="134" spans="1:35" hidden="1" x14ac:dyDescent="0.2">
      <c r="A134" s="4" t="s">
        <v>376</v>
      </c>
      <c r="B134" s="4"/>
      <c r="C134" s="4" t="s">
        <v>63</v>
      </c>
      <c r="D134" s="30"/>
      <c r="E134" s="17">
        <f t="shared" si="41"/>
        <v>0</v>
      </c>
      <c r="K134" s="17">
        <f>+Q134-M134-O134</f>
        <v>0</v>
      </c>
      <c r="U134" s="17">
        <v>0</v>
      </c>
      <c r="W134" s="17">
        <v>0</v>
      </c>
      <c r="Y134" s="17">
        <f t="shared" si="29"/>
        <v>0</v>
      </c>
      <c r="AA134" s="17">
        <f t="shared" si="35"/>
        <v>0</v>
      </c>
      <c r="AB134" s="33"/>
      <c r="AC134" s="33">
        <f t="shared" si="36"/>
        <v>0</v>
      </c>
    </row>
    <row r="135" spans="1:35" hidden="1" x14ac:dyDescent="0.2">
      <c r="A135" s="12" t="s">
        <v>216</v>
      </c>
      <c r="B135" s="15"/>
      <c r="C135" s="15" t="s">
        <v>23</v>
      </c>
      <c r="D135" s="30"/>
      <c r="E135" s="17">
        <f t="shared" si="41"/>
        <v>1243145</v>
      </c>
      <c r="I135" s="17">
        <v>1243145</v>
      </c>
      <c r="K135" s="17">
        <v>0</v>
      </c>
      <c r="U135" s="17">
        <v>0</v>
      </c>
      <c r="W135" s="17">
        <v>0</v>
      </c>
      <c r="Y135" s="17">
        <f t="shared" si="29"/>
        <v>0</v>
      </c>
      <c r="AA135" s="17">
        <f t="shared" si="35"/>
        <v>0</v>
      </c>
      <c r="AB135" s="33"/>
      <c r="AC135" s="33">
        <f t="shared" si="36"/>
        <v>0</v>
      </c>
    </row>
    <row r="136" spans="1:35" x14ac:dyDescent="0.2">
      <c r="A136" s="15" t="s">
        <v>603</v>
      </c>
      <c r="B136" s="15"/>
      <c r="C136" s="15" t="s">
        <v>54</v>
      </c>
      <c r="D136" s="30"/>
      <c r="E136" s="17">
        <v>1579627</v>
      </c>
      <c r="G136" s="17">
        <v>0</v>
      </c>
      <c r="I136" s="17">
        <f>E136+G136</f>
        <v>1579627</v>
      </c>
      <c r="K136" s="17">
        <f t="shared" ref="K136" si="42">+Q136-M136-O136</f>
        <v>0</v>
      </c>
      <c r="U136" s="17">
        <f>294984</f>
        <v>294984</v>
      </c>
      <c r="W136" s="17">
        <v>1284643</v>
      </c>
      <c r="Y136" s="17">
        <f t="shared" si="29"/>
        <v>1579627</v>
      </c>
      <c r="AA136" s="17">
        <f t="shared" si="35"/>
        <v>0</v>
      </c>
      <c r="AB136" s="33"/>
      <c r="AC136" s="33">
        <f t="shared" si="36"/>
        <v>0</v>
      </c>
    </row>
    <row r="137" spans="1:35" x14ac:dyDescent="0.2">
      <c r="A137" s="15" t="s">
        <v>434</v>
      </c>
      <c r="B137" s="15"/>
      <c r="C137" s="15" t="s">
        <v>54</v>
      </c>
      <c r="D137" s="30"/>
      <c r="E137" s="17">
        <v>158636</v>
      </c>
      <c r="G137" s="17">
        <v>0</v>
      </c>
      <c r="I137" s="17">
        <f>E137+G137</f>
        <v>158636</v>
      </c>
      <c r="K137" s="17">
        <f t="shared" ref="K137" si="43">+Q137-M137-O137</f>
        <v>0</v>
      </c>
      <c r="U137" s="17">
        <v>54867</v>
      </c>
      <c r="W137" s="17">
        <v>103769</v>
      </c>
      <c r="Y137" s="17">
        <f t="shared" ref="Y137" si="44">U137+W137</f>
        <v>158636</v>
      </c>
      <c r="AA137" s="17">
        <f t="shared" ref="AA137" si="45">+H137-P137-X137</f>
        <v>0</v>
      </c>
      <c r="AB137" s="33"/>
      <c r="AC137" s="33">
        <f t="shared" ref="AC137" si="46">+D137+F137+-J137-L137-R137-T137-V137-N137</f>
        <v>0</v>
      </c>
    </row>
    <row r="138" spans="1:35" x14ac:dyDescent="0.2">
      <c r="A138" s="15" t="s">
        <v>218</v>
      </c>
      <c r="B138" s="15"/>
      <c r="C138" s="15" t="s">
        <v>156</v>
      </c>
      <c r="D138" s="30"/>
      <c r="E138" s="17">
        <v>336069</v>
      </c>
      <c r="G138" s="17">
        <v>0</v>
      </c>
      <c r="I138" s="17">
        <f>E138+G138</f>
        <v>336069</v>
      </c>
      <c r="K138" s="17">
        <f t="shared" ref="K138" si="47">+Q138-M138-O138</f>
        <v>0</v>
      </c>
      <c r="U138" s="17">
        <v>0</v>
      </c>
      <c r="W138" s="17">
        <v>336069</v>
      </c>
      <c r="Y138" s="17">
        <f t="shared" ref="Y138" si="48">U138+W138</f>
        <v>336069</v>
      </c>
      <c r="AA138" s="17">
        <f t="shared" ref="AA138" si="49">+H138-P138-X138</f>
        <v>0</v>
      </c>
      <c r="AB138" s="33"/>
      <c r="AC138" s="33">
        <f t="shared" ref="AC138" si="50">+D138+F138+-J138-L138-R138-T138-V138-N138</f>
        <v>0</v>
      </c>
    </row>
    <row r="139" spans="1:35" x14ac:dyDescent="0.2">
      <c r="A139" s="15" t="s">
        <v>219</v>
      </c>
      <c r="B139" s="15"/>
      <c r="C139" s="15" t="s">
        <v>168</v>
      </c>
      <c r="D139" s="30"/>
      <c r="E139" s="17">
        <v>497585</v>
      </c>
      <c r="G139" s="17">
        <v>0</v>
      </c>
      <c r="I139" s="17">
        <f>E139+G139</f>
        <v>497585</v>
      </c>
      <c r="K139" s="17">
        <f t="shared" ref="K139" si="51">+Q139-M139-O139</f>
        <v>0</v>
      </c>
      <c r="U139" s="17">
        <v>0</v>
      </c>
      <c r="W139" s="17">
        <v>497585</v>
      </c>
      <c r="Y139" s="17">
        <f t="shared" ref="Y139" si="52">U139+W139</f>
        <v>497585</v>
      </c>
      <c r="AA139" s="17">
        <f t="shared" ref="AA139" si="53">+H139-P139-X139</f>
        <v>0</v>
      </c>
      <c r="AB139" s="33"/>
      <c r="AC139" s="33">
        <f t="shared" ref="AC139" si="54">+D139+F139+-J139-L139-R139-T139-V139-N139</f>
        <v>0</v>
      </c>
    </row>
    <row r="140" spans="1:35" hidden="1" x14ac:dyDescent="0.2">
      <c r="A140" s="15" t="s">
        <v>220</v>
      </c>
      <c r="B140" s="15"/>
      <c r="C140" s="15" t="s">
        <v>55</v>
      </c>
      <c r="D140" s="30"/>
      <c r="E140" s="17">
        <f t="shared" si="41"/>
        <v>0</v>
      </c>
      <c r="K140" s="17">
        <v>0</v>
      </c>
      <c r="U140" s="17">
        <v>0</v>
      </c>
      <c r="W140" s="17">
        <v>0</v>
      </c>
      <c r="Y140" s="17">
        <f t="shared" si="29"/>
        <v>0</v>
      </c>
      <c r="AA140" s="17">
        <f t="shared" si="35"/>
        <v>0</v>
      </c>
      <c r="AB140" s="33"/>
      <c r="AC140" s="33">
        <f t="shared" si="36"/>
        <v>0</v>
      </c>
    </row>
    <row r="141" spans="1:35" x14ac:dyDescent="0.2">
      <c r="A141" s="12" t="s">
        <v>222</v>
      </c>
      <c r="B141" s="15"/>
      <c r="C141" s="15" t="s">
        <v>223</v>
      </c>
      <c r="D141" s="30"/>
      <c r="E141" s="17">
        <v>836552</v>
      </c>
      <c r="G141" s="17">
        <v>0</v>
      </c>
      <c r="I141" s="17">
        <f>E141+G141</f>
        <v>836552</v>
      </c>
      <c r="K141" s="17">
        <v>0</v>
      </c>
      <c r="U141" s="17">
        <f>6460+373088+1502</f>
        <v>381050</v>
      </c>
      <c r="W141" s="17">
        <v>455502</v>
      </c>
      <c r="Y141" s="17">
        <f t="shared" si="29"/>
        <v>836552</v>
      </c>
      <c r="AA141" s="17">
        <f t="shared" si="35"/>
        <v>0</v>
      </c>
      <c r="AB141" s="33"/>
      <c r="AC141" s="33">
        <f t="shared" si="36"/>
        <v>0</v>
      </c>
    </row>
    <row r="142" spans="1:35" hidden="1" x14ac:dyDescent="0.2">
      <c r="A142" s="12" t="s">
        <v>377</v>
      </c>
      <c r="B142" s="15"/>
      <c r="C142" s="15" t="s">
        <v>20</v>
      </c>
      <c r="D142" s="30"/>
      <c r="E142" s="17">
        <f t="shared" si="41"/>
        <v>0</v>
      </c>
      <c r="K142" s="17">
        <v>0</v>
      </c>
      <c r="U142" s="17">
        <v>0</v>
      </c>
      <c r="W142" s="17">
        <v>0</v>
      </c>
      <c r="Y142" s="17">
        <f t="shared" si="29"/>
        <v>0</v>
      </c>
      <c r="AA142" s="17">
        <f t="shared" si="35"/>
        <v>0</v>
      </c>
      <c r="AB142" s="33"/>
      <c r="AC142" s="33">
        <f t="shared" si="36"/>
        <v>0</v>
      </c>
    </row>
    <row r="143" spans="1:35" hidden="1" x14ac:dyDescent="0.2">
      <c r="A143" s="4" t="s">
        <v>377</v>
      </c>
      <c r="B143" s="4"/>
      <c r="C143" s="4" t="s">
        <v>20</v>
      </c>
      <c r="E143" s="17">
        <f t="shared" si="41"/>
        <v>0</v>
      </c>
      <c r="K143" s="17">
        <v>0</v>
      </c>
      <c r="U143" s="17">
        <v>0</v>
      </c>
      <c r="W143" s="17">
        <v>0</v>
      </c>
      <c r="Y143" s="17">
        <f t="shared" si="29"/>
        <v>0</v>
      </c>
      <c r="AA143" s="17">
        <f t="shared" si="35"/>
        <v>0</v>
      </c>
      <c r="AB143" s="33"/>
      <c r="AC143" s="33">
        <f t="shared" si="36"/>
        <v>0</v>
      </c>
    </row>
    <row r="144" spans="1:35" hidden="1" x14ac:dyDescent="0.2">
      <c r="A144" s="12" t="s">
        <v>378</v>
      </c>
      <c r="B144" s="15"/>
      <c r="C144" s="15" t="s">
        <v>64</v>
      </c>
      <c r="D144" s="30"/>
      <c r="E144" s="17">
        <f t="shared" si="41"/>
        <v>0</v>
      </c>
      <c r="K144" s="17">
        <f t="shared" ref="K144:K211" si="55">+Q144-M144-O144</f>
        <v>0</v>
      </c>
      <c r="U144" s="17">
        <v>0</v>
      </c>
      <c r="W144" s="17">
        <v>0</v>
      </c>
      <c r="Y144" s="17">
        <f t="shared" si="29"/>
        <v>0</v>
      </c>
      <c r="AA144" s="17">
        <f t="shared" si="35"/>
        <v>0</v>
      </c>
      <c r="AB144" s="33"/>
      <c r="AC144" s="33">
        <f t="shared" si="36"/>
        <v>0</v>
      </c>
    </row>
    <row r="145" spans="1:35" x14ac:dyDescent="0.2">
      <c r="A145" s="4" t="s">
        <v>647</v>
      </c>
      <c r="B145" s="4"/>
      <c r="C145" s="4" t="s">
        <v>66</v>
      </c>
      <c r="E145" s="17">
        <v>528947</v>
      </c>
      <c r="G145" s="17">
        <v>0</v>
      </c>
      <c r="I145" s="17">
        <f>E145+G145</f>
        <v>528947</v>
      </c>
      <c r="J145" s="33"/>
      <c r="K145" s="33">
        <f t="shared" si="55"/>
        <v>0</v>
      </c>
      <c r="L145" s="33"/>
      <c r="M145" s="33"/>
      <c r="N145" s="33"/>
      <c r="O145" s="33"/>
      <c r="P145" s="33"/>
      <c r="Q145" s="33"/>
      <c r="R145" s="33"/>
      <c r="S145" s="33"/>
      <c r="T145" s="33"/>
      <c r="U145" s="17">
        <v>437571</v>
      </c>
      <c r="V145" s="33"/>
      <c r="W145" s="17">
        <v>91376</v>
      </c>
      <c r="X145" s="33"/>
      <c r="Y145" s="17">
        <f t="shared" si="29"/>
        <v>528947</v>
      </c>
      <c r="Z145" s="33"/>
      <c r="AA145" s="17">
        <f t="shared" si="35"/>
        <v>0</v>
      </c>
      <c r="AB145" s="33"/>
      <c r="AC145" s="33">
        <f t="shared" si="36"/>
        <v>0</v>
      </c>
      <c r="AD145" s="33"/>
      <c r="AE145" s="33"/>
      <c r="AF145" s="33"/>
      <c r="AG145" s="33"/>
      <c r="AH145" s="33"/>
      <c r="AI145" s="33"/>
    </row>
    <row r="146" spans="1:35" x14ac:dyDescent="0.2">
      <c r="A146" s="4" t="s">
        <v>648</v>
      </c>
      <c r="B146" s="4"/>
      <c r="C146" s="4" t="s">
        <v>13</v>
      </c>
      <c r="E146" s="17">
        <v>604617</v>
      </c>
      <c r="G146" s="17">
        <v>0</v>
      </c>
      <c r="I146" s="17">
        <f>E146+G146</f>
        <v>604617</v>
      </c>
      <c r="J146" s="33"/>
      <c r="K146" s="33">
        <f t="shared" ref="K146" si="56">+Q146-M146-O146</f>
        <v>0</v>
      </c>
      <c r="L146" s="33"/>
      <c r="M146" s="33"/>
      <c r="N146" s="33"/>
      <c r="O146" s="33"/>
      <c r="P146" s="33"/>
      <c r="Q146" s="33"/>
      <c r="R146" s="33"/>
      <c r="S146" s="33"/>
      <c r="T146" s="33"/>
      <c r="U146" s="17">
        <v>0</v>
      </c>
      <c r="V146" s="33"/>
      <c r="W146" s="17">
        <v>604616.59</v>
      </c>
      <c r="X146" s="33"/>
      <c r="Y146" s="17">
        <f t="shared" ref="Y146" si="57">U146+W146</f>
        <v>604616.59</v>
      </c>
      <c r="Z146" s="33"/>
      <c r="AA146" s="17">
        <f t="shared" ref="AA146" si="58">+H146-P146-X146</f>
        <v>0</v>
      </c>
      <c r="AB146" s="33"/>
      <c r="AC146" s="33">
        <f t="shared" ref="AC146" si="59">+D146+F146+-J146-L146-R146-T146-V146-N146</f>
        <v>0</v>
      </c>
      <c r="AD146" s="33"/>
      <c r="AE146" s="33"/>
      <c r="AF146" s="33"/>
      <c r="AG146" s="33"/>
      <c r="AH146" s="33"/>
      <c r="AI146" s="33"/>
    </row>
    <row r="147" spans="1:35" x14ac:dyDescent="0.2">
      <c r="A147" s="12" t="s">
        <v>435</v>
      </c>
      <c r="B147" s="15"/>
      <c r="C147" s="15" t="s">
        <v>234</v>
      </c>
      <c r="D147" s="31"/>
      <c r="E147" s="17">
        <v>11636225</v>
      </c>
      <c r="F147" s="33"/>
      <c r="G147" s="33">
        <v>0</v>
      </c>
      <c r="H147" s="33"/>
      <c r="I147" s="33">
        <f>E147+G147</f>
        <v>11636225</v>
      </c>
      <c r="K147" s="17">
        <f t="shared" si="55"/>
        <v>0</v>
      </c>
      <c r="U147" s="17">
        <f>787259+594942</f>
        <v>1382201</v>
      </c>
      <c r="W147" s="17">
        <v>10254024</v>
      </c>
      <c r="Y147" s="17">
        <f t="shared" si="29"/>
        <v>11636225</v>
      </c>
      <c r="AA147" s="17">
        <f t="shared" si="35"/>
        <v>0</v>
      </c>
      <c r="AB147" s="33"/>
      <c r="AC147" s="33">
        <f t="shared" si="36"/>
        <v>0</v>
      </c>
    </row>
    <row r="148" spans="1:35" hidden="1" x14ac:dyDescent="0.2">
      <c r="A148" s="12" t="s">
        <v>379</v>
      </c>
      <c r="B148" s="15"/>
      <c r="C148" s="15" t="s">
        <v>10</v>
      </c>
      <c r="D148" s="30"/>
      <c r="E148" s="17">
        <f t="shared" si="41"/>
        <v>0</v>
      </c>
      <c r="K148" s="17">
        <f t="shared" si="55"/>
        <v>0</v>
      </c>
      <c r="U148" s="17">
        <v>0</v>
      </c>
      <c r="W148" s="17">
        <v>0</v>
      </c>
      <c r="Y148" s="17">
        <f t="shared" si="29"/>
        <v>0</v>
      </c>
      <c r="AA148" s="17">
        <f t="shared" si="35"/>
        <v>0</v>
      </c>
      <c r="AB148" s="33"/>
      <c r="AC148" s="33">
        <f t="shared" si="36"/>
        <v>0</v>
      </c>
    </row>
    <row r="149" spans="1:35" hidden="1" x14ac:dyDescent="0.2">
      <c r="A149" s="4" t="s">
        <v>379</v>
      </c>
      <c r="B149" s="4"/>
      <c r="C149" s="4" t="s">
        <v>10</v>
      </c>
      <c r="D149" s="30"/>
      <c r="E149" s="17">
        <f t="shared" si="41"/>
        <v>0</v>
      </c>
      <c r="K149" s="17">
        <f t="shared" si="55"/>
        <v>0</v>
      </c>
      <c r="U149" s="17">
        <v>0</v>
      </c>
      <c r="W149" s="17">
        <v>0</v>
      </c>
      <c r="Y149" s="17">
        <f t="shared" si="29"/>
        <v>0</v>
      </c>
      <c r="AA149" s="17">
        <f t="shared" si="35"/>
        <v>0</v>
      </c>
      <c r="AB149" s="33"/>
      <c r="AC149" s="33">
        <f t="shared" si="36"/>
        <v>0</v>
      </c>
    </row>
    <row r="150" spans="1:35" x14ac:dyDescent="0.2">
      <c r="A150" s="12" t="s">
        <v>591</v>
      </c>
      <c r="B150" s="15"/>
      <c r="C150" s="15" t="s">
        <v>171</v>
      </c>
      <c r="D150" s="31"/>
      <c r="E150" s="17">
        <v>1357165</v>
      </c>
      <c r="F150" s="33"/>
      <c r="G150" s="33">
        <v>0</v>
      </c>
      <c r="H150" s="33"/>
      <c r="I150" s="33">
        <f>E150+G150</f>
        <v>1357165</v>
      </c>
      <c r="K150" s="17">
        <f t="shared" ref="K150" si="60">+Q150-M150-O150</f>
        <v>0</v>
      </c>
      <c r="U150" s="17">
        <f>44907+647662</f>
        <v>692569</v>
      </c>
      <c r="W150" s="17">
        <v>664596</v>
      </c>
      <c r="Y150" s="17">
        <f t="shared" ref="Y150" si="61">U150+W150</f>
        <v>1357165</v>
      </c>
      <c r="AA150" s="17">
        <f t="shared" ref="AA150" si="62">+H150-P150-X150</f>
        <v>0</v>
      </c>
      <c r="AB150" s="33"/>
      <c r="AC150" s="33">
        <f t="shared" ref="AC150" si="63">+D150+F150+-J150-L150-R150-T150-V150-N150</f>
        <v>0</v>
      </c>
    </row>
    <row r="151" spans="1:35" x14ac:dyDescent="0.2">
      <c r="A151" s="12" t="s">
        <v>436</v>
      </c>
      <c r="B151" s="15"/>
      <c r="C151" s="15" t="s">
        <v>17</v>
      </c>
      <c r="D151" s="31"/>
      <c r="E151" s="17">
        <v>5373944</v>
      </c>
      <c r="F151" s="33"/>
      <c r="G151" s="33">
        <v>0</v>
      </c>
      <c r="H151" s="33"/>
      <c r="I151" s="33">
        <f>E151+G151</f>
        <v>5373944</v>
      </c>
      <c r="K151" s="17">
        <f t="shared" ref="K151" si="64">+Q151-M151-O151</f>
        <v>0</v>
      </c>
      <c r="U151" s="17">
        <f>4709+1402681+87798</f>
        <v>1495188</v>
      </c>
      <c r="W151" s="17">
        <v>3878756</v>
      </c>
      <c r="Y151" s="17">
        <f t="shared" ref="Y151" si="65">U151+W151</f>
        <v>5373944</v>
      </c>
      <c r="AA151" s="17">
        <f t="shared" ref="AA151" si="66">+H151-P151-X151</f>
        <v>0</v>
      </c>
      <c r="AB151" s="33"/>
      <c r="AC151" s="33">
        <f t="shared" ref="AC151" si="67">+D151+F151+-J151-L151-R151-T151-V151-N151</f>
        <v>0</v>
      </c>
    </row>
    <row r="152" spans="1:35" x14ac:dyDescent="0.2">
      <c r="A152" s="4" t="s">
        <v>21</v>
      </c>
      <c r="B152" s="4"/>
      <c r="C152" s="4" t="s">
        <v>22</v>
      </c>
      <c r="D152" s="30"/>
      <c r="E152" s="17">
        <v>2340874</v>
      </c>
      <c r="G152" s="17">
        <v>0</v>
      </c>
      <c r="I152" s="17">
        <f>E152+G152</f>
        <v>2340874</v>
      </c>
      <c r="K152" s="17">
        <f t="shared" si="55"/>
        <v>0</v>
      </c>
      <c r="U152" s="17">
        <f>393902+22685</f>
        <v>416587</v>
      </c>
      <c r="W152" s="17">
        <v>1924288</v>
      </c>
      <c r="Y152" s="17">
        <f t="shared" si="29"/>
        <v>2340875</v>
      </c>
      <c r="AA152" s="17">
        <f t="shared" si="35"/>
        <v>0</v>
      </c>
      <c r="AB152" s="33"/>
      <c r="AC152" s="33">
        <f t="shared" si="36"/>
        <v>0</v>
      </c>
    </row>
    <row r="153" spans="1:35" x14ac:dyDescent="0.2">
      <c r="A153" s="4" t="s">
        <v>592</v>
      </c>
      <c r="B153" s="4"/>
      <c r="C153" s="4" t="s">
        <v>100</v>
      </c>
      <c r="D153" s="30"/>
      <c r="E153" s="17">
        <v>624850</v>
      </c>
      <c r="G153" s="17">
        <v>0</v>
      </c>
      <c r="I153" s="17">
        <f>E153+G153</f>
        <v>624850</v>
      </c>
      <c r="K153" s="17">
        <f t="shared" ref="K153" si="68">+Q153-M153-O153</f>
        <v>0</v>
      </c>
      <c r="U153" s="17">
        <v>0</v>
      </c>
      <c r="W153" s="17">
        <v>624850</v>
      </c>
      <c r="Y153" s="17">
        <f t="shared" ref="Y153" si="69">U153+W153</f>
        <v>624850</v>
      </c>
      <c r="AA153" s="17">
        <f t="shared" ref="AA153" si="70">+H153-P153-X153</f>
        <v>0</v>
      </c>
      <c r="AB153" s="33"/>
      <c r="AC153" s="33">
        <f t="shared" ref="AC153" si="71">+D153+F153+-J153-L153-R153-T153-V153-N153</f>
        <v>0</v>
      </c>
    </row>
    <row r="154" spans="1:35" x14ac:dyDescent="0.2">
      <c r="A154" s="12" t="s">
        <v>537</v>
      </c>
      <c r="B154" s="12"/>
      <c r="C154" s="12" t="s">
        <v>437</v>
      </c>
      <c r="D154" s="30"/>
      <c r="E154" s="17">
        <v>30600790</v>
      </c>
      <c r="G154" s="17">
        <v>0</v>
      </c>
      <c r="I154" s="17">
        <f>E154+G154</f>
        <v>30600790</v>
      </c>
      <c r="K154" s="17">
        <v>0</v>
      </c>
      <c r="U154" s="17">
        <v>15154047</v>
      </c>
      <c r="W154" s="17">
        <v>15446743</v>
      </c>
      <c r="Y154" s="17">
        <f t="shared" si="29"/>
        <v>30600790</v>
      </c>
      <c r="AA154" s="17">
        <f t="shared" si="35"/>
        <v>0</v>
      </c>
      <c r="AB154" s="33"/>
      <c r="AC154" s="33">
        <f t="shared" si="36"/>
        <v>0</v>
      </c>
    </row>
    <row r="155" spans="1:35" hidden="1" x14ac:dyDescent="0.2">
      <c r="A155" s="12" t="s">
        <v>382</v>
      </c>
      <c r="B155" s="15"/>
      <c r="C155" s="15" t="s">
        <v>44</v>
      </c>
      <c r="D155" s="30"/>
      <c r="E155" s="17">
        <f t="shared" si="41"/>
        <v>0</v>
      </c>
      <c r="K155" s="17">
        <f t="shared" si="55"/>
        <v>0</v>
      </c>
      <c r="U155" s="17">
        <v>0</v>
      </c>
      <c r="W155" s="17">
        <v>0</v>
      </c>
      <c r="Y155" s="17">
        <f t="shared" si="29"/>
        <v>0</v>
      </c>
      <c r="AA155" s="17">
        <f t="shared" si="35"/>
        <v>0</v>
      </c>
      <c r="AB155" s="33"/>
      <c r="AC155" s="33">
        <f t="shared" si="36"/>
        <v>0</v>
      </c>
    </row>
    <row r="156" spans="1:35" x14ac:dyDescent="0.2">
      <c r="A156" s="12" t="s">
        <v>311</v>
      </c>
      <c r="B156" s="12"/>
      <c r="C156" s="12" t="s">
        <v>213</v>
      </c>
      <c r="D156" s="30"/>
      <c r="E156" s="17">
        <v>24548710</v>
      </c>
      <c r="G156" s="17">
        <v>0</v>
      </c>
      <c r="I156" s="17">
        <f>E156+G156</f>
        <v>24548710</v>
      </c>
      <c r="K156" s="17">
        <v>0</v>
      </c>
      <c r="U156" s="17">
        <f>19944265+719635</f>
        <v>20663900</v>
      </c>
      <c r="W156" s="17">
        <v>3884810</v>
      </c>
      <c r="Y156" s="17">
        <f t="shared" ref="Y156" si="72">U156+W156</f>
        <v>24548710</v>
      </c>
      <c r="AA156" s="17">
        <f t="shared" ref="AA156" si="73">+H156-P156-X156</f>
        <v>0</v>
      </c>
      <c r="AB156" s="33"/>
      <c r="AC156" s="33">
        <f t="shared" ref="AC156" si="74">+D156+F156+-J156-L156-R156-T156-V156-N156</f>
        <v>0</v>
      </c>
    </row>
    <row r="157" spans="1:35" x14ac:dyDescent="0.2">
      <c r="A157" s="12" t="s">
        <v>239</v>
      </c>
      <c r="B157" s="12"/>
      <c r="C157" s="12" t="s">
        <v>191</v>
      </c>
      <c r="D157" s="30"/>
      <c r="E157" s="17">
        <v>220136</v>
      </c>
      <c r="G157" s="17">
        <v>0</v>
      </c>
      <c r="I157" s="17">
        <f>E157+G157</f>
        <v>220136</v>
      </c>
      <c r="K157" s="17">
        <v>0</v>
      </c>
      <c r="U157" s="17">
        <v>0</v>
      </c>
      <c r="W157" s="17">
        <v>220136</v>
      </c>
      <c r="Y157" s="17">
        <f t="shared" ref="Y157" si="75">U157+W157</f>
        <v>220136</v>
      </c>
      <c r="AA157" s="17">
        <f t="shared" ref="AA157" si="76">+H157-P157-X157</f>
        <v>0</v>
      </c>
      <c r="AB157" s="33"/>
      <c r="AC157" s="33">
        <f t="shared" ref="AC157" si="77">+D157+F157+-J157-L157-R157-T157-V157-N157</f>
        <v>0</v>
      </c>
    </row>
    <row r="158" spans="1:35" hidden="1" x14ac:dyDescent="0.2">
      <c r="A158" s="12" t="s">
        <v>383</v>
      </c>
      <c r="B158" s="15"/>
      <c r="C158" s="15" t="s">
        <v>59</v>
      </c>
      <c r="D158" s="30"/>
      <c r="E158" s="17">
        <f t="shared" si="41"/>
        <v>0</v>
      </c>
      <c r="K158" s="17">
        <f t="shared" si="55"/>
        <v>0</v>
      </c>
      <c r="U158" s="17">
        <v>0</v>
      </c>
      <c r="W158" s="17">
        <v>0</v>
      </c>
      <c r="Y158" s="17">
        <f t="shared" si="29"/>
        <v>0</v>
      </c>
      <c r="AA158" s="17">
        <f t="shared" si="35"/>
        <v>0</v>
      </c>
      <c r="AB158" s="33"/>
      <c r="AC158" s="33">
        <f t="shared" si="36"/>
        <v>0</v>
      </c>
    </row>
    <row r="159" spans="1:35" hidden="1" x14ac:dyDescent="0.2">
      <c r="A159" s="4" t="s">
        <v>383</v>
      </c>
      <c r="B159" s="4"/>
      <c r="C159" s="4" t="s">
        <v>59</v>
      </c>
      <c r="D159" s="30"/>
      <c r="E159" s="17">
        <f t="shared" si="41"/>
        <v>0</v>
      </c>
      <c r="K159" s="17">
        <f t="shared" si="55"/>
        <v>0</v>
      </c>
      <c r="U159" s="17">
        <v>0</v>
      </c>
      <c r="W159" s="17">
        <v>0</v>
      </c>
      <c r="Y159" s="17">
        <f t="shared" si="29"/>
        <v>0</v>
      </c>
      <c r="AA159" s="17">
        <f t="shared" si="35"/>
        <v>0</v>
      </c>
      <c r="AB159" s="33"/>
      <c r="AC159" s="33">
        <f t="shared" si="36"/>
        <v>0</v>
      </c>
    </row>
    <row r="160" spans="1:35" hidden="1" x14ac:dyDescent="0.2">
      <c r="A160" s="15" t="s">
        <v>240</v>
      </c>
      <c r="B160" s="15"/>
      <c r="C160" s="15" t="s">
        <v>165</v>
      </c>
      <c r="D160" s="30"/>
      <c r="E160" s="17">
        <f t="shared" si="41"/>
        <v>0</v>
      </c>
      <c r="K160" s="17">
        <f t="shared" si="55"/>
        <v>0</v>
      </c>
      <c r="U160" s="17">
        <v>0</v>
      </c>
      <c r="W160" s="17">
        <v>0</v>
      </c>
      <c r="Y160" s="17">
        <f t="shared" ref="Y160:Y210" si="78">U160+W160</f>
        <v>0</v>
      </c>
      <c r="AA160" s="17">
        <f t="shared" si="35"/>
        <v>0</v>
      </c>
      <c r="AB160" s="33"/>
      <c r="AC160" s="33">
        <f t="shared" si="36"/>
        <v>0</v>
      </c>
    </row>
    <row r="161" spans="1:35" hidden="1" x14ac:dyDescent="0.2">
      <c r="A161" s="4" t="s">
        <v>240</v>
      </c>
      <c r="B161" s="4"/>
      <c r="C161" s="4" t="s">
        <v>165</v>
      </c>
      <c r="D161" s="30"/>
      <c r="E161" s="17">
        <f t="shared" si="41"/>
        <v>0</v>
      </c>
      <c r="K161" s="17">
        <f t="shared" si="55"/>
        <v>0</v>
      </c>
      <c r="U161" s="17">
        <v>0</v>
      </c>
      <c r="W161" s="17">
        <v>0</v>
      </c>
      <c r="Y161" s="17">
        <f t="shared" si="78"/>
        <v>0</v>
      </c>
      <c r="AA161" s="17">
        <f t="shared" si="35"/>
        <v>0</v>
      </c>
      <c r="AB161" s="33"/>
      <c r="AC161" s="33">
        <f t="shared" si="36"/>
        <v>0</v>
      </c>
    </row>
    <row r="162" spans="1:35" hidden="1" x14ac:dyDescent="0.2">
      <c r="A162" s="12" t="s">
        <v>384</v>
      </c>
      <c r="B162" s="15"/>
      <c r="C162" s="15" t="s">
        <v>41</v>
      </c>
      <c r="D162" s="30"/>
      <c r="E162" s="17">
        <f t="shared" si="41"/>
        <v>0</v>
      </c>
      <c r="K162" s="17">
        <f t="shared" si="55"/>
        <v>0</v>
      </c>
      <c r="U162" s="17">
        <v>0</v>
      </c>
      <c r="W162" s="17">
        <v>0</v>
      </c>
      <c r="Y162" s="17">
        <f t="shared" si="78"/>
        <v>0</v>
      </c>
      <c r="AA162" s="17">
        <f t="shared" si="35"/>
        <v>0</v>
      </c>
      <c r="AB162" s="33"/>
      <c r="AC162" s="33">
        <f t="shared" si="36"/>
        <v>0</v>
      </c>
    </row>
    <row r="163" spans="1:35" hidden="1" x14ac:dyDescent="0.2">
      <c r="A163" s="12" t="s">
        <v>385</v>
      </c>
      <c r="B163" s="15"/>
      <c r="C163" s="15" t="s">
        <v>48</v>
      </c>
      <c r="D163" s="30"/>
      <c r="E163" s="17">
        <f t="shared" si="41"/>
        <v>0</v>
      </c>
      <c r="K163" s="17">
        <f t="shared" si="55"/>
        <v>0</v>
      </c>
      <c r="U163" s="17">
        <v>0</v>
      </c>
      <c r="W163" s="17">
        <v>0</v>
      </c>
      <c r="Y163" s="17">
        <f t="shared" si="78"/>
        <v>0</v>
      </c>
      <c r="Z163" s="33"/>
      <c r="AA163" s="17">
        <f t="shared" si="35"/>
        <v>0</v>
      </c>
      <c r="AB163" s="33"/>
      <c r="AC163" s="33">
        <f t="shared" si="36"/>
        <v>0</v>
      </c>
      <c r="AD163" s="33"/>
      <c r="AE163" s="33"/>
      <c r="AF163" s="33"/>
      <c r="AG163" s="33"/>
      <c r="AH163" s="33"/>
      <c r="AI163" s="33"/>
    </row>
    <row r="164" spans="1:35" hidden="1" x14ac:dyDescent="0.2">
      <c r="A164" s="7" t="s">
        <v>508</v>
      </c>
      <c r="B164" s="7"/>
      <c r="C164" s="7" t="s">
        <v>48</v>
      </c>
      <c r="D164" s="34"/>
      <c r="E164" s="17">
        <f t="shared" si="41"/>
        <v>0</v>
      </c>
      <c r="K164" s="17">
        <f t="shared" si="55"/>
        <v>0</v>
      </c>
      <c r="U164" s="17">
        <v>0</v>
      </c>
      <c r="W164" s="17">
        <v>0</v>
      </c>
      <c r="Y164" s="17">
        <f t="shared" si="78"/>
        <v>0</v>
      </c>
      <c r="AA164" s="17">
        <f t="shared" si="35"/>
        <v>0</v>
      </c>
      <c r="AB164" s="33"/>
      <c r="AC164" s="33">
        <f t="shared" si="36"/>
        <v>0</v>
      </c>
    </row>
    <row r="165" spans="1:35" x14ac:dyDescent="0.2">
      <c r="A165" s="12" t="s">
        <v>242</v>
      </c>
      <c r="B165" s="12"/>
      <c r="C165" s="12" t="s">
        <v>17</v>
      </c>
      <c r="D165" s="30"/>
      <c r="E165" s="17">
        <v>5868548</v>
      </c>
      <c r="G165" s="17">
        <v>0</v>
      </c>
      <c r="I165" s="17">
        <f>E165+G165</f>
        <v>5868548</v>
      </c>
      <c r="K165" s="17">
        <v>0</v>
      </c>
      <c r="U165" s="17">
        <f>485980+261133</f>
        <v>747113</v>
      </c>
      <c r="W165" s="17">
        <v>5121435</v>
      </c>
      <c r="Y165" s="17">
        <f t="shared" si="78"/>
        <v>5868548</v>
      </c>
      <c r="AA165" s="17">
        <f t="shared" si="35"/>
        <v>0</v>
      </c>
      <c r="AB165" s="33"/>
      <c r="AC165" s="33">
        <f t="shared" si="36"/>
        <v>0</v>
      </c>
    </row>
    <row r="166" spans="1:35" s="78" customFormat="1" hidden="1" x14ac:dyDescent="0.2">
      <c r="A166" s="76" t="s">
        <v>243</v>
      </c>
      <c r="B166" s="76"/>
      <c r="C166" s="76" t="s">
        <v>23</v>
      </c>
      <c r="D166" s="77"/>
      <c r="E166" s="78">
        <v>1399471</v>
      </c>
      <c r="G166" s="78">
        <v>0</v>
      </c>
      <c r="I166" s="78">
        <f>E166+G166</f>
        <v>1399471</v>
      </c>
      <c r="K166" s="78">
        <v>0</v>
      </c>
      <c r="U166" s="78">
        <f>148171+790715</f>
        <v>938886</v>
      </c>
      <c r="W166" s="78">
        <f>475622</f>
        <v>475622</v>
      </c>
      <c r="Y166" s="78">
        <f t="shared" ref="Y166" si="79">U166+W166</f>
        <v>1414508</v>
      </c>
      <c r="AA166" s="78">
        <f t="shared" ref="AA166" si="80">+H166-P166-X166</f>
        <v>0</v>
      </c>
      <c r="AB166" s="79"/>
      <c r="AC166" s="79">
        <f t="shared" ref="AC166" si="81">+D166+F166+-J166-L166-R166-T166-V166-N166</f>
        <v>0</v>
      </c>
    </row>
    <row r="167" spans="1:35" x14ac:dyDescent="0.2">
      <c r="A167" s="12" t="s">
        <v>244</v>
      </c>
      <c r="B167" s="12"/>
      <c r="C167" s="12" t="s">
        <v>63</v>
      </c>
      <c r="D167" s="30"/>
      <c r="E167" s="17">
        <v>1182425</v>
      </c>
      <c r="G167" s="17">
        <v>0</v>
      </c>
      <c r="I167" s="17">
        <f>E167+G167</f>
        <v>1182425</v>
      </c>
      <c r="K167" s="17">
        <v>0</v>
      </c>
      <c r="U167" s="17">
        <v>0</v>
      </c>
      <c r="W167" s="17">
        <v>1182425</v>
      </c>
      <c r="Y167" s="17">
        <f t="shared" ref="Y167" si="82">U167+W167</f>
        <v>1182425</v>
      </c>
      <c r="AA167" s="17">
        <f t="shared" ref="AA167" si="83">+H167-P167-X167</f>
        <v>0</v>
      </c>
      <c r="AB167" s="33"/>
      <c r="AC167" s="33">
        <f t="shared" ref="AC167" si="84">+D167+F167+-J167-L167-R167-T167-V167-N167</f>
        <v>0</v>
      </c>
    </row>
    <row r="168" spans="1:35" hidden="1" x14ac:dyDescent="0.2">
      <c r="A168" s="12" t="s">
        <v>386</v>
      </c>
      <c r="B168" s="15"/>
      <c r="C168" s="15" t="s">
        <v>60</v>
      </c>
      <c r="D168" s="31"/>
      <c r="E168" s="17">
        <f t="shared" si="41"/>
        <v>0</v>
      </c>
      <c r="K168" s="17">
        <f t="shared" si="55"/>
        <v>0</v>
      </c>
      <c r="U168" s="17">
        <v>0</v>
      </c>
      <c r="W168" s="17">
        <v>0</v>
      </c>
      <c r="Y168" s="17">
        <f t="shared" si="78"/>
        <v>0</v>
      </c>
      <c r="AA168" s="17">
        <f t="shared" si="35"/>
        <v>0</v>
      </c>
      <c r="AB168" s="33"/>
      <c r="AC168" s="33">
        <f t="shared" si="36"/>
        <v>0</v>
      </c>
    </row>
    <row r="169" spans="1:35" hidden="1" x14ac:dyDescent="0.2">
      <c r="A169" s="4" t="s">
        <v>511</v>
      </c>
      <c r="B169" s="4"/>
      <c r="C169" s="4" t="s">
        <v>60</v>
      </c>
      <c r="D169" s="34"/>
      <c r="E169" s="17">
        <f t="shared" si="41"/>
        <v>0</v>
      </c>
      <c r="K169" s="17">
        <f t="shared" si="55"/>
        <v>0</v>
      </c>
      <c r="U169" s="17">
        <v>0</v>
      </c>
      <c r="W169" s="17">
        <v>0</v>
      </c>
      <c r="Y169" s="17">
        <f t="shared" si="78"/>
        <v>0</v>
      </c>
      <c r="AA169" s="17">
        <f t="shared" si="35"/>
        <v>0</v>
      </c>
      <c r="AB169" s="33"/>
      <c r="AC169" s="33">
        <f t="shared" si="36"/>
        <v>0</v>
      </c>
    </row>
    <row r="170" spans="1:35" x14ac:dyDescent="0.2">
      <c r="A170" s="12" t="s">
        <v>246</v>
      </c>
      <c r="B170" s="12"/>
      <c r="C170" s="12" t="s">
        <v>49</v>
      </c>
      <c r="D170" s="30"/>
      <c r="E170" s="17">
        <v>997862</v>
      </c>
      <c r="G170" s="17">
        <v>0</v>
      </c>
      <c r="I170" s="17">
        <f>E170+G170</f>
        <v>997862</v>
      </c>
      <c r="K170" s="17">
        <v>0</v>
      </c>
      <c r="U170" s="17">
        <f>31067+440594+5724</f>
        <v>477385</v>
      </c>
      <c r="W170" s="17">
        <v>520477</v>
      </c>
      <c r="Y170" s="17">
        <f t="shared" si="78"/>
        <v>997862</v>
      </c>
      <c r="AA170" s="17">
        <f t="shared" si="35"/>
        <v>0</v>
      </c>
      <c r="AB170" s="33"/>
      <c r="AC170" s="33">
        <f t="shared" si="36"/>
        <v>0</v>
      </c>
    </row>
    <row r="171" spans="1:35" x14ac:dyDescent="0.2">
      <c r="A171" s="12" t="s">
        <v>247</v>
      </c>
      <c r="B171" s="12"/>
      <c r="C171" s="12" t="s">
        <v>52</v>
      </c>
      <c r="D171" s="30"/>
      <c r="E171" s="17">
        <v>1142742</v>
      </c>
      <c r="G171" s="17">
        <v>0</v>
      </c>
      <c r="I171" s="17">
        <f>E171+G171</f>
        <v>1142742</v>
      </c>
      <c r="K171" s="17">
        <v>0</v>
      </c>
      <c r="U171" s="17">
        <v>455</v>
      </c>
      <c r="W171" s="17">
        <v>1142287</v>
      </c>
      <c r="Y171" s="17">
        <f t="shared" ref="Y171" si="85">U171+W171</f>
        <v>1142742</v>
      </c>
      <c r="AA171" s="17">
        <f t="shared" ref="AA171" si="86">+H171-P171-X171</f>
        <v>0</v>
      </c>
      <c r="AB171" s="33"/>
      <c r="AC171" s="33">
        <f t="shared" ref="AC171" si="87">+D171+F171+-J171-L171-R171-T171-V171-N171</f>
        <v>0</v>
      </c>
    </row>
    <row r="172" spans="1:35" x14ac:dyDescent="0.2">
      <c r="A172" s="12" t="s">
        <v>313</v>
      </c>
      <c r="B172" s="12"/>
      <c r="C172" s="12" t="s">
        <v>165</v>
      </c>
      <c r="D172" s="30"/>
      <c r="E172" s="17">
        <v>2966068</v>
      </c>
      <c r="G172" s="17">
        <v>0</v>
      </c>
      <c r="I172" s="17">
        <f>E172+G172</f>
        <v>2966068</v>
      </c>
      <c r="K172" s="17">
        <v>0</v>
      </c>
      <c r="U172" s="17">
        <f>876689+402290+34052</f>
        <v>1313031</v>
      </c>
      <c r="W172" s="17">
        <v>1653038</v>
      </c>
      <c r="Y172" s="17">
        <f t="shared" ref="Y172" si="88">U172+W172</f>
        <v>2966069</v>
      </c>
      <c r="AA172" s="17">
        <f t="shared" ref="AA172" si="89">+H172-P172-X172</f>
        <v>0</v>
      </c>
      <c r="AB172" s="33"/>
      <c r="AC172" s="33">
        <f t="shared" ref="AC172" si="90">+D172+F172+-J172-L172-R172-T172-V172-N172</f>
        <v>0</v>
      </c>
    </row>
    <row r="173" spans="1:35" hidden="1" x14ac:dyDescent="0.2">
      <c r="A173" s="12" t="s">
        <v>387</v>
      </c>
      <c r="B173" s="15"/>
      <c r="C173" s="15" t="s">
        <v>66</v>
      </c>
      <c r="D173" s="30"/>
      <c r="E173" s="17">
        <f t="shared" si="41"/>
        <v>0</v>
      </c>
      <c r="K173" s="17">
        <f t="shared" si="55"/>
        <v>0</v>
      </c>
      <c r="U173" s="17">
        <v>0</v>
      </c>
      <c r="W173" s="17">
        <v>0</v>
      </c>
      <c r="Y173" s="17">
        <f t="shared" si="78"/>
        <v>0</v>
      </c>
      <c r="AA173" s="17">
        <f t="shared" si="35"/>
        <v>0</v>
      </c>
      <c r="AB173" s="33"/>
      <c r="AC173" s="33">
        <f t="shared" si="36"/>
        <v>0</v>
      </c>
    </row>
    <row r="174" spans="1:35" s="33" customFormat="1" hidden="1" x14ac:dyDescent="0.2">
      <c r="A174" s="4" t="s">
        <v>387</v>
      </c>
      <c r="B174" s="4"/>
      <c r="C174" s="4" t="s">
        <v>66</v>
      </c>
      <c r="D174" s="34"/>
      <c r="E174" s="17">
        <f t="shared" si="41"/>
        <v>0</v>
      </c>
      <c r="F174" s="17"/>
      <c r="G174" s="17"/>
      <c r="H174" s="17"/>
      <c r="I174" s="17"/>
      <c r="J174" s="17"/>
      <c r="K174" s="17">
        <f t="shared" si="55"/>
        <v>0</v>
      </c>
      <c r="L174" s="17"/>
      <c r="M174" s="17"/>
      <c r="N174" s="17"/>
      <c r="O174" s="17"/>
      <c r="P174" s="17"/>
      <c r="Q174" s="17"/>
      <c r="R174" s="17"/>
      <c r="S174" s="17"/>
      <c r="T174" s="17"/>
      <c r="U174" s="17">
        <v>0</v>
      </c>
      <c r="V174" s="17"/>
      <c r="W174" s="17">
        <v>0</v>
      </c>
      <c r="X174" s="17"/>
      <c r="Y174" s="17">
        <f t="shared" si="78"/>
        <v>0</v>
      </c>
      <c r="Z174" s="17"/>
      <c r="AA174" s="17">
        <f t="shared" ref="AA174:AA211" si="91">+H174-P174-X174</f>
        <v>0</v>
      </c>
      <c r="AC174" s="33">
        <f t="shared" ref="AC174:AC211" si="92">+D174+F174+-J174-L174-R174-T174-V174-N174</f>
        <v>0</v>
      </c>
      <c r="AD174" s="17"/>
      <c r="AE174" s="17"/>
      <c r="AF174" s="17"/>
      <c r="AG174" s="17"/>
      <c r="AH174" s="17"/>
      <c r="AI174" s="17"/>
    </row>
    <row r="175" spans="1:35" hidden="1" x14ac:dyDescent="0.2">
      <c r="A175" s="12" t="s">
        <v>388</v>
      </c>
      <c r="B175" s="15"/>
      <c r="C175" s="15" t="s">
        <v>43</v>
      </c>
      <c r="D175" s="30"/>
      <c r="E175" s="17">
        <f t="shared" si="41"/>
        <v>0</v>
      </c>
      <c r="K175" s="17">
        <f t="shared" si="55"/>
        <v>0</v>
      </c>
      <c r="U175" s="17">
        <v>0</v>
      </c>
      <c r="W175" s="17">
        <v>0</v>
      </c>
      <c r="Y175" s="17">
        <f t="shared" si="78"/>
        <v>0</v>
      </c>
      <c r="AA175" s="17">
        <f t="shared" si="91"/>
        <v>0</v>
      </c>
      <c r="AB175" s="33"/>
      <c r="AC175" s="33">
        <f t="shared" si="92"/>
        <v>0</v>
      </c>
    </row>
    <row r="176" spans="1:35" x14ac:dyDescent="0.2">
      <c r="A176" s="12" t="s">
        <v>650</v>
      </c>
      <c r="B176" s="12"/>
      <c r="C176" s="12" t="s">
        <v>76</v>
      </c>
      <c r="D176" s="30"/>
      <c r="E176" s="17">
        <v>3659314</v>
      </c>
      <c r="G176" s="17">
        <v>0</v>
      </c>
      <c r="I176" s="17">
        <f>E176+G176</f>
        <v>3659314</v>
      </c>
      <c r="K176" s="17">
        <v>0</v>
      </c>
      <c r="U176" s="17">
        <f>930402+539384</f>
        <v>1469786</v>
      </c>
      <c r="W176" s="17">
        <v>2189528</v>
      </c>
      <c r="Y176" s="17">
        <f t="shared" si="78"/>
        <v>3659314</v>
      </c>
      <c r="AA176" s="17">
        <f t="shared" si="91"/>
        <v>0</v>
      </c>
      <c r="AB176" s="33"/>
      <c r="AC176" s="33">
        <f t="shared" si="92"/>
        <v>0</v>
      </c>
    </row>
    <row r="177" spans="1:29" x14ac:dyDescent="0.2">
      <c r="A177" s="12" t="s">
        <v>438</v>
      </c>
      <c r="B177" s="12"/>
      <c r="C177" s="12" t="s">
        <v>168</v>
      </c>
      <c r="D177" s="30"/>
      <c r="E177" s="17">
        <v>108151</v>
      </c>
      <c r="G177" s="17">
        <v>0</v>
      </c>
      <c r="I177" s="17">
        <f>E177+G177</f>
        <v>108151</v>
      </c>
      <c r="K177" s="17">
        <v>0</v>
      </c>
      <c r="U177" s="17">
        <f>5583+265+1659</f>
        <v>7507</v>
      </c>
      <c r="W177" s="17">
        <v>100644</v>
      </c>
      <c r="Y177" s="17">
        <f t="shared" ref="Y177" si="93">U177+W177</f>
        <v>108151</v>
      </c>
      <c r="AA177" s="17">
        <f t="shared" ref="AA177" si="94">+H177-P177-X177</f>
        <v>0</v>
      </c>
      <c r="AB177" s="33"/>
      <c r="AC177" s="33">
        <f t="shared" ref="AC177" si="95">+D177+F177+-J177-L177-R177-T177-V177-N177</f>
        <v>0</v>
      </c>
    </row>
    <row r="178" spans="1:29" x14ac:dyDescent="0.2">
      <c r="A178" s="12" t="s">
        <v>252</v>
      </c>
      <c r="B178" s="12"/>
      <c r="C178" s="12" t="s">
        <v>90</v>
      </c>
      <c r="D178" s="30"/>
      <c r="E178" s="17">
        <v>3406883</v>
      </c>
      <c r="G178" s="17">
        <v>0</v>
      </c>
      <c r="I178" s="17">
        <f>E178+G178</f>
        <v>3406883</v>
      </c>
      <c r="K178" s="17">
        <v>0</v>
      </c>
      <c r="U178" s="17">
        <v>1845800</v>
      </c>
      <c r="W178" s="17">
        <v>1561083</v>
      </c>
      <c r="Y178" s="17">
        <f t="shared" ref="Y178" si="96">U178+W178</f>
        <v>3406883</v>
      </c>
      <c r="AA178" s="17">
        <f t="shared" ref="AA178" si="97">+H178-P178-X178</f>
        <v>0</v>
      </c>
      <c r="AB178" s="33"/>
      <c r="AC178" s="33">
        <f t="shared" ref="AC178" si="98">+D178+F178+-J178-L178-R178-T178-V178-N178</f>
        <v>0</v>
      </c>
    </row>
    <row r="179" spans="1:29" hidden="1" x14ac:dyDescent="0.2">
      <c r="A179" s="12" t="s">
        <v>389</v>
      </c>
      <c r="B179" s="15"/>
      <c r="C179" s="15" t="s">
        <v>42</v>
      </c>
      <c r="D179" s="30"/>
      <c r="E179" s="17">
        <f t="shared" si="41"/>
        <v>0</v>
      </c>
      <c r="K179" s="17">
        <f t="shared" si="55"/>
        <v>0</v>
      </c>
      <c r="U179" s="17">
        <v>0</v>
      </c>
      <c r="W179" s="17">
        <v>0</v>
      </c>
      <c r="Y179" s="17">
        <f t="shared" si="78"/>
        <v>0</v>
      </c>
      <c r="AA179" s="17">
        <f t="shared" si="91"/>
        <v>0</v>
      </c>
      <c r="AB179" s="33"/>
      <c r="AC179" s="33">
        <f t="shared" si="92"/>
        <v>0</v>
      </c>
    </row>
    <row r="180" spans="1:29" hidden="1" x14ac:dyDescent="0.2">
      <c r="A180" s="4" t="s">
        <v>538</v>
      </c>
      <c r="B180" s="4"/>
      <c r="C180" s="4" t="s">
        <v>42</v>
      </c>
      <c r="D180" s="34"/>
      <c r="E180" s="17">
        <f t="shared" si="41"/>
        <v>0</v>
      </c>
      <c r="K180" s="17">
        <f t="shared" si="55"/>
        <v>0</v>
      </c>
      <c r="U180" s="17">
        <v>0</v>
      </c>
      <c r="W180" s="17">
        <v>0</v>
      </c>
      <c r="Y180" s="17">
        <f t="shared" si="78"/>
        <v>0</v>
      </c>
      <c r="AA180" s="17">
        <f t="shared" si="91"/>
        <v>0</v>
      </c>
      <c r="AB180" s="33"/>
      <c r="AC180" s="33">
        <f t="shared" si="92"/>
        <v>0</v>
      </c>
    </row>
    <row r="181" spans="1:29" hidden="1" x14ac:dyDescent="0.2">
      <c r="A181" s="12" t="s">
        <v>390</v>
      </c>
      <c r="B181" s="15"/>
      <c r="C181" s="15" t="s">
        <v>11</v>
      </c>
      <c r="D181" s="30"/>
      <c r="E181" s="17">
        <f t="shared" si="41"/>
        <v>0</v>
      </c>
      <c r="K181" s="17">
        <f t="shared" si="55"/>
        <v>0</v>
      </c>
      <c r="U181" s="17">
        <v>0</v>
      </c>
      <c r="W181" s="17">
        <v>0</v>
      </c>
      <c r="Y181" s="17">
        <f t="shared" si="78"/>
        <v>0</v>
      </c>
      <c r="AA181" s="17">
        <f t="shared" si="91"/>
        <v>0</v>
      </c>
      <c r="AB181" s="33"/>
      <c r="AC181" s="33">
        <f t="shared" si="92"/>
        <v>0</v>
      </c>
    </row>
    <row r="182" spans="1:29" hidden="1" x14ac:dyDescent="0.2">
      <c r="A182" s="4" t="s">
        <v>390</v>
      </c>
      <c r="B182" s="4"/>
      <c r="C182" s="4" t="s">
        <v>11</v>
      </c>
      <c r="D182" s="34"/>
      <c r="E182" s="17">
        <f t="shared" ref="E182:E211" si="99">+I182-G182</f>
        <v>0</v>
      </c>
      <c r="K182" s="17">
        <f t="shared" si="55"/>
        <v>0</v>
      </c>
      <c r="U182" s="17">
        <v>0</v>
      </c>
      <c r="W182" s="17">
        <v>0</v>
      </c>
      <c r="Y182" s="17">
        <f t="shared" si="78"/>
        <v>0</v>
      </c>
      <c r="AA182" s="17">
        <f t="shared" si="91"/>
        <v>0</v>
      </c>
      <c r="AB182" s="33"/>
      <c r="AC182" s="33">
        <f t="shared" si="92"/>
        <v>0</v>
      </c>
    </row>
    <row r="183" spans="1:29" x14ac:dyDescent="0.2">
      <c r="A183" s="12" t="s">
        <v>253</v>
      </c>
      <c r="B183" s="15"/>
      <c r="C183" s="15" t="s">
        <v>23</v>
      </c>
      <c r="D183" s="34"/>
      <c r="E183" s="17">
        <v>2476060</v>
      </c>
      <c r="G183" s="17">
        <v>0</v>
      </c>
      <c r="I183" s="17">
        <f>E183+G183</f>
        <v>2476060</v>
      </c>
      <c r="K183" s="17">
        <f t="shared" si="55"/>
        <v>0</v>
      </c>
      <c r="U183" s="17">
        <f>1381722+125329</f>
        <v>1507051</v>
      </c>
      <c r="W183" s="17">
        <v>969010</v>
      </c>
      <c r="Y183" s="17">
        <f t="shared" si="78"/>
        <v>2476061</v>
      </c>
      <c r="AA183" s="17">
        <f t="shared" si="91"/>
        <v>0</v>
      </c>
      <c r="AB183" s="33"/>
      <c r="AC183" s="33">
        <f t="shared" si="92"/>
        <v>0</v>
      </c>
    </row>
    <row r="184" spans="1:29" x14ac:dyDescent="0.2">
      <c r="A184" s="12" t="s">
        <v>256</v>
      </c>
      <c r="B184" s="12"/>
      <c r="C184" s="12" t="s">
        <v>20</v>
      </c>
      <c r="D184" s="34"/>
      <c r="E184" s="17">
        <v>1267813</v>
      </c>
      <c r="G184" s="17">
        <v>0</v>
      </c>
      <c r="I184" s="17">
        <f>E184+G184</f>
        <v>1267813</v>
      </c>
      <c r="K184" s="17">
        <f t="shared" si="55"/>
        <v>0</v>
      </c>
      <c r="U184" s="17">
        <v>194988</v>
      </c>
      <c r="W184" s="17">
        <v>1072825</v>
      </c>
      <c r="Y184" s="17">
        <f t="shared" si="78"/>
        <v>1267813</v>
      </c>
      <c r="AA184" s="17">
        <f t="shared" si="91"/>
        <v>0</v>
      </c>
      <c r="AB184" s="33"/>
      <c r="AC184" s="33">
        <f t="shared" si="92"/>
        <v>0</v>
      </c>
    </row>
    <row r="185" spans="1:29" hidden="1" x14ac:dyDescent="0.2">
      <c r="A185" s="12" t="s">
        <v>391</v>
      </c>
      <c r="B185" s="15"/>
      <c r="C185" s="15" t="s">
        <v>40</v>
      </c>
      <c r="D185" s="30"/>
      <c r="E185" s="17">
        <f t="shared" si="99"/>
        <v>0</v>
      </c>
      <c r="K185" s="17">
        <f t="shared" si="55"/>
        <v>0</v>
      </c>
      <c r="U185" s="17">
        <v>0</v>
      </c>
      <c r="W185" s="17">
        <v>0</v>
      </c>
      <c r="Y185" s="17">
        <f t="shared" si="78"/>
        <v>0</v>
      </c>
      <c r="AA185" s="17">
        <f t="shared" si="91"/>
        <v>0</v>
      </c>
      <c r="AB185" s="33"/>
      <c r="AC185" s="33">
        <f t="shared" si="92"/>
        <v>0</v>
      </c>
    </row>
    <row r="186" spans="1:29" x14ac:dyDescent="0.2">
      <c r="A186" s="12" t="s">
        <v>439</v>
      </c>
      <c r="B186" s="12"/>
      <c r="C186" s="12" t="s">
        <v>51</v>
      </c>
      <c r="D186" s="34"/>
      <c r="E186" s="17">
        <v>626905</v>
      </c>
      <c r="G186" s="17">
        <v>0</v>
      </c>
      <c r="I186" s="17">
        <f t="shared" ref="I186:I196" si="100">E186+G186</f>
        <v>626905</v>
      </c>
      <c r="K186" s="17">
        <f t="shared" si="55"/>
        <v>0</v>
      </c>
      <c r="U186" s="17">
        <f>114858+10091+18890</f>
        <v>143839</v>
      </c>
      <c r="W186" s="17">
        <v>483066</v>
      </c>
      <c r="Y186" s="17">
        <f t="shared" si="78"/>
        <v>626905</v>
      </c>
      <c r="AA186" s="17">
        <f t="shared" si="91"/>
        <v>0</v>
      </c>
      <c r="AB186" s="33"/>
      <c r="AC186" s="33">
        <f t="shared" si="92"/>
        <v>0</v>
      </c>
    </row>
    <row r="187" spans="1:29" x14ac:dyDescent="0.2">
      <c r="A187" s="12" t="s">
        <v>261</v>
      </c>
      <c r="B187" s="12"/>
      <c r="C187" s="12" t="s">
        <v>316</v>
      </c>
      <c r="D187" s="34"/>
      <c r="E187" s="17">
        <v>10703409</v>
      </c>
      <c r="G187" s="17">
        <v>0</v>
      </c>
      <c r="I187" s="17">
        <f t="shared" si="100"/>
        <v>10703409</v>
      </c>
      <c r="K187" s="17">
        <v>0</v>
      </c>
      <c r="U187" s="17">
        <f>5430214+593694</f>
        <v>6023908</v>
      </c>
      <c r="W187" s="17">
        <v>4679501</v>
      </c>
      <c r="Y187" s="17">
        <f t="shared" si="78"/>
        <v>10703409</v>
      </c>
      <c r="AA187" s="17">
        <f t="shared" si="91"/>
        <v>0</v>
      </c>
      <c r="AB187" s="33"/>
      <c r="AC187" s="33">
        <f t="shared" si="92"/>
        <v>0</v>
      </c>
    </row>
    <row r="188" spans="1:29" x14ac:dyDescent="0.2">
      <c r="A188" s="12" t="s">
        <v>440</v>
      </c>
      <c r="B188" s="12"/>
      <c r="C188" s="12" t="s">
        <v>51</v>
      </c>
      <c r="D188" s="34"/>
      <c r="E188" s="17">
        <v>1533410</v>
      </c>
      <c r="G188" s="17">
        <v>0</v>
      </c>
      <c r="I188" s="17">
        <f t="shared" si="100"/>
        <v>1533410</v>
      </c>
      <c r="K188" s="17">
        <f t="shared" si="55"/>
        <v>0</v>
      </c>
      <c r="U188" s="17">
        <v>268228</v>
      </c>
      <c r="W188" s="17">
        <v>1265182</v>
      </c>
      <c r="Y188" s="17">
        <f t="shared" si="78"/>
        <v>1533410</v>
      </c>
      <c r="AA188" s="17">
        <f t="shared" si="91"/>
        <v>0</v>
      </c>
      <c r="AB188" s="33"/>
      <c r="AC188" s="33">
        <f t="shared" si="92"/>
        <v>0</v>
      </c>
    </row>
    <row r="189" spans="1:29" x14ac:dyDescent="0.2">
      <c r="A189" s="12" t="s">
        <v>263</v>
      </c>
      <c r="B189" s="12"/>
      <c r="C189" s="12" t="s">
        <v>24</v>
      </c>
      <c r="D189" s="34"/>
      <c r="E189" s="17">
        <v>613890</v>
      </c>
      <c r="G189" s="17">
        <v>0</v>
      </c>
      <c r="I189" s="17">
        <f t="shared" si="100"/>
        <v>613890</v>
      </c>
      <c r="K189" s="17">
        <f t="shared" si="55"/>
        <v>0</v>
      </c>
      <c r="U189" s="17">
        <f>175602+111753+82690</f>
        <v>370045</v>
      </c>
      <c r="W189" s="17">
        <v>243845</v>
      </c>
      <c r="Y189" s="17">
        <f t="shared" si="78"/>
        <v>613890</v>
      </c>
      <c r="AA189" s="17">
        <f t="shared" si="91"/>
        <v>0</v>
      </c>
      <c r="AB189" s="33"/>
      <c r="AC189" s="33">
        <f t="shared" si="92"/>
        <v>0</v>
      </c>
    </row>
    <row r="190" spans="1:29" x14ac:dyDescent="0.2">
      <c r="A190" s="12" t="s">
        <v>317</v>
      </c>
      <c r="B190" s="12"/>
      <c r="C190" s="12" t="s">
        <v>20</v>
      </c>
      <c r="D190" s="34"/>
      <c r="E190" s="17">
        <v>1336135</v>
      </c>
      <c r="G190" s="17">
        <v>0</v>
      </c>
      <c r="I190" s="17">
        <f t="shared" si="100"/>
        <v>1336135</v>
      </c>
      <c r="K190" s="17">
        <f t="shared" si="55"/>
        <v>0</v>
      </c>
      <c r="U190" s="17">
        <f>292791+106320</f>
        <v>399111</v>
      </c>
      <c r="W190" s="17">
        <v>937024</v>
      </c>
      <c r="Y190" s="17">
        <f t="shared" si="78"/>
        <v>1336135</v>
      </c>
      <c r="AA190" s="17">
        <f t="shared" si="91"/>
        <v>0</v>
      </c>
      <c r="AB190" s="33"/>
      <c r="AC190" s="33">
        <f t="shared" si="92"/>
        <v>0</v>
      </c>
    </row>
    <row r="191" spans="1:29" x14ac:dyDescent="0.2">
      <c r="A191" s="12" t="s">
        <v>264</v>
      </c>
      <c r="B191" s="12"/>
      <c r="C191" s="12" t="s">
        <v>45</v>
      </c>
      <c r="D191" s="34"/>
      <c r="E191" s="17">
        <v>131926</v>
      </c>
      <c r="G191" s="17">
        <v>0</v>
      </c>
      <c r="I191" s="17">
        <f t="shared" si="100"/>
        <v>131926</v>
      </c>
      <c r="K191" s="17">
        <f t="shared" ref="K191" si="101">+Q191-M191-O191</f>
        <v>0</v>
      </c>
      <c r="U191" s="17">
        <v>0</v>
      </c>
      <c r="W191" s="17">
        <v>131926</v>
      </c>
      <c r="Y191" s="17">
        <f t="shared" ref="Y191" si="102">U191+W191</f>
        <v>131926</v>
      </c>
      <c r="AA191" s="17">
        <f t="shared" ref="AA191" si="103">+H191-P191-X191</f>
        <v>0</v>
      </c>
      <c r="AB191" s="33"/>
      <c r="AC191" s="33">
        <f t="shared" ref="AC191" si="104">+D191+F191+-J191-L191-R191-T191-V191-N191</f>
        <v>0</v>
      </c>
    </row>
    <row r="192" spans="1:29" x14ac:dyDescent="0.2">
      <c r="A192" s="12" t="s">
        <v>265</v>
      </c>
      <c r="B192" s="12"/>
      <c r="C192" s="12" t="s">
        <v>90</v>
      </c>
      <c r="D192" s="34"/>
      <c r="E192" s="17">
        <v>5319625</v>
      </c>
      <c r="G192" s="17">
        <v>0</v>
      </c>
      <c r="I192" s="17">
        <f t="shared" si="100"/>
        <v>5319625</v>
      </c>
      <c r="K192" s="17">
        <f t="shared" ref="K192" si="105">+Q192-M192-O192</f>
        <v>0</v>
      </c>
      <c r="U192" s="17">
        <f>294229+2510056</f>
        <v>2804285</v>
      </c>
      <c r="W192" s="17">
        <v>2515340</v>
      </c>
      <c r="Y192" s="17">
        <f t="shared" ref="Y192" si="106">U192+W192</f>
        <v>5319625</v>
      </c>
      <c r="AA192" s="17">
        <f t="shared" ref="AA192" si="107">+H192-P192-X192</f>
        <v>0</v>
      </c>
      <c r="AB192" s="33"/>
      <c r="AC192" s="33">
        <f t="shared" ref="AC192" si="108">+D192+F192+-J192-L192-R192-T192-V192-N192</f>
        <v>0</v>
      </c>
    </row>
    <row r="193" spans="1:29" x14ac:dyDescent="0.2">
      <c r="A193" s="12" t="s">
        <v>606</v>
      </c>
      <c r="B193" s="12"/>
      <c r="C193" s="12" t="s">
        <v>65</v>
      </c>
      <c r="D193" s="34"/>
      <c r="E193" s="17">
        <v>45443</v>
      </c>
      <c r="G193" s="17">
        <v>0</v>
      </c>
      <c r="I193" s="17">
        <f t="shared" si="100"/>
        <v>45443</v>
      </c>
      <c r="K193" s="17">
        <f t="shared" ref="K193" si="109">+Q193-M193-O193</f>
        <v>0</v>
      </c>
      <c r="U193" s="17">
        <v>0</v>
      </c>
      <c r="W193" s="17">
        <v>45443</v>
      </c>
      <c r="Y193" s="17">
        <f t="shared" ref="Y193" si="110">U193+W193</f>
        <v>45443</v>
      </c>
      <c r="AA193" s="17">
        <f t="shared" ref="AA193" si="111">+H193-P193-X193</f>
        <v>0</v>
      </c>
      <c r="AB193" s="33"/>
      <c r="AC193" s="33">
        <f t="shared" ref="AC193" si="112">+D193+F193+-J193-L193-R193-T193-V193-N193</f>
        <v>0</v>
      </c>
    </row>
    <row r="194" spans="1:29" x14ac:dyDescent="0.2">
      <c r="A194" s="12" t="s">
        <v>596</v>
      </c>
      <c r="B194" s="12"/>
      <c r="C194" s="12" t="s">
        <v>54</v>
      </c>
      <c r="D194" s="34"/>
      <c r="E194" s="17">
        <v>2794101</v>
      </c>
      <c r="G194" s="17">
        <v>0</v>
      </c>
      <c r="I194" s="17">
        <f t="shared" si="100"/>
        <v>2794101</v>
      </c>
      <c r="K194" s="17">
        <f t="shared" ref="K194" si="113">+Q194-M194-O194</f>
        <v>0</v>
      </c>
      <c r="U194" s="17">
        <f>122574+1423231+377823</f>
        <v>1923628</v>
      </c>
      <c r="W194" s="17">
        <v>870473</v>
      </c>
      <c r="Y194" s="17">
        <f t="shared" ref="Y194" si="114">U194+W194</f>
        <v>2794101</v>
      </c>
      <c r="AA194" s="17">
        <f t="shared" ref="AA194" si="115">+H194-P194-X194</f>
        <v>0</v>
      </c>
      <c r="AB194" s="33"/>
      <c r="AC194" s="33">
        <f t="shared" ref="AC194" si="116">+D194+F194+-J194-L194-R194-T194-V194-N194</f>
        <v>0</v>
      </c>
    </row>
    <row r="195" spans="1:29" x14ac:dyDescent="0.2">
      <c r="A195" s="12" t="s">
        <v>342</v>
      </c>
      <c r="B195" s="12"/>
      <c r="C195" s="12" t="s">
        <v>25</v>
      </c>
      <c r="D195" s="34"/>
      <c r="E195" s="17">
        <v>4384172</v>
      </c>
      <c r="G195" s="17">
        <v>0</v>
      </c>
      <c r="I195" s="17">
        <f t="shared" si="100"/>
        <v>4384172</v>
      </c>
      <c r="K195" s="17">
        <f t="shared" si="55"/>
        <v>0</v>
      </c>
      <c r="U195" s="17">
        <f>1915446+1080</f>
        <v>1916526</v>
      </c>
      <c r="W195" s="17">
        <v>2467646</v>
      </c>
      <c r="Y195" s="17">
        <f t="shared" si="78"/>
        <v>4384172</v>
      </c>
      <c r="AA195" s="17">
        <f t="shared" si="91"/>
        <v>0</v>
      </c>
      <c r="AB195" s="33"/>
      <c r="AC195" s="33">
        <f t="shared" si="92"/>
        <v>0</v>
      </c>
    </row>
    <row r="196" spans="1:29" x14ac:dyDescent="0.2">
      <c r="A196" s="12" t="s">
        <v>651</v>
      </c>
      <c r="B196" s="12"/>
      <c r="C196" s="12" t="s">
        <v>53</v>
      </c>
      <c r="D196" s="34"/>
      <c r="E196" s="17">
        <v>10784178</v>
      </c>
      <c r="G196" s="17">
        <v>0</v>
      </c>
      <c r="I196" s="17">
        <f t="shared" si="100"/>
        <v>10784178</v>
      </c>
      <c r="K196" s="17">
        <f t="shared" ref="K196" si="117">+Q196-M196-O196</f>
        <v>0</v>
      </c>
      <c r="U196" s="17">
        <f>22003+2993037</f>
        <v>3015040</v>
      </c>
      <c r="W196" s="17">
        <v>7769138</v>
      </c>
      <c r="Y196" s="17">
        <f t="shared" ref="Y196" si="118">U196+W196</f>
        <v>10784178</v>
      </c>
      <c r="AA196" s="17">
        <f t="shared" ref="AA196" si="119">+H196-P196-X196</f>
        <v>0</v>
      </c>
      <c r="AB196" s="33"/>
      <c r="AC196" s="33">
        <f t="shared" ref="AC196" si="120">+D196+F196+-J196-L196-R196-T196-V196-N196</f>
        <v>0</v>
      </c>
    </row>
    <row r="197" spans="1:29" hidden="1" x14ac:dyDescent="0.2">
      <c r="A197" s="12" t="s">
        <v>36</v>
      </c>
      <c r="B197" s="15"/>
      <c r="C197" s="15" t="s">
        <v>40</v>
      </c>
      <c r="D197" s="30"/>
      <c r="E197" s="17">
        <f t="shared" si="99"/>
        <v>0</v>
      </c>
      <c r="K197" s="17">
        <f t="shared" si="55"/>
        <v>0</v>
      </c>
      <c r="U197" s="17">
        <v>0</v>
      </c>
      <c r="W197" s="17">
        <v>0</v>
      </c>
      <c r="Y197" s="17">
        <f t="shared" si="78"/>
        <v>0</v>
      </c>
      <c r="AA197" s="17">
        <f t="shared" si="91"/>
        <v>0</v>
      </c>
      <c r="AB197" s="33"/>
      <c r="AC197" s="33">
        <f t="shared" si="92"/>
        <v>0</v>
      </c>
    </row>
    <row r="198" spans="1:29" x14ac:dyDescent="0.2">
      <c r="A198" s="12" t="s">
        <v>268</v>
      </c>
      <c r="B198" s="12"/>
      <c r="C198" s="12" t="s">
        <v>223</v>
      </c>
      <c r="D198" s="34"/>
      <c r="E198" s="17">
        <v>4350637</v>
      </c>
      <c r="G198" s="17">
        <v>0</v>
      </c>
      <c r="I198" s="17">
        <f>E198+G198</f>
        <v>4350637</v>
      </c>
      <c r="K198" s="17">
        <f t="shared" si="55"/>
        <v>0</v>
      </c>
      <c r="U198" s="17">
        <f>546760+753578</f>
        <v>1300338</v>
      </c>
      <c r="W198" s="17">
        <v>3050299</v>
      </c>
      <c r="Y198" s="17">
        <f t="shared" si="78"/>
        <v>4350637</v>
      </c>
      <c r="AA198" s="17">
        <f t="shared" si="91"/>
        <v>0</v>
      </c>
      <c r="AB198" s="33"/>
      <c r="AC198" s="33">
        <f t="shared" si="92"/>
        <v>0</v>
      </c>
    </row>
    <row r="199" spans="1:29" x14ac:dyDescent="0.2">
      <c r="A199" s="12" t="s">
        <v>269</v>
      </c>
      <c r="B199" s="12"/>
      <c r="C199" s="12" t="s">
        <v>63</v>
      </c>
      <c r="D199" s="34"/>
      <c r="E199" s="17">
        <v>443246</v>
      </c>
      <c r="G199" s="17">
        <v>0</v>
      </c>
      <c r="I199" s="17">
        <f>E199+G199</f>
        <v>443246</v>
      </c>
      <c r="K199" s="17">
        <f t="shared" ref="K199" si="121">+Q199-M199-O199</f>
        <v>0</v>
      </c>
      <c r="U199" s="17">
        <v>0</v>
      </c>
      <c r="W199" s="17">
        <v>443246</v>
      </c>
      <c r="Y199" s="17">
        <f t="shared" ref="Y199" si="122">U199+W199</f>
        <v>443246</v>
      </c>
      <c r="AA199" s="17">
        <f t="shared" ref="AA199" si="123">+H199-P199-X199</f>
        <v>0</v>
      </c>
      <c r="AB199" s="33"/>
      <c r="AC199" s="33">
        <f t="shared" ref="AC199" si="124">+D199+F199+-J199-L199-R199-T199-V199-N199</f>
        <v>0</v>
      </c>
    </row>
    <row r="200" spans="1:29" hidden="1" x14ac:dyDescent="0.2">
      <c r="A200" s="6" t="s">
        <v>270</v>
      </c>
      <c r="B200" s="6"/>
      <c r="C200" s="6" t="s">
        <v>63</v>
      </c>
      <c r="D200" s="30"/>
      <c r="E200" s="17">
        <f t="shared" si="99"/>
        <v>0</v>
      </c>
      <c r="K200" s="17">
        <f t="shared" si="55"/>
        <v>0</v>
      </c>
      <c r="U200" s="17">
        <v>0</v>
      </c>
      <c r="W200" s="17">
        <v>0</v>
      </c>
      <c r="Y200" s="17">
        <f t="shared" si="78"/>
        <v>0</v>
      </c>
      <c r="AA200" s="17">
        <f t="shared" si="91"/>
        <v>0</v>
      </c>
      <c r="AB200" s="33"/>
      <c r="AC200" s="33">
        <f t="shared" si="92"/>
        <v>0</v>
      </c>
    </row>
    <row r="201" spans="1:29" hidden="1" x14ac:dyDescent="0.2">
      <c r="A201" s="1" t="s">
        <v>270</v>
      </c>
      <c r="B201" s="1"/>
      <c r="C201" s="1" t="s">
        <v>63</v>
      </c>
      <c r="D201" s="30"/>
      <c r="E201" s="17">
        <f t="shared" si="99"/>
        <v>0</v>
      </c>
      <c r="K201" s="17">
        <f t="shared" si="55"/>
        <v>0</v>
      </c>
      <c r="U201" s="17">
        <v>0</v>
      </c>
      <c r="W201" s="17">
        <v>0</v>
      </c>
      <c r="Y201" s="17">
        <f t="shared" si="78"/>
        <v>0</v>
      </c>
      <c r="AA201" s="17">
        <f t="shared" si="91"/>
        <v>0</v>
      </c>
      <c r="AB201" s="33"/>
      <c r="AC201" s="33">
        <f t="shared" si="92"/>
        <v>0</v>
      </c>
    </row>
    <row r="202" spans="1:29" hidden="1" x14ac:dyDescent="0.2">
      <c r="A202" s="5" t="s">
        <v>37</v>
      </c>
      <c r="B202" s="6"/>
      <c r="C202" s="6" t="s">
        <v>13</v>
      </c>
      <c r="D202" s="30"/>
      <c r="E202" s="17">
        <f t="shared" si="99"/>
        <v>0</v>
      </c>
      <c r="K202" s="17">
        <f t="shared" si="55"/>
        <v>0</v>
      </c>
      <c r="U202" s="17">
        <v>0</v>
      </c>
      <c r="W202" s="17">
        <v>0</v>
      </c>
      <c r="Y202" s="17">
        <f t="shared" si="78"/>
        <v>0</v>
      </c>
      <c r="AA202" s="17">
        <f t="shared" si="91"/>
        <v>0</v>
      </c>
      <c r="AB202" s="33"/>
      <c r="AC202" s="33">
        <f t="shared" si="92"/>
        <v>0</v>
      </c>
    </row>
    <row r="203" spans="1:29" hidden="1" x14ac:dyDescent="0.2">
      <c r="A203" s="1" t="s">
        <v>37</v>
      </c>
      <c r="B203" s="1"/>
      <c r="C203" s="1" t="s">
        <v>13</v>
      </c>
      <c r="D203" s="34"/>
      <c r="E203" s="17">
        <f t="shared" si="99"/>
        <v>0</v>
      </c>
      <c r="K203" s="17">
        <f t="shared" si="55"/>
        <v>0</v>
      </c>
      <c r="U203" s="17">
        <v>0</v>
      </c>
      <c r="W203" s="17">
        <v>0</v>
      </c>
      <c r="Y203" s="17">
        <f t="shared" si="78"/>
        <v>0</v>
      </c>
      <c r="AA203" s="17">
        <f t="shared" si="91"/>
        <v>0</v>
      </c>
      <c r="AB203" s="33"/>
      <c r="AC203" s="33">
        <f t="shared" si="92"/>
        <v>0</v>
      </c>
    </row>
    <row r="204" spans="1:29" x14ac:dyDescent="0.2">
      <c r="A204" s="12" t="s">
        <v>274</v>
      </c>
      <c r="B204" s="12"/>
      <c r="C204" s="12" t="s">
        <v>13</v>
      </c>
      <c r="D204" s="34"/>
      <c r="E204" s="17">
        <v>5332129</v>
      </c>
      <c r="G204" s="17">
        <v>0</v>
      </c>
      <c r="I204" s="17">
        <f>E204+G204</f>
        <v>5332129</v>
      </c>
      <c r="K204" s="17">
        <f t="shared" si="55"/>
        <v>0</v>
      </c>
      <c r="U204" s="17">
        <f>463906+234196-295+16987</f>
        <v>714794</v>
      </c>
      <c r="W204" s="17">
        <v>4617334</v>
      </c>
      <c r="Y204" s="17">
        <f t="shared" si="78"/>
        <v>5332128</v>
      </c>
      <c r="AA204" s="17">
        <f t="shared" si="91"/>
        <v>0</v>
      </c>
      <c r="AB204" s="33"/>
      <c r="AC204" s="33">
        <f t="shared" si="92"/>
        <v>0</v>
      </c>
    </row>
    <row r="205" spans="1:29" hidden="1" x14ac:dyDescent="0.2">
      <c r="A205" s="12" t="s">
        <v>392</v>
      </c>
      <c r="B205" s="15"/>
      <c r="C205" s="15" t="s">
        <v>67</v>
      </c>
      <c r="D205" s="34"/>
      <c r="E205" s="17">
        <f t="shared" si="99"/>
        <v>0</v>
      </c>
      <c r="K205" s="17">
        <f t="shared" si="55"/>
        <v>0</v>
      </c>
      <c r="U205" s="17">
        <v>0</v>
      </c>
      <c r="W205" s="17">
        <v>0</v>
      </c>
      <c r="Y205" s="17">
        <f t="shared" si="78"/>
        <v>0</v>
      </c>
      <c r="AA205" s="17">
        <f t="shared" si="91"/>
        <v>0</v>
      </c>
      <c r="AB205" s="33"/>
      <c r="AC205" s="33">
        <f t="shared" si="92"/>
        <v>0</v>
      </c>
    </row>
    <row r="206" spans="1:29" hidden="1" x14ac:dyDescent="0.2">
      <c r="A206" s="4" t="s">
        <v>392</v>
      </c>
      <c r="B206" s="4"/>
      <c r="C206" s="4" t="s">
        <v>67</v>
      </c>
      <c r="D206" s="34"/>
      <c r="E206" s="17">
        <f t="shared" si="99"/>
        <v>0</v>
      </c>
      <c r="K206" s="17">
        <f t="shared" si="55"/>
        <v>0</v>
      </c>
      <c r="U206" s="17">
        <v>0</v>
      </c>
      <c r="W206" s="17">
        <v>0</v>
      </c>
      <c r="Y206" s="17">
        <f t="shared" si="78"/>
        <v>0</v>
      </c>
      <c r="AA206" s="17">
        <f t="shared" si="91"/>
        <v>0</v>
      </c>
      <c r="AB206" s="33"/>
      <c r="AC206" s="33">
        <f t="shared" si="92"/>
        <v>0</v>
      </c>
    </row>
    <row r="207" spans="1:29" x14ac:dyDescent="0.2">
      <c r="A207" s="12" t="s">
        <v>600</v>
      </c>
      <c r="B207" s="12"/>
      <c r="C207" s="12" t="s">
        <v>63</v>
      </c>
      <c r="D207" s="34"/>
      <c r="E207" s="17">
        <v>1518580</v>
      </c>
      <c r="G207" s="17">
        <v>0</v>
      </c>
      <c r="I207" s="17">
        <f>E207+G207</f>
        <v>1518580</v>
      </c>
      <c r="K207" s="17">
        <f t="shared" ref="K207" si="125">+Q207-M207-O207</f>
        <v>0</v>
      </c>
      <c r="U207" s="17">
        <v>21806</v>
      </c>
      <c r="W207" s="17">
        <v>1496774</v>
      </c>
      <c r="Y207" s="17">
        <f t="shared" ref="Y207" si="126">U207+W207</f>
        <v>1518580</v>
      </c>
      <c r="AA207" s="17">
        <f t="shared" ref="AA207" si="127">+H207-P207-X207</f>
        <v>0</v>
      </c>
      <c r="AB207" s="33"/>
      <c r="AC207" s="33">
        <f t="shared" ref="AC207" si="128">+D207+F207+-J207-L207-R207-T207-V207-N207</f>
        <v>0</v>
      </c>
    </row>
    <row r="208" spans="1:29" hidden="1" x14ac:dyDescent="0.2">
      <c r="A208" s="12" t="s">
        <v>393</v>
      </c>
      <c r="B208" s="15"/>
      <c r="C208" s="15" t="s">
        <v>68</v>
      </c>
      <c r="D208" s="30"/>
      <c r="E208" s="17">
        <f t="shared" si="99"/>
        <v>0</v>
      </c>
      <c r="K208" s="17">
        <f t="shared" si="55"/>
        <v>0</v>
      </c>
      <c r="U208" s="17">
        <v>0</v>
      </c>
      <c r="W208" s="17">
        <v>0</v>
      </c>
      <c r="Y208" s="17">
        <f t="shared" si="78"/>
        <v>0</v>
      </c>
      <c r="AA208" s="17">
        <f t="shared" si="91"/>
        <v>0</v>
      </c>
      <c r="AB208" s="33"/>
      <c r="AC208" s="33">
        <f t="shared" si="92"/>
        <v>0</v>
      </c>
    </row>
    <row r="209" spans="1:31" x14ac:dyDescent="0.2">
      <c r="A209" s="12" t="s">
        <v>277</v>
      </c>
      <c r="B209" s="12"/>
      <c r="C209" s="12" t="s">
        <v>90</v>
      </c>
      <c r="D209" s="34"/>
      <c r="E209" s="17">
        <v>18098341</v>
      </c>
      <c r="G209" s="17">
        <v>0</v>
      </c>
      <c r="I209" s="17">
        <f>E209+G209</f>
        <v>18098341</v>
      </c>
      <c r="K209" s="17">
        <v>0</v>
      </c>
      <c r="U209" s="17">
        <v>460777</v>
      </c>
      <c r="W209" s="17">
        <v>17637564</v>
      </c>
      <c r="Y209" s="17">
        <f t="shared" si="78"/>
        <v>18098341</v>
      </c>
      <c r="AA209" s="17">
        <f t="shared" si="91"/>
        <v>0</v>
      </c>
      <c r="AB209" s="33"/>
      <c r="AC209" s="33">
        <f t="shared" si="92"/>
        <v>0</v>
      </c>
    </row>
    <row r="210" spans="1:31" hidden="1" x14ac:dyDescent="0.2">
      <c r="A210" s="6" t="s">
        <v>278</v>
      </c>
      <c r="B210" s="6"/>
      <c r="C210" s="6" t="s">
        <v>53</v>
      </c>
      <c r="D210" s="30"/>
      <c r="E210" s="17">
        <f t="shared" si="99"/>
        <v>0</v>
      </c>
      <c r="K210" s="17">
        <f t="shared" si="55"/>
        <v>0</v>
      </c>
      <c r="U210" s="17">
        <v>0</v>
      </c>
      <c r="W210" s="17">
        <v>0</v>
      </c>
      <c r="Y210" s="17">
        <f t="shared" si="78"/>
        <v>0</v>
      </c>
      <c r="AA210" s="17">
        <f t="shared" si="91"/>
        <v>0</v>
      </c>
      <c r="AB210" s="33"/>
      <c r="AC210" s="33">
        <f t="shared" si="92"/>
        <v>0</v>
      </c>
    </row>
    <row r="211" spans="1:31" hidden="1" x14ac:dyDescent="0.2">
      <c r="A211" s="1" t="s">
        <v>278</v>
      </c>
      <c r="B211" s="1"/>
      <c r="C211" s="1" t="s">
        <v>53</v>
      </c>
      <c r="D211" s="34"/>
      <c r="E211" s="17">
        <f t="shared" si="99"/>
        <v>0</v>
      </c>
      <c r="K211" s="17">
        <f t="shared" si="55"/>
        <v>0</v>
      </c>
      <c r="U211" s="17">
        <f>Y211-W211-S211</f>
        <v>0</v>
      </c>
      <c r="AA211" s="17">
        <f t="shared" si="91"/>
        <v>0</v>
      </c>
      <c r="AB211" s="33"/>
      <c r="AC211" s="33">
        <f t="shared" si="92"/>
        <v>0</v>
      </c>
    </row>
    <row r="212" spans="1:31" ht="12.75" x14ac:dyDescent="0.2">
      <c r="A212" s="16"/>
      <c r="B212" s="16"/>
      <c r="C212" s="16"/>
      <c r="D212" s="34"/>
      <c r="K212" s="17">
        <f t="shared" ref="K212:K245" si="129">+Q212-M212-O212</f>
        <v>0</v>
      </c>
      <c r="U212" s="17">
        <f t="shared" ref="U212:U245" si="130">Y212-W212-S212</f>
        <v>0</v>
      </c>
      <c r="AA212" s="17">
        <f t="shared" ref="AA212:AA213" si="131">+H212-P212-X212</f>
        <v>0</v>
      </c>
      <c r="AB212" s="33"/>
      <c r="AC212" s="33">
        <f t="shared" ref="AC212:AC213" si="132">+D212+F212+-J212-L212-R212-T212-V212-N212</f>
        <v>0</v>
      </c>
    </row>
    <row r="213" spans="1:31" x14ac:dyDescent="0.2">
      <c r="A213" s="34"/>
      <c r="B213" s="34"/>
      <c r="C213" s="34"/>
      <c r="D213" s="34"/>
      <c r="K213" s="17">
        <f t="shared" si="129"/>
        <v>0</v>
      </c>
      <c r="U213" s="17">
        <f t="shared" si="130"/>
        <v>0</v>
      </c>
      <c r="AA213" s="17">
        <f t="shared" si="131"/>
        <v>0</v>
      </c>
      <c r="AB213" s="33"/>
      <c r="AC213" s="33">
        <f t="shared" si="132"/>
        <v>0</v>
      </c>
    </row>
    <row r="214" spans="1:31" x14ac:dyDescent="0.2">
      <c r="A214" s="34"/>
      <c r="B214" s="34"/>
      <c r="C214" s="34"/>
      <c r="D214" s="34"/>
      <c r="K214" s="17">
        <f t="shared" si="129"/>
        <v>0</v>
      </c>
      <c r="U214" s="17">
        <f t="shared" si="130"/>
        <v>0</v>
      </c>
      <c r="AA214" s="17">
        <f t="shared" ref="AA214:AA251" si="133">+I214-Q214-Y214</f>
        <v>0</v>
      </c>
      <c r="AC214" s="33">
        <f t="shared" ref="AC214:AC251" si="134">+E214+G214+-K214-M214-S214-U214-W214-O214</f>
        <v>0</v>
      </c>
    </row>
    <row r="215" spans="1:31" x14ac:dyDescent="0.2">
      <c r="A215" s="34"/>
      <c r="B215" s="34"/>
      <c r="C215" s="34"/>
      <c r="D215" s="34"/>
      <c r="K215" s="17">
        <f t="shared" si="129"/>
        <v>0</v>
      </c>
      <c r="U215" s="17">
        <f t="shared" si="130"/>
        <v>0</v>
      </c>
      <c r="AA215" s="17">
        <f t="shared" si="133"/>
        <v>0</v>
      </c>
      <c r="AC215" s="33">
        <f t="shared" si="134"/>
        <v>0</v>
      </c>
    </row>
    <row r="216" spans="1:31" x14ac:dyDescent="0.2">
      <c r="A216" s="34"/>
      <c r="B216" s="34"/>
      <c r="C216" s="34"/>
      <c r="D216" s="34"/>
      <c r="K216" s="17">
        <f t="shared" si="129"/>
        <v>0</v>
      </c>
      <c r="U216" s="17">
        <f t="shared" si="130"/>
        <v>0</v>
      </c>
      <c r="AA216" s="17">
        <f t="shared" si="133"/>
        <v>0</v>
      </c>
      <c r="AC216" s="33">
        <f t="shared" si="134"/>
        <v>0</v>
      </c>
    </row>
    <row r="217" spans="1:31" x14ac:dyDescent="0.2">
      <c r="A217" s="34"/>
      <c r="B217" s="34"/>
      <c r="C217" s="34"/>
      <c r="D217" s="34"/>
      <c r="K217" s="17">
        <f t="shared" si="129"/>
        <v>0</v>
      </c>
      <c r="U217" s="17">
        <f t="shared" si="130"/>
        <v>0</v>
      </c>
      <c r="AA217" s="17">
        <f t="shared" si="133"/>
        <v>0</v>
      </c>
      <c r="AC217" s="33">
        <f t="shared" si="134"/>
        <v>0</v>
      </c>
    </row>
    <row r="218" spans="1:31" x14ac:dyDescent="0.2">
      <c r="A218" s="34"/>
      <c r="B218" s="34"/>
      <c r="C218" s="34"/>
      <c r="D218" s="34"/>
      <c r="K218" s="17">
        <f t="shared" si="129"/>
        <v>0</v>
      </c>
      <c r="U218" s="17">
        <f t="shared" si="130"/>
        <v>0</v>
      </c>
      <c r="AA218" s="17">
        <f t="shared" si="133"/>
        <v>0</v>
      </c>
      <c r="AC218" s="33">
        <f t="shared" si="134"/>
        <v>0</v>
      </c>
    </row>
    <row r="219" spans="1:31" x14ac:dyDescent="0.2">
      <c r="A219" s="34"/>
      <c r="B219" s="34"/>
      <c r="C219" s="34"/>
      <c r="D219" s="34"/>
      <c r="K219" s="17">
        <f t="shared" si="129"/>
        <v>0</v>
      </c>
      <c r="U219" s="17">
        <f t="shared" si="130"/>
        <v>0</v>
      </c>
      <c r="AA219" s="17">
        <f t="shared" si="133"/>
        <v>0</v>
      </c>
      <c r="AC219" s="33">
        <f t="shared" si="134"/>
        <v>0</v>
      </c>
    </row>
    <row r="220" spans="1:31" x14ac:dyDescent="0.2">
      <c r="A220" s="34"/>
      <c r="B220" s="34"/>
      <c r="C220" s="34"/>
      <c r="D220" s="34"/>
      <c r="K220" s="17">
        <f t="shared" si="129"/>
        <v>0</v>
      </c>
      <c r="U220" s="17">
        <f t="shared" si="130"/>
        <v>0</v>
      </c>
      <c r="AA220" s="17">
        <f t="shared" si="133"/>
        <v>0</v>
      </c>
      <c r="AC220" s="33">
        <f t="shared" si="134"/>
        <v>0</v>
      </c>
    </row>
    <row r="221" spans="1:31" x14ac:dyDescent="0.2">
      <c r="A221" s="34"/>
      <c r="B221" s="34"/>
      <c r="C221" s="34"/>
      <c r="D221" s="34"/>
      <c r="K221" s="17">
        <f t="shared" si="129"/>
        <v>0</v>
      </c>
      <c r="U221" s="17">
        <f t="shared" si="130"/>
        <v>0</v>
      </c>
      <c r="AA221" s="17">
        <f t="shared" si="133"/>
        <v>0</v>
      </c>
      <c r="AC221" s="33">
        <f t="shared" si="134"/>
        <v>0</v>
      </c>
      <c r="AE221" s="17" t="s">
        <v>533</v>
      </c>
    </row>
    <row r="222" spans="1:31" x14ac:dyDescent="0.2">
      <c r="A222" s="34"/>
      <c r="B222" s="34"/>
      <c r="C222" s="34"/>
      <c r="D222" s="34"/>
      <c r="K222" s="17">
        <f t="shared" si="129"/>
        <v>0</v>
      </c>
      <c r="U222" s="17">
        <f t="shared" si="130"/>
        <v>0</v>
      </c>
      <c r="AA222" s="17">
        <f t="shared" si="133"/>
        <v>0</v>
      </c>
      <c r="AC222" s="33">
        <f t="shared" si="134"/>
        <v>0</v>
      </c>
    </row>
    <row r="223" spans="1:31" x14ac:dyDescent="0.2">
      <c r="A223" s="34"/>
      <c r="B223" s="34"/>
      <c r="C223" s="34"/>
      <c r="D223" s="34"/>
      <c r="K223" s="17">
        <f t="shared" si="129"/>
        <v>0</v>
      </c>
      <c r="U223" s="17">
        <f t="shared" si="130"/>
        <v>0</v>
      </c>
      <c r="AA223" s="17">
        <f t="shared" si="133"/>
        <v>0</v>
      </c>
      <c r="AC223" s="33">
        <f t="shared" si="134"/>
        <v>0</v>
      </c>
    </row>
    <row r="224" spans="1:31" x14ac:dyDescent="0.2">
      <c r="A224" s="34"/>
      <c r="B224" s="34"/>
      <c r="C224" s="34"/>
      <c r="D224" s="34"/>
      <c r="K224" s="17">
        <f t="shared" si="129"/>
        <v>0</v>
      </c>
      <c r="U224" s="17">
        <f t="shared" si="130"/>
        <v>0</v>
      </c>
      <c r="AA224" s="17">
        <f t="shared" si="133"/>
        <v>0</v>
      </c>
      <c r="AC224" s="33">
        <f t="shared" si="134"/>
        <v>0</v>
      </c>
    </row>
    <row r="225" spans="1:29" x14ac:dyDescent="0.2">
      <c r="A225" s="34"/>
      <c r="B225" s="34"/>
      <c r="C225" s="34"/>
      <c r="D225" s="34"/>
      <c r="K225" s="17">
        <f t="shared" si="129"/>
        <v>0</v>
      </c>
      <c r="U225" s="17">
        <f t="shared" si="130"/>
        <v>0</v>
      </c>
      <c r="AA225" s="17">
        <f t="shared" si="133"/>
        <v>0</v>
      </c>
      <c r="AC225" s="33">
        <f t="shared" si="134"/>
        <v>0</v>
      </c>
    </row>
    <row r="226" spans="1:29" x14ac:dyDescent="0.2">
      <c r="A226" s="34"/>
      <c r="B226" s="34"/>
      <c r="C226" s="34"/>
      <c r="D226" s="34"/>
      <c r="K226" s="17">
        <f t="shared" si="129"/>
        <v>0</v>
      </c>
      <c r="U226" s="17">
        <f t="shared" si="130"/>
        <v>0</v>
      </c>
      <c r="AA226" s="17">
        <f>+I226-Q226-Y226</f>
        <v>0</v>
      </c>
      <c r="AC226" s="33">
        <f t="shared" si="134"/>
        <v>0</v>
      </c>
    </row>
    <row r="227" spans="1:29" x14ac:dyDescent="0.2">
      <c r="A227" s="34"/>
      <c r="B227" s="34"/>
      <c r="C227" s="34"/>
      <c r="D227" s="34"/>
      <c r="K227" s="17">
        <f t="shared" si="129"/>
        <v>0</v>
      </c>
      <c r="U227" s="17">
        <f t="shared" si="130"/>
        <v>0</v>
      </c>
      <c r="AA227" s="17">
        <f t="shared" si="133"/>
        <v>0</v>
      </c>
      <c r="AC227" s="33">
        <f t="shared" si="134"/>
        <v>0</v>
      </c>
    </row>
    <row r="228" spans="1:29" x14ac:dyDescent="0.2">
      <c r="A228" s="34"/>
      <c r="B228" s="34"/>
      <c r="C228" s="34"/>
      <c r="D228" s="34"/>
      <c r="K228" s="17">
        <f t="shared" si="129"/>
        <v>0</v>
      </c>
      <c r="U228" s="17">
        <f t="shared" si="130"/>
        <v>0</v>
      </c>
      <c r="AA228" s="17">
        <f t="shared" si="133"/>
        <v>0</v>
      </c>
      <c r="AC228" s="33">
        <f t="shared" si="134"/>
        <v>0</v>
      </c>
    </row>
    <row r="229" spans="1:29" x14ac:dyDescent="0.2">
      <c r="A229" s="34"/>
      <c r="B229" s="34"/>
      <c r="C229" s="34"/>
      <c r="D229" s="34"/>
      <c r="K229" s="17">
        <f t="shared" si="129"/>
        <v>0</v>
      </c>
      <c r="U229" s="17">
        <f t="shared" si="130"/>
        <v>0</v>
      </c>
      <c r="AA229" s="17">
        <f t="shared" si="133"/>
        <v>0</v>
      </c>
      <c r="AC229" s="33">
        <f t="shared" si="134"/>
        <v>0</v>
      </c>
    </row>
    <row r="230" spans="1:29" x14ac:dyDescent="0.2">
      <c r="A230" s="34"/>
      <c r="B230" s="34"/>
      <c r="C230" s="34"/>
      <c r="D230" s="34"/>
      <c r="K230" s="17">
        <f t="shared" si="129"/>
        <v>0</v>
      </c>
      <c r="U230" s="17">
        <f t="shared" si="130"/>
        <v>0</v>
      </c>
      <c r="AA230" s="17">
        <f t="shared" si="133"/>
        <v>0</v>
      </c>
      <c r="AC230" s="33">
        <f t="shared" si="134"/>
        <v>0</v>
      </c>
    </row>
    <row r="231" spans="1:29" x14ac:dyDescent="0.2">
      <c r="A231" s="34"/>
      <c r="B231" s="34"/>
      <c r="C231" s="34"/>
      <c r="D231" s="34"/>
      <c r="K231" s="17">
        <f t="shared" si="129"/>
        <v>0</v>
      </c>
      <c r="U231" s="17">
        <f t="shared" si="130"/>
        <v>0</v>
      </c>
      <c r="AA231" s="17">
        <f t="shared" si="133"/>
        <v>0</v>
      </c>
      <c r="AC231" s="33">
        <f t="shared" si="134"/>
        <v>0</v>
      </c>
    </row>
    <row r="232" spans="1:29" x14ac:dyDescent="0.2">
      <c r="A232" s="34"/>
      <c r="B232" s="34"/>
      <c r="C232" s="34"/>
      <c r="D232" s="34"/>
      <c r="K232" s="17">
        <f t="shared" si="129"/>
        <v>0</v>
      </c>
      <c r="U232" s="17">
        <f t="shared" si="130"/>
        <v>0</v>
      </c>
      <c r="AA232" s="17">
        <f t="shared" si="133"/>
        <v>0</v>
      </c>
      <c r="AC232" s="33">
        <f t="shared" si="134"/>
        <v>0</v>
      </c>
    </row>
    <row r="233" spans="1:29" x14ac:dyDescent="0.2">
      <c r="A233" s="34"/>
      <c r="B233" s="34"/>
      <c r="C233" s="34"/>
      <c r="D233" s="34"/>
      <c r="K233" s="17">
        <f t="shared" si="129"/>
        <v>0</v>
      </c>
      <c r="U233" s="17">
        <f t="shared" si="130"/>
        <v>0</v>
      </c>
      <c r="AA233" s="17">
        <f t="shared" si="133"/>
        <v>0</v>
      </c>
      <c r="AC233" s="33">
        <f t="shared" si="134"/>
        <v>0</v>
      </c>
    </row>
    <row r="234" spans="1:29" x14ac:dyDescent="0.2">
      <c r="A234" s="34"/>
      <c r="B234" s="34"/>
      <c r="C234" s="34"/>
      <c r="D234" s="34"/>
      <c r="K234" s="17">
        <f t="shared" si="129"/>
        <v>0</v>
      </c>
      <c r="U234" s="17">
        <f t="shared" si="130"/>
        <v>0</v>
      </c>
      <c r="AA234" s="17">
        <f t="shared" si="133"/>
        <v>0</v>
      </c>
      <c r="AC234" s="33">
        <f t="shared" si="134"/>
        <v>0</v>
      </c>
    </row>
    <row r="235" spans="1:29" x14ac:dyDescent="0.2">
      <c r="A235" s="34"/>
      <c r="B235" s="34"/>
      <c r="C235" s="34"/>
      <c r="D235" s="34"/>
      <c r="K235" s="17">
        <f t="shared" si="129"/>
        <v>0</v>
      </c>
      <c r="U235" s="17">
        <f t="shared" si="130"/>
        <v>0</v>
      </c>
      <c r="AA235" s="17">
        <f t="shared" si="133"/>
        <v>0</v>
      </c>
      <c r="AC235" s="33">
        <f t="shared" si="134"/>
        <v>0</v>
      </c>
    </row>
    <row r="236" spans="1:29" x14ac:dyDescent="0.2">
      <c r="A236" s="34"/>
      <c r="B236" s="34"/>
      <c r="C236" s="34"/>
      <c r="D236" s="34"/>
      <c r="K236" s="17">
        <f t="shared" si="129"/>
        <v>0</v>
      </c>
      <c r="U236" s="17">
        <f t="shared" si="130"/>
        <v>0</v>
      </c>
      <c r="AA236" s="17">
        <f t="shared" si="133"/>
        <v>0</v>
      </c>
      <c r="AC236" s="33">
        <f t="shared" si="134"/>
        <v>0</v>
      </c>
    </row>
    <row r="237" spans="1:29" x14ac:dyDescent="0.2">
      <c r="A237" s="34"/>
      <c r="B237" s="34"/>
      <c r="C237" s="34"/>
      <c r="D237" s="34"/>
      <c r="K237" s="17">
        <f>+Q237-M237-O237</f>
        <v>0</v>
      </c>
      <c r="U237" s="17">
        <f>Y237-W237-S237</f>
        <v>0</v>
      </c>
      <c r="AA237" s="17">
        <f>+I237-Q237-Y237</f>
        <v>0</v>
      </c>
      <c r="AC237" s="33">
        <f>+E237+G237+-K237-M237-S237-U237-W237-O237</f>
        <v>0</v>
      </c>
    </row>
    <row r="238" spans="1:29" x14ac:dyDescent="0.2">
      <c r="A238" s="34"/>
      <c r="B238" s="34"/>
      <c r="C238" s="34"/>
      <c r="D238" s="34"/>
      <c r="K238" s="17">
        <f t="shared" si="129"/>
        <v>0</v>
      </c>
      <c r="U238" s="17">
        <f t="shared" si="130"/>
        <v>0</v>
      </c>
      <c r="AA238" s="17">
        <f t="shared" si="133"/>
        <v>0</v>
      </c>
      <c r="AC238" s="33">
        <f t="shared" si="134"/>
        <v>0</v>
      </c>
    </row>
    <row r="239" spans="1:29" x14ac:dyDescent="0.2">
      <c r="A239" s="34"/>
      <c r="B239" s="34"/>
      <c r="C239" s="34"/>
      <c r="D239" s="34"/>
      <c r="K239" s="17">
        <f t="shared" si="129"/>
        <v>0</v>
      </c>
      <c r="U239" s="17">
        <f t="shared" si="130"/>
        <v>0</v>
      </c>
      <c r="AA239" s="17">
        <f t="shared" si="133"/>
        <v>0</v>
      </c>
      <c r="AC239" s="33">
        <f t="shared" si="134"/>
        <v>0</v>
      </c>
    </row>
    <row r="240" spans="1:29" x14ac:dyDescent="0.2">
      <c r="A240" s="34"/>
      <c r="B240" s="34"/>
      <c r="C240" s="34"/>
      <c r="D240" s="34"/>
      <c r="K240" s="17">
        <f t="shared" si="129"/>
        <v>0</v>
      </c>
      <c r="U240" s="17">
        <f t="shared" si="130"/>
        <v>0</v>
      </c>
      <c r="AA240" s="17">
        <f t="shared" si="133"/>
        <v>0</v>
      </c>
      <c r="AC240" s="33">
        <f t="shared" si="134"/>
        <v>0</v>
      </c>
    </row>
    <row r="241" spans="1:29" x14ac:dyDescent="0.2">
      <c r="A241" s="34"/>
      <c r="B241" s="34"/>
      <c r="C241" s="34"/>
      <c r="D241" s="34"/>
      <c r="K241" s="17">
        <f>+Q241-M241-O241</f>
        <v>0</v>
      </c>
      <c r="U241" s="17">
        <f>Y241-W241-S241</f>
        <v>0</v>
      </c>
      <c r="AA241" s="17">
        <f>+I241-Q241-Y241</f>
        <v>0</v>
      </c>
      <c r="AC241" s="33">
        <f>+E241+G241+-K241-M241-S241-U241-W241-O241</f>
        <v>0</v>
      </c>
    </row>
    <row r="242" spans="1:29" x14ac:dyDescent="0.2">
      <c r="A242" s="34"/>
      <c r="B242" s="34"/>
      <c r="C242" s="34"/>
      <c r="D242" s="34"/>
      <c r="K242" s="17">
        <f t="shared" si="129"/>
        <v>0</v>
      </c>
      <c r="U242" s="17">
        <f>Y242-W242-S242</f>
        <v>0</v>
      </c>
      <c r="AA242" s="17">
        <f t="shared" si="133"/>
        <v>0</v>
      </c>
      <c r="AC242" s="33">
        <f t="shared" si="134"/>
        <v>0</v>
      </c>
    </row>
    <row r="243" spans="1:29" x14ac:dyDescent="0.2">
      <c r="A243" s="34"/>
      <c r="B243" s="34"/>
      <c r="C243" s="34"/>
      <c r="D243" s="34"/>
      <c r="K243" s="17">
        <f t="shared" si="129"/>
        <v>0</v>
      </c>
      <c r="U243" s="17">
        <f t="shared" si="130"/>
        <v>0</v>
      </c>
      <c r="AA243" s="17">
        <f t="shared" si="133"/>
        <v>0</v>
      </c>
      <c r="AC243" s="33">
        <f t="shared" si="134"/>
        <v>0</v>
      </c>
    </row>
    <row r="244" spans="1:29" x14ac:dyDescent="0.2">
      <c r="A244" s="34"/>
      <c r="B244" s="34"/>
      <c r="C244" s="34"/>
      <c r="D244" s="34"/>
      <c r="K244" s="17">
        <f t="shared" si="129"/>
        <v>0</v>
      </c>
      <c r="U244" s="17">
        <f t="shared" si="130"/>
        <v>0</v>
      </c>
      <c r="AA244" s="17">
        <f t="shared" si="133"/>
        <v>0</v>
      </c>
      <c r="AC244" s="33">
        <f t="shared" si="134"/>
        <v>0</v>
      </c>
    </row>
    <row r="245" spans="1:29" x14ac:dyDescent="0.2">
      <c r="A245" s="34"/>
      <c r="B245" s="34"/>
      <c r="C245" s="34"/>
      <c r="D245" s="34"/>
      <c r="K245" s="17">
        <f t="shared" si="129"/>
        <v>0</v>
      </c>
      <c r="U245" s="17">
        <f t="shared" si="130"/>
        <v>0</v>
      </c>
      <c r="AA245" s="17">
        <f t="shared" si="133"/>
        <v>0</v>
      </c>
      <c r="AC245" s="33">
        <f t="shared" si="134"/>
        <v>0</v>
      </c>
    </row>
    <row r="246" spans="1:29" x14ac:dyDescent="0.2">
      <c r="A246" s="34"/>
      <c r="B246" s="34"/>
      <c r="C246" s="34"/>
      <c r="D246" s="34"/>
      <c r="K246" s="17">
        <f>+Q246-M246-O246</f>
        <v>0</v>
      </c>
      <c r="U246" s="17">
        <f>Y246-W246-S246</f>
        <v>0</v>
      </c>
      <c r="AA246" s="17">
        <f t="shared" si="133"/>
        <v>0</v>
      </c>
      <c r="AC246" s="33">
        <f t="shared" si="134"/>
        <v>0</v>
      </c>
    </row>
    <row r="247" spans="1:29" x14ac:dyDescent="0.2">
      <c r="A247" s="34"/>
      <c r="B247" s="34"/>
      <c r="C247" s="34"/>
      <c r="D247" s="34"/>
      <c r="K247" s="17">
        <f>+Q247-M247-O247</f>
        <v>0</v>
      </c>
      <c r="U247" s="17">
        <f>Y247-W247-S247</f>
        <v>0</v>
      </c>
      <c r="AA247" s="17">
        <f t="shared" si="133"/>
        <v>0</v>
      </c>
      <c r="AC247" s="33">
        <f t="shared" si="134"/>
        <v>0</v>
      </c>
    </row>
    <row r="248" spans="1:29" x14ac:dyDescent="0.2">
      <c r="A248" s="34"/>
      <c r="B248" s="34"/>
      <c r="C248" s="34"/>
      <c r="D248" s="34"/>
      <c r="K248" s="17">
        <f>+Q248-M248-O248</f>
        <v>0</v>
      </c>
      <c r="U248" s="17">
        <f>Y248-W248-S248</f>
        <v>0</v>
      </c>
      <c r="AA248" s="17">
        <f t="shared" si="133"/>
        <v>0</v>
      </c>
      <c r="AC248" s="33">
        <f t="shared" si="134"/>
        <v>0</v>
      </c>
    </row>
    <row r="249" spans="1:29" x14ac:dyDescent="0.2">
      <c r="A249" s="34"/>
      <c r="B249" s="34"/>
      <c r="C249" s="34"/>
      <c r="D249" s="34"/>
      <c r="K249" s="17">
        <f>+Q249-M249-O249</f>
        <v>0</v>
      </c>
      <c r="U249" s="17">
        <f>Y249-W249-S249</f>
        <v>0</v>
      </c>
      <c r="AA249" s="17">
        <f>+I249-Q249-Y249</f>
        <v>0</v>
      </c>
      <c r="AC249" s="33">
        <f>+E249+G249+-K249-M249-S249-U249-W249-O249</f>
        <v>0</v>
      </c>
    </row>
    <row r="250" spans="1:29" x14ac:dyDescent="0.2">
      <c r="A250" s="34"/>
      <c r="B250" s="34"/>
      <c r="C250" s="34"/>
      <c r="D250" s="34"/>
      <c r="K250" s="17">
        <f>+Q250-M250-O250</f>
        <v>0</v>
      </c>
      <c r="U250" s="17">
        <f>Y250-W250-S250</f>
        <v>0</v>
      </c>
      <c r="AA250" s="17">
        <f t="shared" si="133"/>
        <v>0</v>
      </c>
      <c r="AC250" s="33">
        <f t="shared" si="134"/>
        <v>0</v>
      </c>
    </row>
    <row r="251" spans="1:29" x14ac:dyDescent="0.2">
      <c r="A251" s="30"/>
      <c r="B251" s="30"/>
      <c r="C251" s="30"/>
      <c r="D251" s="30"/>
      <c r="K251" s="17">
        <f t="shared" ref="K251:K314" si="135">+Q251-M251-O251</f>
        <v>0</v>
      </c>
      <c r="U251" s="17">
        <f t="shared" ref="U251:U317" si="136">Y251-W251-S251</f>
        <v>0</v>
      </c>
      <c r="AA251" s="17">
        <f t="shared" si="133"/>
        <v>0</v>
      </c>
      <c r="AC251" s="33">
        <f t="shared" si="134"/>
        <v>0</v>
      </c>
    </row>
    <row r="253" spans="1:29" s="33" customFormat="1" x14ac:dyDescent="0.2"/>
    <row r="254" spans="1:29" s="33" customFormat="1" x14ac:dyDescent="0.2">
      <c r="A254" s="31"/>
      <c r="B254" s="31"/>
      <c r="C254" s="31"/>
      <c r="D254" s="31"/>
      <c r="K254" s="33">
        <f>+Q254-M254-O254</f>
        <v>0</v>
      </c>
      <c r="U254" s="33">
        <f>Y254-W254-S254</f>
        <v>0</v>
      </c>
      <c r="AA254" s="33">
        <f>+I254-Q254-Y254</f>
        <v>0</v>
      </c>
      <c r="AC254" s="33">
        <f>+E254+G254+-K254-M254-S254-U254-W254-O254</f>
        <v>0</v>
      </c>
    </row>
    <row r="255" spans="1:29" x14ac:dyDescent="0.2">
      <c r="A255" s="34"/>
      <c r="B255" s="34"/>
      <c r="C255" s="34"/>
      <c r="D255" s="34"/>
      <c r="K255" s="17">
        <f>+Q255-M255-O255</f>
        <v>0</v>
      </c>
      <c r="U255" s="17">
        <f>Y255-W255-S255</f>
        <v>0</v>
      </c>
      <c r="AA255" s="17">
        <f>+I255-Q255-Y255</f>
        <v>0</v>
      </c>
      <c r="AC255" s="33">
        <f>+E255+G255+-K255-M255-S255-U255-W255-O255</f>
        <v>0</v>
      </c>
    </row>
    <row r="256" spans="1:29" x14ac:dyDescent="0.2">
      <c r="A256" s="34"/>
      <c r="B256" s="34"/>
      <c r="C256" s="34"/>
      <c r="D256" s="34"/>
      <c r="K256" s="17">
        <f>+Q256-M256-O256</f>
        <v>0</v>
      </c>
      <c r="U256" s="17">
        <f>Y256-W256-S256</f>
        <v>0</v>
      </c>
      <c r="AA256" s="17">
        <f>+I256-Q256-Y256</f>
        <v>0</v>
      </c>
      <c r="AC256" s="33">
        <f>+E256+G256+-K256-M256-S256-U256-W256-O256</f>
        <v>0</v>
      </c>
    </row>
    <row r="257" spans="1:29" x14ac:dyDescent="0.2">
      <c r="A257" s="34"/>
      <c r="B257" s="34"/>
      <c r="C257" s="34"/>
      <c r="D257" s="34"/>
      <c r="K257" s="17">
        <f>+Q257-M257-O257</f>
        <v>0</v>
      </c>
      <c r="U257" s="17">
        <f>Y257-W257-S257</f>
        <v>0</v>
      </c>
      <c r="AA257" s="17">
        <f>+I257-Q257-Y257</f>
        <v>0</v>
      </c>
      <c r="AC257" s="33">
        <f>+E257+G257+-K257-M257-S257-U257-W257-O257</f>
        <v>0</v>
      </c>
    </row>
    <row r="258" spans="1:29" x14ac:dyDescent="0.2">
      <c r="A258" s="30"/>
      <c r="B258" s="30"/>
      <c r="C258" s="30"/>
      <c r="D258" s="30"/>
      <c r="K258" s="17">
        <f t="shared" si="135"/>
        <v>0</v>
      </c>
      <c r="U258" s="17">
        <f t="shared" si="136"/>
        <v>0</v>
      </c>
      <c r="AA258" s="17">
        <f t="shared" ref="AA258:AA321" si="137">+I258-Q258-Y258</f>
        <v>0</v>
      </c>
      <c r="AC258" s="17">
        <f t="shared" ref="AC258:AC321" si="138">+E258+G258+-K258-M258-S258-U258-W258-O258</f>
        <v>0</v>
      </c>
    </row>
    <row r="259" spans="1:29" x14ac:dyDescent="0.2">
      <c r="A259" s="34"/>
      <c r="B259" s="34"/>
      <c r="C259" s="34"/>
      <c r="D259" s="34"/>
      <c r="K259" s="17">
        <f t="shared" si="135"/>
        <v>0</v>
      </c>
      <c r="U259" s="17">
        <f t="shared" si="136"/>
        <v>0</v>
      </c>
      <c r="AA259" s="17">
        <f t="shared" si="137"/>
        <v>0</v>
      </c>
      <c r="AC259" s="33">
        <f t="shared" si="138"/>
        <v>0</v>
      </c>
    </row>
    <row r="260" spans="1:29" x14ac:dyDescent="0.2">
      <c r="A260" s="34"/>
      <c r="B260" s="34"/>
      <c r="C260" s="34"/>
      <c r="D260" s="34"/>
      <c r="K260" s="17">
        <f t="shared" si="135"/>
        <v>0</v>
      </c>
      <c r="U260" s="17">
        <f t="shared" si="136"/>
        <v>0</v>
      </c>
      <c r="AA260" s="17">
        <f t="shared" si="137"/>
        <v>0</v>
      </c>
      <c r="AC260" s="33">
        <f t="shared" si="138"/>
        <v>0</v>
      </c>
    </row>
    <row r="261" spans="1:29" x14ac:dyDescent="0.2">
      <c r="A261" s="34"/>
      <c r="B261" s="34"/>
      <c r="C261" s="34"/>
      <c r="D261" s="34"/>
      <c r="K261" s="17">
        <f t="shared" si="135"/>
        <v>0</v>
      </c>
      <c r="U261" s="17">
        <f t="shared" si="136"/>
        <v>0</v>
      </c>
      <c r="AA261" s="17">
        <f t="shared" si="137"/>
        <v>0</v>
      </c>
      <c r="AC261" s="33">
        <f t="shared" si="138"/>
        <v>0</v>
      </c>
    </row>
    <row r="262" spans="1:29" x14ac:dyDescent="0.2">
      <c r="A262" s="34"/>
      <c r="B262" s="34"/>
      <c r="C262" s="34"/>
      <c r="D262" s="34"/>
      <c r="K262" s="17">
        <f t="shared" si="135"/>
        <v>0</v>
      </c>
      <c r="U262" s="17">
        <f t="shared" si="136"/>
        <v>0</v>
      </c>
      <c r="AA262" s="17">
        <f t="shared" si="137"/>
        <v>0</v>
      </c>
      <c r="AC262" s="33">
        <f t="shared" si="138"/>
        <v>0</v>
      </c>
    </row>
    <row r="263" spans="1:29" x14ac:dyDescent="0.2">
      <c r="A263" s="34"/>
      <c r="B263" s="34"/>
      <c r="C263" s="34"/>
      <c r="D263" s="34"/>
      <c r="K263" s="17">
        <f t="shared" si="135"/>
        <v>0</v>
      </c>
      <c r="U263" s="17">
        <f t="shared" si="136"/>
        <v>0</v>
      </c>
      <c r="AA263" s="17">
        <f t="shared" si="137"/>
        <v>0</v>
      </c>
      <c r="AC263" s="33">
        <f t="shared" si="138"/>
        <v>0</v>
      </c>
    </row>
    <row r="264" spans="1:29" x14ac:dyDescent="0.2">
      <c r="A264" s="34"/>
      <c r="B264" s="34"/>
      <c r="C264" s="34"/>
      <c r="D264" s="34"/>
      <c r="K264" s="17">
        <f t="shared" si="135"/>
        <v>0</v>
      </c>
      <c r="U264" s="17">
        <f t="shared" si="136"/>
        <v>0</v>
      </c>
      <c r="AA264" s="17">
        <f>+I264-Q264-Y264</f>
        <v>0</v>
      </c>
      <c r="AC264" s="33">
        <f>+E264+G264+-K264-M264-S264-U264-W264-O264</f>
        <v>0</v>
      </c>
    </row>
    <row r="265" spans="1:29" x14ac:dyDescent="0.2">
      <c r="A265" s="34"/>
      <c r="B265" s="34"/>
      <c r="C265" s="34"/>
      <c r="D265" s="34"/>
      <c r="K265" s="17">
        <f t="shared" si="135"/>
        <v>0</v>
      </c>
      <c r="U265" s="17">
        <f t="shared" si="136"/>
        <v>0</v>
      </c>
      <c r="AA265" s="17">
        <f>+I265-Q265-Y265</f>
        <v>0</v>
      </c>
      <c r="AC265" s="33">
        <f>+E265+G265+-K265-M265-S265-U265-W265-O265</f>
        <v>0</v>
      </c>
    </row>
    <row r="266" spans="1:29" x14ac:dyDescent="0.2">
      <c r="A266" s="34"/>
      <c r="B266" s="34"/>
      <c r="C266" s="34"/>
      <c r="D266" s="34"/>
      <c r="K266" s="17">
        <f t="shared" si="135"/>
        <v>0</v>
      </c>
      <c r="U266" s="17">
        <f t="shared" si="136"/>
        <v>0</v>
      </c>
      <c r="AA266" s="17">
        <f t="shared" si="137"/>
        <v>0</v>
      </c>
      <c r="AC266" s="33">
        <f t="shared" si="138"/>
        <v>0</v>
      </c>
    </row>
    <row r="267" spans="1:29" x14ac:dyDescent="0.2">
      <c r="A267" s="34"/>
      <c r="B267" s="34"/>
      <c r="C267" s="34"/>
      <c r="D267" s="34"/>
      <c r="K267" s="17">
        <f t="shared" si="135"/>
        <v>0</v>
      </c>
      <c r="U267" s="17">
        <f t="shared" si="136"/>
        <v>0</v>
      </c>
      <c r="AA267" s="17">
        <f t="shared" si="137"/>
        <v>0</v>
      </c>
      <c r="AC267" s="33">
        <f t="shared" si="138"/>
        <v>0</v>
      </c>
    </row>
    <row r="268" spans="1:29" x14ac:dyDescent="0.2">
      <c r="A268" s="34"/>
      <c r="B268" s="34"/>
      <c r="C268" s="34"/>
      <c r="D268" s="34"/>
      <c r="K268" s="17">
        <f t="shared" si="135"/>
        <v>0</v>
      </c>
      <c r="U268" s="17">
        <f t="shared" si="136"/>
        <v>0</v>
      </c>
      <c r="AA268" s="17">
        <f t="shared" si="137"/>
        <v>0</v>
      </c>
      <c r="AC268" s="33">
        <f t="shared" si="138"/>
        <v>0</v>
      </c>
    </row>
    <row r="269" spans="1:29" x14ac:dyDescent="0.2">
      <c r="A269" s="34"/>
      <c r="B269" s="34"/>
      <c r="C269" s="34"/>
      <c r="D269" s="34"/>
      <c r="K269" s="17">
        <f t="shared" si="135"/>
        <v>0</v>
      </c>
      <c r="U269" s="17">
        <f t="shared" si="136"/>
        <v>0</v>
      </c>
      <c r="AA269" s="17">
        <f t="shared" si="137"/>
        <v>0</v>
      </c>
      <c r="AC269" s="33">
        <f t="shared" si="138"/>
        <v>0</v>
      </c>
    </row>
    <row r="270" spans="1:29" x14ac:dyDescent="0.2">
      <c r="A270" s="34"/>
      <c r="B270" s="34"/>
      <c r="C270" s="34"/>
      <c r="D270" s="34"/>
      <c r="K270" s="17">
        <f>+Q270-M270-O270</f>
        <v>0</v>
      </c>
      <c r="U270" s="17">
        <f>Y270-W270-S270</f>
        <v>0</v>
      </c>
      <c r="AA270" s="17">
        <f>+I270-Q270-Y270</f>
        <v>0</v>
      </c>
      <c r="AC270" s="33">
        <f>+E270+G270+-K270-M270-S270-U270-W270-O270</f>
        <v>0</v>
      </c>
    </row>
    <row r="271" spans="1:29" x14ac:dyDescent="0.2">
      <c r="A271" s="34"/>
      <c r="B271" s="34"/>
      <c r="C271" s="34"/>
      <c r="D271" s="34"/>
      <c r="K271" s="17">
        <f t="shared" si="135"/>
        <v>0</v>
      </c>
      <c r="U271" s="17">
        <f t="shared" si="136"/>
        <v>0</v>
      </c>
      <c r="AA271" s="17">
        <f t="shared" si="137"/>
        <v>0</v>
      </c>
      <c r="AC271" s="33">
        <f t="shared" si="138"/>
        <v>0</v>
      </c>
    </row>
    <row r="272" spans="1:29" x14ac:dyDescent="0.2">
      <c r="A272" s="34"/>
      <c r="B272" s="34"/>
      <c r="C272" s="34"/>
      <c r="D272" s="34"/>
      <c r="K272" s="17">
        <f t="shared" si="135"/>
        <v>0</v>
      </c>
      <c r="U272" s="17">
        <f t="shared" si="136"/>
        <v>0</v>
      </c>
      <c r="AA272" s="17">
        <f t="shared" si="137"/>
        <v>0</v>
      </c>
      <c r="AC272" s="33">
        <f t="shared" si="138"/>
        <v>0</v>
      </c>
    </row>
    <row r="273" spans="1:29" x14ac:dyDescent="0.2">
      <c r="A273" s="34"/>
      <c r="B273" s="34"/>
      <c r="C273" s="34"/>
      <c r="D273" s="34"/>
      <c r="K273" s="17">
        <f t="shared" si="135"/>
        <v>0</v>
      </c>
      <c r="U273" s="17">
        <f t="shared" si="136"/>
        <v>0</v>
      </c>
      <c r="AA273" s="17">
        <f t="shared" si="137"/>
        <v>0</v>
      </c>
      <c r="AC273" s="33">
        <f t="shared" si="138"/>
        <v>0</v>
      </c>
    </row>
    <row r="274" spans="1:29" x14ac:dyDescent="0.2">
      <c r="A274" s="34"/>
      <c r="B274" s="34"/>
      <c r="C274" s="34"/>
      <c r="D274" s="34"/>
      <c r="K274" s="17">
        <f t="shared" si="135"/>
        <v>0</v>
      </c>
      <c r="U274" s="17">
        <f t="shared" si="136"/>
        <v>0</v>
      </c>
      <c r="AA274" s="17">
        <f t="shared" si="137"/>
        <v>0</v>
      </c>
      <c r="AC274" s="33">
        <f t="shared" si="138"/>
        <v>0</v>
      </c>
    </row>
    <row r="275" spans="1:29" x14ac:dyDescent="0.2">
      <c r="A275" s="34"/>
      <c r="B275" s="34"/>
      <c r="C275" s="34"/>
      <c r="D275" s="34"/>
      <c r="K275" s="17">
        <f t="shared" si="135"/>
        <v>0</v>
      </c>
      <c r="U275" s="17">
        <f t="shared" si="136"/>
        <v>0</v>
      </c>
      <c r="AA275" s="17">
        <f t="shared" si="137"/>
        <v>0</v>
      </c>
      <c r="AC275" s="33">
        <f t="shared" si="138"/>
        <v>0</v>
      </c>
    </row>
    <row r="276" spans="1:29" x14ac:dyDescent="0.2">
      <c r="A276" s="34"/>
      <c r="B276" s="34"/>
      <c r="C276" s="34"/>
      <c r="D276" s="34"/>
      <c r="K276" s="17">
        <f t="shared" si="135"/>
        <v>0</v>
      </c>
      <c r="U276" s="17">
        <f t="shared" si="136"/>
        <v>0</v>
      </c>
      <c r="AA276" s="17">
        <f t="shared" si="137"/>
        <v>0</v>
      </c>
      <c r="AC276" s="33">
        <f t="shared" si="138"/>
        <v>0</v>
      </c>
    </row>
    <row r="277" spans="1:29" x14ac:dyDescent="0.2">
      <c r="A277" s="34"/>
      <c r="B277" s="34"/>
      <c r="C277" s="34"/>
      <c r="D277" s="34"/>
      <c r="K277" s="17">
        <f t="shared" si="135"/>
        <v>0</v>
      </c>
      <c r="U277" s="17">
        <f t="shared" si="136"/>
        <v>0</v>
      </c>
      <c r="AA277" s="17">
        <f t="shared" si="137"/>
        <v>0</v>
      </c>
      <c r="AC277" s="33">
        <f t="shared" si="138"/>
        <v>0</v>
      </c>
    </row>
    <row r="278" spans="1:29" x14ac:dyDescent="0.2">
      <c r="A278" s="34"/>
      <c r="B278" s="34"/>
      <c r="C278" s="34"/>
      <c r="D278" s="34"/>
      <c r="K278" s="17">
        <f t="shared" si="135"/>
        <v>0</v>
      </c>
      <c r="U278" s="17">
        <f t="shared" si="136"/>
        <v>0</v>
      </c>
      <c r="AA278" s="17">
        <f t="shared" si="137"/>
        <v>0</v>
      </c>
      <c r="AC278" s="33">
        <f t="shared" si="138"/>
        <v>0</v>
      </c>
    </row>
    <row r="279" spans="1:29" x14ac:dyDescent="0.2">
      <c r="A279" s="34"/>
      <c r="B279" s="34"/>
      <c r="C279" s="34"/>
      <c r="D279" s="34"/>
      <c r="K279" s="17">
        <f t="shared" si="135"/>
        <v>0</v>
      </c>
      <c r="U279" s="17">
        <f t="shared" si="136"/>
        <v>0</v>
      </c>
      <c r="AA279" s="17">
        <f t="shared" si="137"/>
        <v>0</v>
      </c>
      <c r="AC279" s="33">
        <f t="shared" si="138"/>
        <v>0</v>
      </c>
    </row>
    <row r="280" spans="1:29" x14ac:dyDescent="0.2">
      <c r="A280" s="34"/>
      <c r="B280" s="34"/>
      <c r="C280" s="34"/>
      <c r="D280" s="34"/>
      <c r="K280" s="17">
        <f t="shared" si="135"/>
        <v>0</v>
      </c>
      <c r="U280" s="17">
        <f t="shared" si="136"/>
        <v>0</v>
      </c>
      <c r="AA280" s="17">
        <f t="shared" si="137"/>
        <v>0</v>
      </c>
      <c r="AC280" s="33">
        <f t="shared" si="138"/>
        <v>0</v>
      </c>
    </row>
    <row r="281" spans="1:29" x14ac:dyDescent="0.2">
      <c r="A281" s="34"/>
      <c r="B281" s="34"/>
      <c r="C281" s="34"/>
      <c r="D281" s="34"/>
      <c r="K281" s="17">
        <f t="shared" si="135"/>
        <v>0</v>
      </c>
      <c r="U281" s="17">
        <f t="shared" si="136"/>
        <v>0</v>
      </c>
      <c r="AA281" s="17">
        <f t="shared" si="137"/>
        <v>0</v>
      </c>
      <c r="AC281" s="33">
        <f t="shared" si="138"/>
        <v>0</v>
      </c>
    </row>
    <row r="282" spans="1:29" x14ac:dyDescent="0.2">
      <c r="A282" s="34"/>
      <c r="B282" s="34"/>
      <c r="C282" s="34"/>
      <c r="D282" s="34"/>
      <c r="K282" s="17">
        <f t="shared" si="135"/>
        <v>0</v>
      </c>
      <c r="U282" s="17">
        <f t="shared" si="136"/>
        <v>0</v>
      </c>
      <c r="AA282" s="17">
        <f t="shared" si="137"/>
        <v>0</v>
      </c>
      <c r="AC282" s="33">
        <f t="shared" si="138"/>
        <v>0</v>
      </c>
    </row>
    <row r="283" spans="1:29" x14ac:dyDescent="0.2">
      <c r="A283" s="34"/>
      <c r="B283" s="34"/>
      <c r="C283" s="34"/>
      <c r="D283" s="34"/>
      <c r="K283" s="17">
        <f t="shared" si="135"/>
        <v>0</v>
      </c>
      <c r="U283" s="17">
        <f t="shared" si="136"/>
        <v>0</v>
      </c>
      <c r="AA283" s="17">
        <f>+I283-Q283-Y283</f>
        <v>0</v>
      </c>
      <c r="AC283" s="33">
        <f t="shared" si="138"/>
        <v>0</v>
      </c>
    </row>
    <row r="284" spans="1:29" x14ac:dyDescent="0.2">
      <c r="A284" s="34"/>
      <c r="B284" s="34"/>
      <c r="C284" s="34"/>
      <c r="D284" s="34"/>
      <c r="K284" s="17">
        <f t="shared" si="135"/>
        <v>0</v>
      </c>
      <c r="U284" s="17">
        <f t="shared" si="136"/>
        <v>0</v>
      </c>
      <c r="AA284" s="17">
        <f t="shared" si="137"/>
        <v>0</v>
      </c>
      <c r="AC284" s="33">
        <f t="shared" si="138"/>
        <v>0</v>
      </c>
    </row>
    <row r="285" spans="1:29" x14ac:dyDescent="0.2">
      <c r="A285" s="34"/>
      <c r="B285" s="34"/>
      <c r="C285" s="34"/>
      <c r="D285" s="34"/>
      <c r="K285" s="17">
        <f t="shared" si="135"/>
        <v>0</v>
      </c>
      <c r="U285" s="17">
        <f t="shared" si="136"/>
        <v>0</v>
      </c>
      <c r="AA285" s="17">
        <f t="shared" si="137"/>
        <v>0</v>
      </c>
      <c r="AC285" s="33">
        <f t="shared" si="138"/>
        <v>0</v>
      </c>
    </row>
    <row r="286" spans="1:29" x14ac:dyDescent="0.2">
      <c r="A286" s="34"/>
      <c r="B286" s="34"/>
      <c r="C286" s="34"/>
      <c r="D286" s="34"/>
      <c r="K286" s="17">
        <f t="shared" si="135"/>
        <v>0</v>
      </c>
      <c r="U286" s="17">
        <f t="shared" si="136"/>
        <v>0</v>
      </c>
      <c r="AA286" s="17">
        <f t="shared" si="137"/>
        <v>0</v>
      </c>
      <c r="AC286" s="33">
        <f t="shared" si="138"/>
        <v>0</v>
      </c>
    </row>
    <row r="287" spans="1:29" x14ac:dyDescent="0.2">
      <c r="A287" s="34"/>
      <c r="B287" s="34"/>
      <c r="C287" s="34"/>
      <c r="D287" s="34"/>
      <c r="K287" s="17">
        <f t="shared" si="135"/>
        <v>0</v>
      </c>
      <c r="U287" s="17">
        <f t="shared" si="136"/>
        <v>0</v>
      </c>
      <c r="AA287" s="17">
        <f t="shared" si="137"/>
        <v>0</v>
      </c>
      <c r="AC287" s="33">
        <f t="shared" si="138"/>
        <v>0</v>
      </c>
    </row>
    <row r="288" spans="1:29" x14ac:dyDescent="0.2">
      <c r="A288" s="34"/>
      <c r="B288" s="34"/>
      <c r="C288" s="34"/>
      <c r="D288" s="34"/>
      <c r="K288" s="17">
        <f t="shared" si="135"/>
        <v>0</v>
      </c>
      <c r="U288" s="17">
        <f t="shared" si="136"/>
        <v>0</v>
      </c>
      <c r="AA288" s="17">
        <f t="shared" si="137"/>
        <v>0</v>
      </c>
      <c r="AC288" s="33">
        <f t="shared" si="138"/>
        <v>0</v>
      </c>
    </row>
    <row r="289" spans="1:29" x14ac:dyDescent="0.2">
      <c r="A289" s="34"/>
      <c r="B289" s="34"/>
      <c r="C289" s="34"/>
      <c r="D289" s="34"/>
      <c r="K289" s="17">
        <f t="shared" si="135"/>
        <v>0</v>
      </c>
      <c r="U289" s="17">
        <f t="shared" si="136"/>
        <v>0</v>
      </c>
      <c r="AA289" s="17">
        <f t="shared" si="137"/>
        <v>0</v>
      </c>
      <c r="AC289" s="33">
        <f t="shared" si="138"/>
        <v>0</v>
      </c>
    </row>
    <row r="290" spans="1:29" x14ac:dyDescent="0.2">
      <c r="A290" s="34"/>
      <c r="B290" s="34"/>
      <c r="C290" s="34"/>
      <c r="D290" s="34"/>
      <c r="K290" s="17">
        <f>+Q290-M290-O290</f>
        <v>0</v>
      </c>
      <c r="U290" s="17">
        <f>Y290-W290-S290</f>
        <v>0</v>
      </c>
      <c r="AA290" s="17">
        <f t="shared" si="137"/>
        <v>0</v>
      </c>
      <c r="AC290" s="33">
        <f t="shared" si="138"/>
        <v>0</v>
      </c>
    </row>
    <row r="291" spans="1:29" x14ac:dyDescent="0.2">
      <c r="A291" s="34"/>
      <c r="B291" s="34"/>
      <c r="C291" s="34"/>
      <c r="D291" s="34"/>
      <c r="K291" s="17">
        <f t="shared" si="135"/>
        <v>0</v>
      </c>
      <c r="U291" s="17">
        <f t="shared" si="136"/>
        <v>0</v>
      </c>
      <c r="AA291" s="17">
        <f t="shared" si="137"/>
        <v>0</v>
      </c>
      <c r="AC291" s="33">
        <f t="shared" si="138"/>
        <v>0</v>
      </c>
    </row>
    <row r="292" spans="1:29" x14ac:dyDescent="0.2">
      <c r="A292" s="30"/>
      <c r="B292" s="30"/>
      <c r="C292" s="30"/>
      <c r="D292" s="30"/>
      <c r="K292" s="17">
        <f t="shared" si="135"/>
        <v>0</v>
      </c>
      <c r="U292" s="17">
        <f t="shared" si="136"/>
        <v>0</v>
      </c>
      <c r="AA292" s="17">
        <f t="shared" si="137"/>
        <v>0</v>
      </c>
      <c r="AC292" s="17">
        <f t="shared" si="138"/>
        <v>0</v>
      </c>
    </row>
    <row r="293" spans="1:29" x14ac:dyDescent="0.2">
      <c r="A293" s="34"/>
      <c r="B293" s="34"/>
      <c r="C293" s="34"/>
      <c r="D293" s="34"/>
      <c r="K293" s="17">
        <f t="shared" si="135"/>
        <v>0</v>
      </c>
      <c r="U293" s="17">
        <f t="shared" si="136"/>
        <v>0</v>
      </c>
      <c r="AA293" s="17">
        <f t="shared" si="137"/>
        <v>0</v>
      </c>
      <c r="AC293" s="33">
        <f t="shared" si="138"/>
        <v>0</v>
      </c>
    </row>
    <row r="294" spans="1:29" x14ac:dyDescent="0.2">
      <c r="A294" s="34"/>
      <c r="B294" s="34"/>
      <c r="C294" s="34"/>
      <c r="D294" s="34"/>
      <c r="K294" s="17">
        <f t="shared" si="135"/>
        <v>0</v>
      </c>
      <c r="U294" s="17">
        <f t="shared" si="136"/>
        <v>0</v>
      </c>
      <c r="AA294" s="17">
        <f t="shared" si="137"/>
        <v>0</v>
      </c>
      <c r="AC294" s="33">
        <f t="shared" si="138"/>
        <v>0</v>
      </c>
    </row>
    <row r="295" spans="1:29" x14ac:dyDescent="0.2">
      <c r="A295" s="34"/>
      <c r="B295" s="34"/>
      <c r="C295" s="34"/>
      <c r="D295" s="34"/>
      <c r="K295" s="17">
        <f t="shared" si="135"/>
        <v>0</v>
      </c>
      <c r="U295" s="17">
        <f t="shared" si="136"/>
        <v>0</v>
      </c>
      <c r="AA295" s="17">
        <f t="shared" si="137"/>
        <v>0</v>
      </c>
      <c r="AC295" s="33">
        <f t="shared" si="138"/>
        <v>0</v>
      </c>
    </row>
    <row r="296" spans="1:29" x14ac:dyDescent="0.2">
      <c r="A296" s="34"/>
      <c r="B296" s="34"/>
      <c r="C296" s="34"/>
      <c r="D296" s="34"/>
      <c r="K296" s="17">
        <f t="shared" si="135"/>
        <v>0</v>
      </c>
      <c r="U296" s="17">
        <f t="shared" si="136"/>
        <v>0</v>
      </c>
      <c r="AA296" s="17">
        <f t="shared" si="137"/>
        <v>0</v>
      </c>
      <c r="AC296" s="33">
        <f t="shared" si="138"/>
        <v>0</v>
      </c>
    </row>
    <row r="297" spans="1:29" x14ac:dyDescent="0.2">
      <c r="A297" s="34"/>
      <c r="B297" s="34"/>
      <c r="C297" s="34"/>
      <c r="D297" s="34"/>
      <c r="K297" s="17">
        <f t="shared" si="135"/>
        <v>0</v>
      </c>
      <c r="U297" s="17">
        <f t="shared" si="136"/>
        <v>0</v>
      </c>
      <c r="AA297" s="17">
        <f t="shared" si="137"/>
        <v>0</v>
      </c>
      <c r="AC297" s="33">
        <f t="shared" si="138"/>
        <v>0</v>
      </c>
    </row>
    <row r="298" spans="1:29" x14ac:dyDescent="0.2">
      <c r="A298" s="34"/>
      <c r="B298" s="34"/>
      <c r="C298" s="34"/>
      <c r="D298" s="34"/>
      <c r="K298" s="17">
        <f t="shared" si="135"/>
        <v>0</v>
      </c>
      <c r="U298" s="17">
        <f t="shared" si="136"/>
        <v>0</v>
      </c>
      <c r="AA298" s="17">
        <f t="shared" si="137"/>
        <v>0</v>
      </c>
      <c r="AC298" s="33">
        <f t="shared" si="138"/>
        <v>0</v>
      </c>
    </row>
    <row r="299" spans="1:29" x14ac:dyDescent="0.2">
      <c r="A299" s="34"/>
      <c r="B299" s="34"/>
      <c r="C299" s="34"/>
      <c r="D299" s="34"/>
      <c r="K299" s="17">
        <f t="shared" si="135"/>
        <v>0</v>
      </c>
      <c r="U299" s="17">
        <f t="shared" si="136"/>
        <v>0</v>
      </c>
      <c r="AA299" s="17">
        <f t="shared" si="137"/>
        <v>0</v>
      </c>
      <c r="AC299" s="33">
        <f t="shared" si="138"/>
        <v>0</v>
      </c>
    </row>
    <row r="300" spans="1:29" x14ac:dyDescent="0.2">
      <c r="A300" s="34"/>
      <c r="B300" s="34"/>
      <c r="C300" s="34"/>
      <c r="D300" s="34"/>
      <c r="K300" s="17">
        <f t="shared" si="135"/>
        <v>0</v>
      </c>
      <c r="U300" s="17">
        <f t="shared" si="136"/>
        <v>0</v>
      </c>
      <c r="AA300" s="17">
        <f t="shared" si="137"/>
        <v>0</v>
      </c>
      <c r="AC300" s="33">
        <f t="shared" si="138"/>
        <v>0</v>
      </c>
    </row>
    <row r="301" spans="1:29" x14ac:dyDescent="0.2">
      <c r="A301" s="34"/>
      <c r="B301" s="34"/>
      <c r="C301" s="34"/>
      <c r="D301" s="34"/>
      <c r="K301" s="17">
        <f t="shared" si="135"/>
        <v>0</v>
      </c>
      <c r="U301" s="17">
        <f t="shared" si="136"/>
        <v>0</v>
      </c>
      <c r="AA301" s="17">
        <f t="shared" si="137"/>
        <v>0</v>
      </c>
      <c r="AC301" s="33">
        <f t="shared" si="138"/>
        <v>0</v>
      </c>
    </row>
    <row r="302" spans="1:29" x14ac:dyDescent="0.2">
      <c r="A302" s="34"/>
      <c r="B302" s="34"/>
      <c r="C302" s="34"/>
      <c r="D302" s="34"/>
      <c r="K302" s="17">
        <f t="shared" si="135"/>
        <v>0</v>
      </c>
      <c r="U302" s="17">
        <f t="shared" si="136"/>
        <v>0</v>
      </c>
      <c r="AA302" s="17">
        <f t="shared" si="137"/>
        <v>0</v>
      </c>
      <c r="AC302" s="33">
        <f t="shared" si="138"/>
        <v>0</v>
      </c>
    </row>
    <row r="303" spans="1:29" x14ac:dyDescent="0.2">
      <c r="A303" s="34"/>
      <c r="B303" s="34"/>
      <c r="C303" s="34"/>
      <c r="D303" s="34"/>
      <c r="K303" s="17">
        <f t="shared" si="135"/>
        <v>0</v>
      </c>
      <c r="U303" s="17">
        <f t="shared" si="136"/>
        <v>0</v>
      </c>
      <c r="AA303" s="17">
        <f t="shared" si="137"/>
        <v>0</v>
      </c>
      <c r="AC303" s="33">
        <f t="shared" si="138"/>
        <v>0</v>
      </c>
    </row>
    <row r="304" spans="1:29" x14ac:dyDescent="0.2">
      <c r="A304" s="34"/>
      <c r="B304" s="34"/>
      <c r="C304" s="34"/>
      <c r="D304" s="34"/>
      <c r="K304" s="17">
        <f t="shared" si="135"/>
        <v>0</v>
      </c>
      <c r="U304" s="17">
        <f t="shared" si="136"/>
        <v>0</v>
      </c>
      <c r="AA304" s="17">
        <f t="shared" si="137"/>
        <v>0</v>
      </c>
      <c r="AC304" s="33">
        <f t="shared" si="138"/>
        <v>0</v>
      </c>
    </row>
    <row r="305" spans="1:29" x14ac:dyDescent="0.2">
      <c r="A305" s="34"/>
      <c r="B305" s="34"/>
      <c r="C305" s="34"/>
      <c r="D305" s="34"/>
      <c r="K305" s="17">
        <f t="shared" si="135"/>
        <v>0</v>
      </c>
      <c r="U305" s="17">
        <f t="shared" si="136"/>
        <v>0</v>
      </c>
      <c r="AA305" s="17">
        <f t="shared" si="137"/>
        <v>0</v>
      </c>
      <c r="AC305" s="33">
        <f t="shared" si="138"/>
        <v>0</v>
      </c>
    </row>
    <row r="306" spans="1:29" x14ac:dyDescent="0.2">
      <c r="A306" s="34"/>
      <c r="B306" s="34"/>
      <c r="C306" s="34"/>
      <c r="D306" s="34"/>
      <c r="K306" s="17">
        <f t="shared" si="135"/>
        <v>0</v>
      </c>
      <c r="U306" s="17">
        <f t="shared" si="136"/>
        <v>0</v>
      </c>
      <c r="AA306" s="17">
        <f t="shared" si="137"/>
        <v>0</v>
      </c>
      <c r="AC306" s="33">
        <f t="shared" si="138"/>
        <v>0</v>
      </c>
    </row>
    <row r="307" spans="1:29" x14ac:dyDescent="0.2">
      <c r="A307" s="34"/>
      <c r="B307" s="34"/>
      <c r="C307" s="34"/>
      <c r="D307" s="34"/>
      <c r="K307" s="17">
        <f t="shared" si="135"/>
        <v>0</v>
      </c>
      <c r="U307" s="17">
        <f t="shared" si="136"/>
        <v>0</v>
      </c>
      <c r="AA307" s="17">
        <f t="shared" si="137"/>
        <v>0</v>
      </c>
      <c r="AC307" s="33">
        <f t="shared" si="138"/>
        <v>0</v>
      </c>
    </row>
    <row r="308" spans="1:29" x14ac:dyDescent="0.2">
      <c r="A308" s="34"/>
      <c r="B308" s="34"/>
      <c r="C308" s="34"/>
      <c r="D308" s="34"/>
      <c r="K308" s="17">
        <f t="shared" si="135"/>
        <v>0</v>
      </c>
      <c r="U308" s="17">
        <f t="shared" si="136"/>
        <v>0</v>
      </c>
      <c r="AA308" s="17">
        <f t="shared" si="137"/>
        <v>0</v>
      </c>
      <c r="AC308" s="33">
        <f t="shared" si="138"/>
        <v>0</v>
      </c>
    </row>
    <row r="309" spans="1:29" x14ac:dyDescent="0.2">
      <c r="A309" s="34"/>
      <c r="B309" s="34"/>
      <c r="C309" s="34"/>
      <c r="D309" s="34"/>
      <c r="K309" s="17">
        <f t="shared" si="135"/>
        <v>0</v>
      </c>
      <c r="U309" s="17">
        <f t="shared" si="136"/>
        <v>0</v>
      </c>
      <c r="AA309" s="17">
        <f t="shared" si="137"/>
        <v>0</v>
      </c>
      <c r="AC309" s="33">
        <f t="shared" si="138"/>
        <v>0</v>
      </c>
    </row>
    <row r="310" spans="1:29" x14ac:dyDescent="0.2">
      <c r="A310" s="34"/>
      <c r="B310" s="34"/>
      <c r="C310" s="34"/>
      <c r="D310" s="34"/>
      <c r="K310" s="17">
        <v>0</v>
      </c>
      <c r="U310" s="17">
        <f t="shared" si="136"/>
        <v>0</v>
      </c>
      <c r="AA310" s="17">
        <f t="shared" si="137"/>
        <v>0</v>
      </c>
      <c r="AC310" s="33">
        <f t="shared" si="138"/>
        <v>0</v>
      </c>
    </row>
    <row r="311" spans="1:29" x14ac:dyDescent="0.2">
      <c r="A311" s="34"/>
      <c r="B311" s="34"/>
      <c r="C311" s="34"/>
      <c r="D311" s="34"/>
      <c r="K311" s="17">
        <f t="shared" si="135"/>
        <v>0</v>
      </c>
      <c r="U311" s="17">
        <f t="shared" si="136"/>
        <v>0</v>
      </c>
      <c r="AA311" s="17">
        <f t="shared" si="137"/>
        <v>0</v>
      </c>
      <c r="AC311" s="33">
        <f t="shared" si="138"/>
        <v>0</v>
      </c>
    </row>
    <row r="312" spans="1:29" x14ac:dyDescent="0.2">
      <c r="A312" s="34"/>
      <c r="B312" s="34"/>
      <c r="C312" s="34"/>
      <c r="D312" s="34"/>
      <c r="K312" s="17">
        <f t="shared" si="135"/>
        <v>0</v>
      </c>
      <c r="U312" s="17">
        <f t="shared" si="136"/>
        <v>0</v>
      </c>
      <c r="AA312" s="17">
        <f t="shared" si="137"/>
        <v>0</v>
      </c>
      <c r="AC312" s="33">
        <f t="shared" si="138"/>
        <v>0</v>
      </c>
    </row>
    <row r="313" spans="1:29" x14ac:dyDescent="0.2">
      <c r="A313" s="34"/>
      <c r="B313" s="34"/>
      <c r="C313" s="34"/>
      <c r="D313" s="34"/>
      <c r="K313" s="17">
        <f t="shared" si="135"/>
        <v>0</v>
      </c>
      <c r="U313" s="17">
        <f t="shared" si="136"/>
        <v>0</v>
      </c>
      <c r="AA313" s="17">
        <f t="shared" si="137"/>
        <v>0</v>
      </c>
      <c r="AC313" s="33">
        <f t="shared" si="138"/>
        <v>0</v>
      </c>
    </row>
    <row r="314" spans="1:29" x14ac:dyDescent="0.2">
      <c r="A314" s="34"/>
      <c r="B314" s="34"/>
      <c r="C314" s="34"/>
      <c r="D314" s="34"/>
      <c r="K314" s="17">
        <f t="shared" si="135"/>
        <v>0</v>
      </c>
      <c r="U314" s="17">
        <f t="shared" si="136"/>
        <v>0</v>
      </c>
      <c r="AA314" s="17">
        <f t="shared" si="137"/>
        <v>0</v>
      </c>
      <c r="AC314" s="33">
        <f t="shared" si="138"/>
        <v>0</v>
      </c>
    </row>
    <row r="315" spans="1:29" x14ac:dyDescent="0.2">
      <c r="A315" s="34"/>
      <c r="B315" s="34"/>
      <c r="C315" s="34"/>
      <c r="D315" s="34"/>
      <c r="K315" s="17">
        <f t="shared" ref="K315:K321" si="139">+Q315-M315-O315</f>
        <v>0</v>
      </c>
      <c r="U315" s="17">
        <f t="shared" si="136"/>
        <v>0</v>
      </c>
      <c r="AA315" s="17">
        <f t="shared" si="137"/>
        <v>0</v>
      </c>
      <c r="AC315" s="33">
        <f t="shared" si="138"/>
        <v>0</v>
      </c>
    </row>
    <row r="316" spans="1:29" x14ac:dyDescent="0.2">
      <c r="A316" s="34"/>
      <c r="B316" s="34"/>
      <c r="C316" s="34"/>
      <c r="D316" s="34"/>
      <c r="K316" s="17">
        <f t="shared" si="139"/>
        <v>0</v>
      </c>
      <c r="U316" s="17">
        <f t="shared" si="136"/>
        <v>0</v>
      </c>
      <c r="AA316" s="17">
        <f t="shared" si="137"/>
        <v>0</v>
      </c>
      <c r="AC316" s="33">
        <f t="shared" si="138"/>
        <v>0</v>
      </c>
    </row>
    <row r="317" spans="1:29" x14ac:dyDescent="0.2">
      <c r="A317" s="34"/>
      <c r="B317" s="34"/>
      <c r="C317" s="34"/>
      <c r="D317" s="34"/>
      <c r="K317" s="17">
        <f t="shared" si="139"/>
        <v>0</v>
      </c>
      <c r="U317" s="17">
        <f t="shared" si="136"/>
        <v>0</v>
      </c>
      <c r="AA317" s="17">
        <f t="shared" si="137"/>
        <v>0</v>
      </c>
      <c r="AC317" s="33">
        <f t="shared" si="138"/>
        <v>0</v>
      </c>
    </row>
    <row r="318" spans="1:29" x14ac:dyDescent="0.2">
      <c r="A318" s="34"/>
      <c r="B318" s="34"/>
      <c r="C318" s="34"/>
      <c r="D318" s="34"/>
      <c r="K318" s="17">
        <f t="shared" si="139"/>
        <v>0</v>
      </c>
      <c r="U318" s="17">
        <f>Y318-W318-S318</f>
        <v>0</v>
      </c>
      <c r="AA318" s="17">
        <f t="shared" si="137"/>
        <v>0</v>
      </c>
      <c r="AC318" s="33">
        <f t="shared" si="138"/>
        <v>0</v>
      </c>
    </row>
    <row r="319" spans="1:29" x14ac:dyDescent="0.2">
      <c r="A319" s="34"/>
      <c r="B319" s="34"/>
      <c r="C319" s="34"/>
      <c r="D319" s="34"/>
      <c r="K319" s="17">
        <f t="shared" si="139"/>
        <v>0</v>
      </c>
      <c r="U319" s="17">
        <f>Y319-W319-S319</f>
        <v>0</v>
      </c>
      <c r="AA319" s="17">
        <f t="shared" si="137"/>
        <v>0</v>
      </c>
      <c r="AC319" s="33">
        <f t="shared" si="138"/>
        <v>0</v>
      </c>
    </row>
    <row r="320" spans="1:29" x14ac:dyDescent="0.2">
      <c r="A320" s="34"/>
      <c r="B320" s="34"/>
      <c r="C320" s="34"/>
      <c r="D320" s="34"/>
      <c r="K320" s="17">
        <f>+Q320-M320-O320</f>
        <v>0</v>
      </c>
      <c r="U320" s="17">
        <f>Y320-W320-S320</f>
        <v>0</v>
      </c>
      <c r="AA320" s="17">
        <f>+I320-Q320-Y320</f>
        <v>0</v>
      </c>
      <c r="AC320" s="33">
        <f>+E320+G320+-K320-M320-S320-U320-W320-O320</f>
        <v>0</v>
      </c>
    </row>
    <row r="321" spans="1:29" x14ac:dyDescent="0.2">
      <c r="A321" s="34"/>
      <c r="B321" s="34"/>
      <c r="C321" s="34"/>
      <c r="D321" s="34"/>
      <c r="K321" s="17">
        <f t="shared" si="139"/>
        <v>0</v>
      </c>
      <c r="U321" s="17">
        <f>Y321-W321-S321</f>
        <v>0</v>
      </c>
      <c r="AA321" s="17">
        <f t="shared" si="137"/>
        <v>0</v>
      </c>
      <c r="AC321" s="33">
        <f t="shared" si="138"/>
        <v>0</v>
      </c>
    </row>
    <row r="324" spans="1:29" x14ac:dyDescent="0.2">
      <c r="A324" s="34"/>
      <c r="B324" s="34"/>
      <c r="C324" s="34"/>
      <c r="D324" s="34"/>
      <c r="K324" s="17">
        <f t="shared" ref="K324:K387" si="140">+Q324-M324-O324</f>
        <v>0</v>
      </c>
      <c r="U324" s="17">
        <v>0</v>
      </c>
      <c r="AA324" s="17">
        <f t="shared" ref="AA324:AA387" si="141">+I324-Q324-Y324</f>
        <v>0</v>
      </c>
      <c r="AC324" s="33">
        <f t="shared" ref="AC324:AC387" si="142">+E324+G324+-K324-M324-S324-U324-W324-O324</f>
        <v>0</v>
      </c>
    </row>
    <row r="325" spans="1:29" s="33" customFormat="1" x14ac:dyDescent="0.2">
      <c r="A325" s="31"/>
      <c r="B325" s="31"/>
      <c r="C325" s="31"/>
      <c r="D325" s="31"/>
      <c r="K325" s="33">
        <f>+Q325-M325-O325</f>
        <v>0</v>
      </c>
      <c r="U325" s="33">
        <f>Y325-W325-S325</f>
        <v>0</v>
      </c>
      <c r="AA325" s="33">
        <f>+I325-Q325-Y325</f>
        <v>0</v>
      </c>
      <c r="AC325" s="33">
        <f>+E325+G325+-K325-M325-S325-U325-W325-O325</f>
        <v>0</v>
      </c>
    </row>
    <row r="326" spans="1:29" x14ac:dyDescent="0.2">
      <c r="A326" s="30"/>
      <c r="B326" s="30"/>
      <c r="C326" s="30"/>
      <c r="D326" s="30"/>
      <c r="K326" s="17">
        <f>+Q326-M326-O326</f>
        <v>0</v>
      </c>
      <c r="U326" s="17">
        <f>Y326-W326-S326</f>
        <v>0</v>
      </c>
      <c r="AA326" s="17">
        <f>+I326-Q326-Y326</f>
        <v>0</v>
      </c>
      <c r="AC326" s="17">
        <f>+E326+G326+-K326-M326-S326-U326-W326-O326</f>
        <v>0</v>
      </c>
    </row>
    <row r="327" spans="1:29" x14ac:dyDescent="0.2">
      <c r="A327" s="34"/>
      <c r="B327" s="34"/>
      <c r="C327" s="34"/>
      <c r="D327" s="34"/>
      <c r="K327" s="17">
        <f>+Q327-M327-O327</f>
        <v>0</v>
      </c>
      <c r="U327" s="17">
        <f>Y327-W327-S327</f>
        <v>0</v>
      </c>
      <c r="AA327" s="17">
        <f>+I327-Q327-Y327</f>
        <v>0</v>
      </c>
      <c r="AC327" s="33">
        <f>+E327+G327+-K327-M327-S327-U327-W327-O327</f>
        <v>0</v>
      </c>
    </row>
    <row r="328" spans="1:29" x14ac:dyDescent="0.2">
      <c r="A328" s="34"/>
      <c r="B328" s="34"/>
      <c r="C328" s="34"/>
      <c r="D328" s="34"/>
      <c r="K328" s="17">
        <f>+Q328-M328-O328</f>
        <v>0</v>
      </c>
      <c r="U328" s="17">
        <f>Y328-W328-S328</f>
        <v>0</v>
      </c>
      <c r="AA328" s="17">
        <f>+I328-Q328-Y328</f>
        <v>0</v>
      </c>
      <c r="AC328" s="33">
        <f>+E328+G328+-K328-M328-S328-U328-W328-O328</f>
        <v>0</v>
      </c>
    </row>
    <row r="329" spans="1:29" x14ac:dyDescent="0.2">
      <c r="A329" s="30"/>
      <c r="B329" s="30"/>
      <c r="C329" s="30"/>
      <c r="D329" s="30"/>
      <c r="K329" s="17">
        <f t="shared" si="140"/>
        <v>0</v>
      </c>
      <c r="U329" s="17">
        <f t="shared" ref="U329:U389" si="143">Y329-W329-S329</f>
        <v>0</v>
      </c>
      <c r="AA329" s="17">
        <f t="shared" si="141"/>
        <v>0</v>
      </c>
      <c r="AC329" s="17">
        <f t="shared" si="142"/>
        <v>0</v>
      </c>
    </row>
    <row r="330" spans="1:29" x14ac:dyDescent="0.2">
      <c r="A330" s="34"/>
      <c r="B330" s="34"/>
      <c r="C330" s="34"/>
      <c r="D330" s="34"/>
      <c r="K330" s="17">
        <f t="shared" si="140"/>
        <v>0</v>
      </c>
      <c r="U330" s="17">
        <f t="shared" si="143"/>
        <v>0</v>
      </c>
      <c r="AA330" s="17">
        <f t="shared" si="141"/>
        <v>0</v>
      </c>
      <c r="AC330" s="33">
        <f t="shared" si="142"/>
        <v>0</v>
      </c>
    </row>
    <row r="331" spans="1:29" x14ac:dyDescent="0.2">
      <c r="A331" s="34"/>
      <c r="B331" s="34"/>
      <c r="C331" s="34"/>
      <c r="D331" s="34"/>
      <c r="K331" s="17">
        <f t="shared" si="140"/>
        <v>0</v>
      </c>
      <c r="U331" s="17">
        <f t="shared" si="143"/>
        <v>0</v>
      </c>
      <c r="AA331" s="17">
        <f t="shared" si="141"/>
        <v>0</v>
      </c>
      <c r="AC331" s="33">
        <f t="shared" si="142"/>
        <v>0</v>
      </c>
    </row>
    <row r="332" spans="1:29" x14ac:dyDescent="0.2">
      <c r="A332" s="34"/>
      <c r="B332" s="34"/>
      <c r="C332" s="34"/>
      <c r="D332" s="34"/>
      <c r="K332" s="17">
        <f t="shared" si="140"/>
        <v>0</v>
      </c>
      <c r="U332" s="17">
        <f t="shared" si="143"/>
        <v>0</v>
      </c>
      <c r="AA332" s="17">
        <f t="shared" si="141"/>
        <v>0</v>
      </c>
      <c r="AC332" s="33">
        <f t="shared" si="142"/>
        <v>0</v>
      </c>
    </row>
    <row r="333" spans="1:29" x14ac:dyDescent="0.2">
      <c r="A333" s="34"/>
      <c r="B333" s="34"/>
      <c r="C333" s="34"/>
      <c r="D333" s="34"/>
      <c r="K333" s="17">
        <f t="shared" si="140"/>
        <v>0</v>
      </c>
      <c r="U333" s="17">
        <f t="shared" si="143"/>
        <v>0</v>
      </c>
      <c r="AA333" s="17">
        <f t="shared" si="141"/>
        <v>0</v>
      </c>
      <c r="AC333" s="33">
        <f t="shared" si="142"/>
        <v>0</v>
      </c>
    </row>
    <row r="334" spans="1:29" x14ac:dyDescent="0.2">
      <c r="A334" s="34"/>
      <c r="B334" s="34"/>
      <c r="C334" s="34"/>
      <c r="D334" s="34"/>
      <c r="K334" s="17">
        <f>+Q334-M334-O334</f>
        <v>0</v>
      </c>
      <c r="U334" s="17">
        <f t="shared" si="143"/>
        <v>0</v>
      </c>
      <c r="AA334" s="17">
        <f t="shared" si="141"/>
        <v>0</v>
      </c>
      <c r="AC334" s="33">
        <f t="shared" si="142"/>
        <v>0</v>
      </c>
    </row>
    <row r="335" spans="1:29" x14ac:dyDescent="0.2">
      <c r="A335" s="34"/>
      <c r="B335" s="34"/>
      <c r="C335" s="34"/>
      <c r="D335" s="34"/>
      <c r="K335" s="17">
        <f t="shared" si="140"/>
        <v>0</v>
      </c>
      <c r="U335" s="17">
        <f t="shared" si="143"/>
        <v>0</v>
      </c>
      <c r="AA335" s="17">
        <f t="shared" si="141"/>
        <v>0</v>
      </c>
      <c r="AC335" s="33">
        <f t="shared" si="142"/>
        <v>0</v>
      </c>
    </row>
    <row r="336" spans="1:29" x14ac:dyDescent="0.2">
      <c r="A336" s="34"/>
      <c r="B336" s="34"/>
      <c r="C336" s="34"/>
      <c r="D336" s="34"/>
      <c r="K336" s="17">
        <f t="shared" si="140"/>
        <v>0</v>
      </c>
      <c r="U336" s="17">
        <f t="shared" si="143"/>
        <v>0</v>
      </c>
      <c r="AA336" s="17">
        <f t="shared" si="141"/>
        <v>0</v>
      </c>
      <c r="AC336" s="33">
        <f t="shared" si="142"/>
        <v>0</v>
      </c>
    </row>
    <row r="337" spans="1:29" x14ac:dyDescent="0.2">
      <c r="A337" s="34"/>
      <c r="B337" s="34"/>
      <c r="C337" s="34"/>
      <c r="D337" s="34"/>
      <c r="K337" s="17">
        <f t="shared" si="140"/>
        <v>0</v>
      </c>
      <c r="U337" s="17">
        <f t="shared" si="143"/>
        <v>0</v>
      </c>
      <c r="AA337" s="17">
        <f t="shared" si="141"/>
        <v>0</v>
      </c>
      <c r="AC337" s="33">
        <f t="shared" si="142"/>
        <v>0</v>
      </c>
    </row>
    <row r="338" spans="1:29" x14ac:dyDescent="0.2">
      <c r="A338" s="34"/>
      <c r="B338" s="34"/>
      <c r="C338" s="34"/>
      <c r="D338" s="34"/>
      <c r="K338" s="17">
        <f t="shared" si="140"/>
        <v>0</v>
      </c>
      <c r="U338" s="17">
        <f t="shared" si="143"/>
        <v>0</v>
      </c>
      <c r="AA338" s="17">
        <f t="shared" si="141"/>
        <v>0</v>
      </c>
      <c r="AC338" s="33">
        <f t="shared" si="142"/>
        <v>0</v>
      </c>
    </row>
    <row r="339" spans="1:29" x14ac:dyDescent="0.2">
      <c r="A339" s="34"/>
      <c r="B339" s="34"/>
      <c r="C339" s="34"/>
      <c r="D339" s="34"/>
      <c r="K339" s="17">
        <f t="shared" si="140"/>
        <v>0</v>
      </c>
      <c r="U339" s="17">
        <f t="shared" si="143"/>
        <v>0</v>
      </c>
      <c r="AA339" s="17">
        <f t="shared" si="141"/>
        <v>0</v>
      </c>
      <c r="AC339" s="33">
        <f t="shared" si="142"/>
        <v>0</v>
      </c>
    </row>
    <row r="340" spans="1:29" x14ac:dyDescent="0.2">
      <c r="A340" s="34"/>
      <c r="B340" s="34"/>
      <c r="C340" s="34"/>
      <c r="D340" s="34"/>
      <c r="K340" s="17">
        <f t="shared" si="140"/>
        <v>0</v>
      </c>
      <c r="U340" s="17">
        <f t="shared" si="143"/>
        <v>0</v>
      </c>
      <c r="AA340" s="17">
        <f>+I340-Q340-Y340</f>
        <v>0</v>
      </c>
      <c r="AC340" s="33">
        <f t="shared" si="142"/>
        <v>0</v>
      </c>
    </row>
    <row r="341" spans="1:29" x14ac:dyDescent="0.2">
      <c r="A341" s="34"/>
      <c r="B341" s="34"/>
      <c r="C341" s="34"/>
      <c r="D341" s="34"/>
      <c r="K341" s="17">
        <f t="shared" si="140"/>
        <v>0</v>
      </c>
      <c r="U341" s="17">
        <f t="shared" si="143"/>
        <v>0</v>
      </c>
      <c r="AA341" s="17">
        <f t="shared" si="141"/>
        <v>0</v>
      </c>
      <c r="AC341" s="33">
        <f t="shared" si="142"/>
        <v>0</v>
      </c>
    </row>
    <row r="342" spans="1:29" x14ac:dyDescent="0.2">
      <c r="A342" s="34"/>
      <c r="B342" s="34"/>
      <c r="C342" s="34"/>
      <c r="D342" s="34"/>
      <c r="K342" s="17">
        <f t="shared" si="140"/>
        <v>0</v>
      </c>
      <c r="U342" s="17">
        <f t="shared" si="143"/>
        <v>0</v>
      </c>
      <c r="AA342" s="17">
        <f>+I342-Q342-Y342</f>
        <v>0</v>
      </c>
      <c r="AC342" s="33">
        <f t="shared" si="142"/>
        <v>0</v>
      </c>
    </row>
    <row r="343" spans="1:29" x14ac:dyDescent="0.2">
      <c r="A343" s="34"/>
      <c r="B343" s="34"/>
      <c r="C343" s="34"/>
      <c r="D343" s="34"/>
      <c r="K343" s="17">
        <f t="shared" si="140"/>
        <v>0</v>
      </c>
      <c r="U343" s="17">
        <f t="shared" si="143"/>
        <v>0</v>
      </c>
      <c r="AA343" s="17">
        <f t="shared" si="141"/>
        <v>0</v>
      </c>
      <c r="AC343" s="33">
        <f t="shared" si="142"/>
        <v>0</v>
      </c>
    </row>
    <row r="344" spans="1:29" x14ac:dyDescent="0.2">
      <c r="A344" s="34"/>
      <c r="B344" s="34"/>
      <c r="C344" s="34"/>
      <c r="D344" s="34"/>
      <c r="K344" s="17">
        <f t="shared" si="140"/>
        <v>0</v>
      </c>
      <c r="U344" s="17">
        <f t="shared" si="143"/>
        <v>0</v>
      </c>
      <c r="AA344" s="17">
        <f t="shared" si="141"/>
        <v>0</v>
      </c>
      <c r="AC344" s="33">
        <f t="shared" si="142"/>
        <v>0</v>
      </c>
    </row>
    <row r="345" spans="1:29" x14ac:dyDescent="0.2">
      <c r="A345" s="34"/>
      <c r="B345" s="34"/>
      <c r="C345" s="34"/>
      <c r="D345" s="34"/>
      <c r="K345" s="17">
        <f t="shared" si="140"/>
        <v>0</v>
      </c>
      <c r="U345" s="17">
        <f t="shared" si="143"/>
        <v>0</v>
      </c>
      <c r="AA345" s="17">
        <f t="shared" si="141"/>
        <v>0</v>
      </c>
      <c r="AC345" s="33">
        <f t="shared" si="142"/>
        <v>0</v>
      </c>
    </row>
    <row r="346" spans="1:29" x14ac:dyDescent="0.2">
      <c r="A346" s="34"/>
      <c r="B346" s="34"/>
      <c r="C346" s="34"/>
      <c r="D346" s="34"/>
      <c r="K346" s="17">
        <f t="shared" si="140"/>
        <v>0</v>
      </c>
      <c r="U346" s="17">
        <f t="shared" si="143"/>
        <v>0</v>
      </c>
      <c r="AA346" s="17">
        <f t="shared" si="141"/>
        <v>0</v>
      </c>
      <c r="AC346" s="33">
        <f t="shared" si="142"/>
        <v>0</v>
      </c>
    </row>
    <row r="347" spans="1:29" x14ac:dyDescent="0.2">
      <c r="A347" s="34"/>
      <c r="B347" s="34"/>
      <c r="C347" s="34"/>
      <c r="D347" s="34"/>
      <c r="K347" s="17">
        <f t="shared" si="140"/>
        <v>0</v>
      </c>
      <c r="U347" s="17">
        <f t="shared" si="143"/>
        <v>0</v>
      </c>
      <c r="AA347" s="17">
        <f t="shared" si="141"/>
        <v>0</v>
      </c>
      <c r="AC347" s="33">
        <f t="shared" si="142"/>
        <v>0</v>
      </c>
    </row>
    <row r="348" spans="1:29" x14ac:dyDescent="0.2">
      <c r="A348" s="34"/>
      <c r="B348" s="34"/>
      <c r="C348" s="34"/>
      <c r="D348" s="34"/>
      <c r="K348" s="17">
        <f t="shared" si="140"/>
        <v>0</v>
      </c>
      <c r="U348" s="17">
        <f t="shared" si="143"/>
        <v>0</v>
      </c>
      <c r="AA348" s="17">
        <f t="shared" si="141"/>
        <v>0</v>
      </c>
      <c r="AC348" s="33">
        <f t="shared" si="142"/>
        <v>0</v>
      </c>
    </row>
    <row r="349" spans="1:29" x14ac:dyDescent="0.2">
      <c r="A349" s="34"/>
      <c r="B349" s="34"/>
      <c r="C349" s="34"/>
      <c r="D349" s="34"/>
      <c r="K349" s="17">
        <f t="shared" si="140"/>
        <v>0</v>
      </c>
      <c r="U349" s="17">
        <f t="shared" si="143"/>
        <v>0</v>
      </c>
      <c r="AA349" s="17">
        <f>+I349-Q349-Y349</f>
        <v>0</v>
      </c>
      <c r="AC349" s="33">
        <f t="shared" si="142"/>
        <v>0</v>
      </c>
    </row>
    <row r="350" spans="1:29" x14ac:dyDescent="0.2">
      <c r="A350" s="34"/>
      <c r="B350" s="34"/>
      <c r="C350" s="34"/>
      <c r="D350" s="34"/>
      <c r="K350" s="17">
        <f t="shared" si="140"/>
        <v>0</v>
      </c>
      <c r="U350" s="17">
        <f t="shared" si="143"/>
        <v>0</v>
      </c>
      <c r="AA350" s="17">
        <f t="shared" si="141"/>
        <v>0</v>
      </c>
      <c r="AC350" s="33">
        <f t="shared" si="142"/>
        <v>0</v>
      </c>
    </row>
    <row r="351" spans="1:29" x14ac:dyDescent="0.2">
      <c r="A351" s="34"/>
      <c r="B351" s="34"/>
      <c r="C351" s="34"/>
      <c r="D351" s="34"/>
      <c r="K351" s="17">
        <f t="shared" si="140"/>
        <v>0</v>
      </c>
      <c r="U351" s="17">
        <f t="shared" si="143"/>
        <v>0</v>
      </c>
      <c r="AA351" s="17">
        <f t="shared" si="141"/>
        <v>0</v>
      </c>
      <c r="AC351" s="33">
        <f t="shared" si="142"/>
        <v>0</v>
      </c>
    </row>
    <row r="352" spans="1:29" x14ac:dyDescent="0.2">
      <c r="A352" s="34"/>
      <c r="B352" s="34"/>
      <c r="C352" s="34"/>
      <c r="D352" s="34"/>
      <c r="K352" s="17">
        <f t="shared" si="140"/>
        <v>0</v>
      </c>
      <c r="U352" s="17">
        <f t="shared" si="143"/>
        <v>0</v>
      </c>
      <c r="AA352" s="17">
        <f t="shared" si="141"/>
        <v>0</v>
      </c>
      <c r="AC352" s="33">
        <f t="shared" si="142"/>
        <v>0</v>
      </c>
    </row>
    <row r="353" spans="1:29" x14ac:dyDescent="0.2">
      <c r="A353" s="34"/>
      <c r="B353" s="34"/>
      <c r="C353" s="34"/>
      <c r="D353" s="34"/>
      <c r="K353" s="17">
        <f t="shared" si="140"/>
        <v>0</v>
      </c>
      <c r="U353" s="17">
        <f t="shared" si="143"/>
        <v>0</v>
      </c>
      <c r="AA353" s="17">
        <f t="shared" si="141"/>
        <v>0</v>
      </c>
      <c r="AC353" s="33">
        <f t="shared" si="142"/>
        <v>0</v>
      </c>
    </row>
    <row r="354" spans="1:29" x14ac:dyDescent="0.2">
      <c r="A354" s="34"/>
      <c r="B354" s="34"/>
      <c r="C354" s="34"/>
      <c r="D354" s="34"/>
      <c r="K354" s="17">
        <f t="shared" si="140"/>
        <v>0</v>
      </c>
      <c r="U354" s="17">
        <f t="shared" si="143"/>
        <v>0</v>
      </c>
      <c r="AA354" s="17">
        <f t="shared" si="141"/>
        <v>0</v>
      </c>
      <c r="AC354" s="33">
        <f t="shared" si="142"/>
        <v>0</v>
      </c>
    </row>
    <row r="355" spans="1:29" x14ac:dyDescent="0.2">
      <c r="A355" s="34"/>
      <c r="B355" s="34"/>
      <c r="C355" s="34"/>
      <c r="D355" s="34"/>
      <c r="K355" s="17">
        <f t="shared" si="140"/>
        <v>0</v>
      </c>
      <c r="U355" s="17">
        <f t="shared" si="143"/>
        <v>0</v>
      </c>
      <c r="AA355" s="17">
        <f t="shared" si="141"/>
        <v>0</v>
      </c>
      <c r="AC355" s="33">
        <f t="shared" si="142"/>
        <v>0</v>
      </c>
    </row>
    <row r="356" spans="1:29" x14ac:dyDescent="0.2">
      <c r="A356" s="34"/>
      <c r="B356" s="34"/>
      <c r="C356" s="34"/>
      <c r="D356" s="34"/>
      <c r="K356" s="17">
        <f t="shared" si="140"/>
        <v>0</v>
      </c>
      <c r="U356" s="17">
        <f t="shared" si="143"/>
        <v>0</v>
      </c>
      <c r="AA356" s="17">
        <f t="shared" si="141"/>
        <v>0</v>
      </c>
      <c r="AC356" s="33">
        <f t="shared" si="142"/>
        <v>0</v>
      </c>
    </row>
    <row r="357" spans="1:29" x14ac:dyDescent="0.2">
      <c r="A357" s="34"/>
      <c r="B357" s="34"/>
      <c r="C357" s="34"/>
      <c r="D357" s="34"/>
      <c r="K357" s="17">
        <f t="shared" si="140"/>
        <v>0</v>
      </c>
      <c r="U357" s="17">
        <f t="shared" si="143"/>
        <v>0</v>
      </c>
      <c r="AA357" s="17">
        <f t="shared" si="141"/>
        <v>0</v>
      </c>
      <c r="AC357" s="33">
        <f t="shared" si="142"/>
        <v>0</v>
      </c>
    </row>
    <row r="358" spans="1:29" x14ac:dyDescent="0.2">
      <c r="A358" s="34"/>
      <c r="B358" s="34"/>
      <c r="C358" s="34"/>
      <c r="D358" s="34"/>
      <c r="K358" s="17">
        <f t="shared" si="140"/>
        <v>0</v>
      </c>
      <c r="U358" s="17">
        <f t="shared" si="143"/>
        <v>0</v>
      </c>
      <c r="AA358" s="17">
        <f t="shared" si="141"/>
        <v>0</v>
      </c>
      <c r="AC358" s="33">
        <f t="shared" si="142"/>
        <v>0</v>
      </c>
    </row>
    <row r="359" spans="1:29" x14ac:dyDescent="0.2">
      <c r="A359" s="34"/>
      <c r="B359" s="34"/>
      <c r="C359" s="34"/>
      <c r="D359" s="34"/>
      <c r="K359" s="17">
        <f t="shared" si="140"/>
        <v>0</v>
      </c>
      <c r="U359" s="17">
        <f t="shared" si="143"/>
        <v>0</v>
      </c>
      <c r="AA359" s="17">
        <f t="shared" si="141"/>
        <v>0</v>
      </c>
      <c r="AC359" s="33">
        <f t="shared" si="142"/>
        <v>0</v>
      </c>
    </row>
    <row r="360" spans="1:29" x14ac:dyDescent="0.2">
      <c r="A360" s="34"/>
      <c r="B360" s="34"/>
      <c r="C360" s="34"/>
      <c r="D360" s="34"/>
      <c r="K360" s="17">
        <f t="shared" si="140"/>
        <v>0</v>
      </c>
      <c r="U360" s="17">
        <f t="shared" si="143"/>
        <v>0</v>
      </c>
      <c r="AA360" s="17">
        <f t="shared" si="141"/>
        <v>0</v>
      </c>
      <c r="AC360" s="33">
        <f t="shared" si="142"/>
        <v>0</v>
      </c>
    </row>
    <row r="361" spans="1:29" x14ac:dyDescent="0.2">
      <c r="A361" s="34"/>
      <c r="B361" s="34"/>
      <c r="C361" s="34"/>
      <c r="D361" s="34"/>
      <c r="K361" s="17">
        <f t="shared" si="140"/>
        <v>0</v>
      </c>
      <c r="U361" s="17">
        <f t="shared" si="143"/>
        <v>0</v>
      </c>
      <c r="AA361" s="17">
        <f t="shared" si="141"/>
        <v>0</v>
      </c>
      <c r="AC361" s="33">
        <f t="shared" si="142"/>
        <v>0</v>
      </c>
    </row>
    <row r="362" spans="1:29" x14ac:dyDescent="0.2">
      <c r="A362" s="34"/>
      <c r="B362" s="34"/>
      <c r="C362" s="34"/>
      <c r="D362" s="34"/>
      <c r="K362" s="17">
        <f t="shared" si="140"/>
        <v>0</v>
      </c>
      <c r="U362" s="17">
        <f t="shared" si="143"/>
        <v>0</v>
      </c>
      <c r="AA362" s="17">
        <f t="shared" si="141"/>
        <v>0</v>
      </c>
      <c r="AC362" s="33">
        <f t="shared" si="142"/>
        <v>0</v>
      </c>
    </row>
    <row r="363" spans="1:29" x14ac:dyDescent="0.2">
      <c r="A363" s="34"/>
      <c r="B363" s="34"/>
      <c r="C363" s="34"/>
      <c r="D363" s="34"/>
      <c r="K363" s="17">
        <f t="shared" si="140"/>
        <v>0</v>
      </c>
      <c r="U363" s="17">
        <f t="shared" si="143"/>
        <v>0</v>
      </c>
      <c r="AA363" s="17">
        <f>+I363-Q363-Y363</f>
        <v>0</v>
      </c>
      <c r="AC363" s="33">
        <f t="shared" si="142"/>
        <v>0</v>
      </c>
    </row>
    <row r="364" spans="1:29" x14ac:dyDescent="0.2">
      <c r="A364" s="34"/>
      <c r="B364" s="34"/>
      <c r="C364" s="34"/>
      <c r="D364" s="34"/>
      <c r="K364" s="17">
        <f t="shared" si="140"/>
        <v>0</v>
      </c>
      <c r="U364" s="17">
        <f t="shared" si="143"/>
        <v>0</v>
      </c>
      <c r="AA364" s="17">
        <f t="shared" si="141"/>
        <v>0</v>
      </c>
      <c r="AC364" s="33">
        <f t="shared" si="142"/>
        <v>0</v>
      </c>
    </row>
    <row r="365" spans="1:29" x14ac:dyDescent="0.2">
      <c r="A365" s="34"/>
      <c r="B365" s="34"/>
      <c r="C365" s="34"/>
      <c r="D365" s="34"/>
      <c r="K365" s="17">
        <f t="shared" si="140"/>
        <v>0</v>
      </c>
      <c r="U365" s="17">
        <f t="shared" si="143"/>
        <v>0</v>
      </c>
      <c r="AA365" s="17">
        <f t="shared" si="141"/>
        <v>0</v>
      </c>
      <c r="AC365" s="33">
        <f t="shared" si="142"/>
        <v>0</v>
      </c>
    </row>
    <row r="366" spans="1:29" x14ac:dyDescent="0.2">
      <c r="A366" s="34"/>
      <c r="B366" s="34"/>
      <c r="C366" s="34"/>
      <c r="D366" s="34"/>
      <c r="K366" s="17">
        <f t="shared" si="140"/>
        <v>0</v>
      </c>
      <c r="U366" s="17">
        <f t="shared" si="143"/>
        <v>0</v>
      </c>
      <c r="AA366" s="17">
        <f t="shared" si="141"/>
        <v>0</v>
      </c>
      <c r="AC366" s="33">
        <f t="shared" si="142"/>
        <v>0</v>
      </c>
    </row>
    <row r="367" spans="1:29" x14ac:dyDescent="0.2">
      <c r="A367" s="34"/>
      <c r="B367" s="34"/>
      <c r="C367" s="34"/>
      <c r="D367" s="34"/>
      <c r="K367" s="17">
        <f t="shared" si="140"/>
        <v>0</v>
      </c>
      <c r="U367" s="17">
        <f t="shared" si="143"/>
        <v>0</v>
      </c>
      <c r="AA367" s="17">
        <f t="shared" si="141"/>
        <v>0</v>
      </c>
      <c r="AC367" s="33">
        <f t="shared" si="142"/>
        <v>0</v>
      </c>
    </row>
    <row r="368" spans="1:29" x14ac:dyDescent="0.2">
      <c r="A368" s="34"/>
      <c r="B368" s="34"/>
      <c r="C368" s="34"/>
      <c r="D368" s="34"/>
      <c r="K368" s="17">
        <f t="shared" si="140"/>
        <v>0</v>
      </c>
      <c r="U368" s="17">
        <f t="shared" si="143"/>
        <v>0</v>
      </c>
      <c r="AA368" s="17">
        <f t="shared" si="141"/>
        <v>0</v>
      </c>
      <c r="AC368" s="33">
        <f t="shared" si="142"/>
        <v>0</v>
      </c>
    </row>
    <row r="369" spans="1:29" x14ac:dyDescent="0.2">
      <c r="A369" s="34"/>
      <c r="B369" s="34"/>
      <c r="C369" s="34"/>
      <c r="D369" s="34"/>
      <c r="K369" s="17">
        <f t="shared" si="140"/>
        <v>0</v>
      </c>
      <c r="U369" s="17">
        <f t="shared" si="143"/>
        <v>0</v>
      </c>
      <c r="AA369" s="17">
        <f t="shared" si="141"/>
        <v>0</v>
      </c>
      <c r="AC369" s="33">
        <f t="shared" si="142"/>
        <v>0</v>
      </c>
    </row>
    <row r="370" spans="1:29" x14ac:dyDescent="0.2">
      <c r="A370" s="34"/>
      <c r="B370" s="34"/>
      <c r="C370" s="34"/>
      <c r="D370" s="34"/>
      <c r="K370" s="17">
        <f t="shared" si="140"/>
        <v>0</v>
      </c>
      <c r="U370" s="17">
        <f t="shared" si="143"/>
        <v>0</v>
      </c>
      <c r="AA370" s="17">
        <f t="shared" si="141"/>
        <v>0</v>
      </c>
      <c r="AC370" s="33">
        <f t="shared" si="142"/>
        <v>0</v>
      </c>
    </row>
    <row r="371" spans="1:29" x14ac:dyDescent="0.2">
      <c r="A371" s="30"/>
      <c r="B371" s="30"/>
      <c r="C371" s="30"/>
      <c r="D371" s="30"/>
      <c r="K371" s="17">
        <f t="shared" si="140"/>
        <v>0</v>
      </c>
      <c r="U371" s="17">
        <f t="shared" si="143"/>
        <v>0</v>
      </c>
      <c r="AA371" s="17">
        <f t="shared" si="141"/>
        <v>0</v>
      </c>
      <c r="AC371" s="17">
        <f t="shared" si="142"/>
        <v>0</v>
      </c>
    </row>
    <row r="372" spans="1:29" x14ac:dyDescent="0.2">
      <c r="A372" s="34"/>
      <c r="B372" s="34"/>
      <c r="C372" s="34"/>
      <c r="D372" s="34"/>
      <c r="K372" s="17">
        <f t="shared" si="140"/>
        <v>0</v>
      </c>
      <c r="U372" s="17">
        <f t="shared" si="143"/>
        <v>0</v>
      </c>
      <c r="AA372" s="17">
        <f t="shared" si="141"/>
        <v>0</v>
      </c>
      <c r="AC372" s="33">
        <f t="shared" si="142"/>
        <v>0</v>
      </c>
    </row>
    <row r="373" spans="1:29" x14ac:dyDescent="0.2">
      <c r="A373" s="34"/>
      <c r="B373" s="34"/>
      <c r="C373" s="34"/>
      <c r="D373" s="34"/>
      <c r="K373" s="17">
        <f t="shared" si="140"/>
        <v>0</v>
      </c>
      <c r="U373" s="17">
        <f t="shared" si="143"/>
        <v>0</v>
      </c>
      <c r="AA373" s="17">
        <f t="shared" si="141"/>
        <v>0</v>
      </c>
      <c r="AC373" s="33">
        <f t="shared" si="142"/>
        <v>0</v>
      </c>
    </row>
    <row r="374" spans="1:29" x14ac:dyDescent="0.2">
      <c r="A374" s="34"/>
      <c r="B374" s="34"/>
      <c r="C374" s="34"/>
      <c r="D374" s="34"/>
      <c r="K374" s="17">
        <f t="shared" si="140"/>
        <v>0</v>
      </c>
      <c r="U374" s="17">
        <f t="shared" si="143"/>
        <v>0</v>
      </c>
      <c r="AA374" s="17">
        <f t="shared" si="141"/>
        <v>0</v>
      </c>
      <c r="AC374" s="33">
        <f t="shared" si="142"/>
        <v>0</v>
      </c>
    </row>
    <row r="375" spans="1:29" x14ac:dyDescent="0.2">
      <c r="A375" s="34"/>
      <c r="B375" s="34"/>
      <c r="C375" s="34"/>
      <c r="D375" s="34"/>
      <c r="K375" s="17">
        <f t="shared" si="140"/>
        <v>0</v>
      </c>
      <c r="U375" s="17">
        <f t="shared" si="143"/>
        <v>0</v>
      </c>
      <c r="AA375" s="17">
        <f t="shared" si="141"/>
        <v>0</v>
      </c>
      <c r="AC375" s="33">
        <f t="shared" si="142"/>
        <v>0</v>
      </c>
    </row>
    <row r="376" spans="1:29" x14ac:dyDescent="0.2">
      <c r="A376" s="34"/>
      <c r="B376" s="34"/>
      <c r="C376" s="34"/>
      <c r="D376" s="34"/>
      <c r="K376" s="17">
        <f t="shared" si="140"/>
        <v>0</v>
      </c>
      <c r="U376" s="17">
        <f t="shared" si="143"/>
        <v>0</v>
      </c>
      <c r="AA376" s="17">
        <f t="shared" si="141"/>
        <v>0</v>
      </c>
      <c r="AC376" s="33">
        <f t="shared" si="142"/>
        <v>0</v>
      </c>
    </row>
    <row r="377" spans="1:29" x14ac:dyDescent="0.2">
      <c r="A377" s="34"/>
      <c r="B377" s="34"/>
      <c r="C377" s="34"/>
      <c r="D377" s="34"/>
      <c r="K377" s="17">
        <f t="shared" si="140"/>
        <v>0</v>
      </c>
      <c r="U377" s="17">
        <f t="shared" si="143"/>
        <v>0</v>
      </c>
      <c r="AA377" s="17">
        <f t="shared" si="141"/>
        <v>0</v>
      </c>
      <c r="AC377" s="33">
        <f t="shared" si="142"/>
        <v>0</v>
      </c>
    </row>
    <row r="378" spans="1:29" x14ac:dyDescent="0.2">
      <c r="A378" s="34"/>
      <c r="B378" s="34"/>
      <c r="C378" s="34"/>
      <c r="D378" s="34"/>
      <c r="K378" s="17">
        <f t="shared" si="140"/>
        <v>0</v>
      </c>
      <c r="U378" s="17">
        <f t="shared" si="143"/>
        <v>0</v>
      </c>
      <c r="AA378" s="17">
        <f t="shared" si="141"/>
        <v>0</v>
      </c>
      <c r="AC378" s="33">
        <f t="shared" si="142"/>
        <v>0</v>
      </c>
    </row>
    <row r="379" spans="1:29" x14ac:dyDescent="0.2">
      <c r="A379" s="34"/>
      <c r="B379" s="34"/>
      <c r="C379" s="34"/>
      <c r="D379" s="34"/>
      <c r="K379" s="17">
        <f t="shared" si="140"/>
        <v>0</v>
      </c>
      <c r="U379" s="17">
        <f t="shared" si="143"/>
        <v>0</v>
      </c>
      <c r="AA379" s="17">
        <f t="shared" si="141"/>
        <v>0</v>
      </c>
      <c r="AC379" s="33">
        <f t="shared" si="142"/>
        <v>0</v>
      </c>
    </row>
    <row r="380" spans="1:29" x14ac:dyDescent="0.2">
      <c r="A380" s="34"/>
      <c r="B380" s="34"/>
      <c r="C380" s="34"/>
      <c r="D380" s="34"/>
      <c r="K380" s="17">
        <f t="shared" si="140"/>
        <v>0</v>
      </c>
      <c r="U380" s="17">
        <f t="shared" si="143"/>
        <v>0</v>
      </c>
      <c r="AA380" s="17">
        <f t="shared" si="141"/>
        <v>0</v>
      </c>
      <c r="AC380" s="33">
        <f t="shared" si="142"/>
        <v>0</v>
      </c>
    </row>
    <row r="381" spans="1:29" x14ac:dyDescent="0.2">
      <c r="A381" s="34"/>
      <c r="B381" s="34"/>
      <c r="C381" s="34"/>
      <c r="D381" s="34"/>
      <c r="K381" s="17">
        <f t="shared" si="140"/>
        <v>0</v>
      </c>
      <c r="U381" s="17">
        <f t="shared" si="143"/>
        <v>0</v>
      </c>
      <c r="AA381" s="17">
        <f t="shared" si="141"/>
        <v>0</v>
      </c>
      <c r="AC381" s="33">
        <f t="shared" si="142"/>
        <v>0</v>
      </c>
    </row>
    <row r="382" spans="1:29" x14ac:dyDescent="0.2">
      <c r="A382" s="34"/>
      <c r="B382" s="34"/>
      <c r="C382" s="34"/>
      <c r="D382" s="34"/>
      <c r="K382" s="17">
        <f t="shared" si="140"/>
        <v>0</v>
      </c>
      <c r="U382" s="17">
        <f t="shared" si="143"/>
        <v>0</v>
      </c>
      <c r="AA382" s="17">
        <f t="shared" si="141"/>
        <v>0</v>
      </c>
      <c r="AC382" s="33">
        <f t="shared" si="142"/>
        <v>0</v>
      </c>
    </row>
    <row r="383" spans="1:29" x14ac:dyDescent="0.2">
      <c r="A383" s="34"/>
      <c r="B383" s="34"/>
      <c r="C383" s="34"/>
      <c r="D383" s="34"/>
      <c r="K383" s="17">
        <f t="shared" si="140"/>
        <v>0</v>
      </c>
      <c r="U383" s="17">
        <f t="shared" si="143"/>
        <v>0</v>
      </c>
      <c r="AA383" s="17">
        <f t="shared" si="141"/>
        <v>0</v>
      </c>
      <c r="AC383" s="33">
        <f t="shared" si="142"/>
        <v>0</v>
      </c>
    </row>
    <row r="384" spans="1:29" x14ac:dyDescent="0.2">
      <c r="A384" s="34"/>
      <c r="B384" s="34"/>
      <c r="C384" s="34"/>
      <c r="D384" s="34"/>
      <c r="K384" s="17">
        <f t="shared" si="140"/>
        <v>0</v>
      </c>
      <c r="U384" s="17">
        <f t="shared" si="143"/>
        <v>0</v>
      </c>
      <c r="AA384" s="17">
        <f t="shared" si="141"/>
        <v>0</v>
      </c>
      <c r="AC384" s="33">
        <f t="shared" si="142"/>
        <v>0</v>
      </c>
    </row>
    <row r="385" spans="1:29" x14ac:dyDescent="0.2">
      <c r="A385" s="30"/>
      <c r="B385" s="34"/>
      <c r="C385" s="34"/>
      <c r="D385" s="34"/>
      <c r="K385" s="17">
        <f t="shared" si="140"/>
        <v>0</v>
      </c>
      <c r="U385" s="17">
        <f t="shared" si="143"/>
        <v>0</v>
      </c>
      <c r="AA385" s="17">
        <f t="shared" si="141"/>
        <v>0</v>
      </c>
      <c r="AC385" s="33">
        <f t="shared" si="142"/>
        <v>0</v>
      </c>
    </row>
    <row r="386" spans="1:29" x14ac:dyDescent="0.2">
      <c r="A386" s="34"/>
      <c r="B386" s="34"/>
      <c r="C386" s="34"/>
      <c r="D386" s="34"/>
      <c r="K386" s="17">
        <f t="shared" si="140"/>
        <v>0</v>
      </c>
      <c r="U386" s="17">
        <f t="shared" si="143"/>
        <v>0</v>
      </c>
      <c r="AA386" s="17">
        <f t="shared" si="141"/>
        <v>0</v>
      </c>
      <c r="AC386" s="33">
        <f t="shared" si="142"/>
        <v>0</v>
      </c>
    </row>
    <row r="387" spans="1:29" x14ac:dyDescent="0.2">
      <c r="A387" s="34"/>
      <c r="B387" s="34"/>
      <c r="C387" s="34"/>
      <c r="D387" s="34"/>
      <c r="K387" s="17">
        <f t="shared" si="140"/>
        <v>0</v>
      </c>
      <c r="U387" s="17">
        <f t="shared" si="143"/>
        <v>0</v>
      </c>
      <c r="AA387" s="17">
        <f t="shared" si="141"/>
        <v>0</v>
      </c>
      <c r="AC387" s="33">
        <f t="shared" si="142"/>
        <v>0</v>
      </c>
    </row>
    <row r="388" spans="1:29" x14ac:dyDescent="0.2">
      <c r="A388" s="34"/>
      <c r="B388" s="34"/>
      <c r="C388" s="34"/>
      <c r="D388" s="34"/>
      <c r="K388" s="17">
        <f t="shared" ref="K388:K389" si="144">+Q388-M388-O388</f>
        <v>0</v>
      </c>
      <c r="U388" s="17">
        <f t="shared" si="143"/>
        <v>0</v>
      </c>
      <c r="AA388" s="17">
        <f t="shared" ref="AA388:AA455" si="145">+I388-Q388-Y388</f>
        <v>0</v>
      </c>
      <c r="AC388" s="33">
        <f t="shared" ref="AC388:AC452" si="146">+E388+G388+-K388-M388-S388-U388-W388-O388</f>
        <v>0</v>
      </c>
    </row>
    <row r="389" spans="1:29" x14ac:dyDescent="0.2">
      <c r="A389" s="34"/>
      <c r="B389" s="34"/>
      <c r="C389" s="34"/>
      <c r="D389" s="34"/>
      <c r="K389" s="17">
        <f t="shared" si="144"/>
        <v>0</v>
      </c>
      <c r="U389" s="17">
        <f t="shared" si="143"/>
        <v>0</v>
      </c>
      <c r="AA389" s="17">
        <f t="shared" si="145"/>
        <v>0</v>
      </c>
      <c r="AC389" s="33">
        <f t="shared" si="146"/>
        <v>0</v>
      </c>
    </row>
    <row r="392" spans="1:29" s="33" customFormat="1" x14ac:dyDescent="0.2">
      <c r="A392" s="31"/>
      <c r="B392" s="31"/>
      <c r="C392" s="31"/>
      <c r="D392" s="31"/>
      <c r="K392" s="33">
        <f t="shared" ref="K392:K455" si="147">+Q392-M392-O392</f>
        <v>0</v>
      </c>
      <c r="U392" s="33">
        <f t="shared" ref="U392:U449" si="148">Y392-W392-S392</f>
        <v>0</v>
      </c>
      <c r="AA392" s="33">
        <f t="shared" ref="AA392:AA398" si="149">+I392-Q392-Y392</f>
        <v>0</v>
      </c>
      <c r="AC392" s="33">
        <f t="shared" ref="AC392:AC398" si="150">+E392+G392+-K392-M392-S392-U392-W392-O392</f>
        <v>0</v>
      </c>
    </row>
    <row r="393" spans="1:29" x14ac:dyDescent="0.2">
      <c r="A393" s="34"/>
      <c r="B393" s="34"/>
      <c r="C393" s="34"/>
      <c r="D393" s="34"/>
      <c r="K393" s="17">
        <f t="shared" si="147"/>
        <v>0</v>
      </c>
      <c r="U393" s="17">
        <f t="shared" si="148"/>
        <v>0</v>
      </c>
      <c r="AA393" s="17">
        <f t="shared" si="149"/>
        <v>0</v>
      </c>
      <c r="AC393" s="33">
        <f t="shared" si="150"/>
        <v>0</v>
      </c>
    </row>
    <row r="394" spans="1:29" x14ac:dyDescent="0.2">
      <c r="A394" s="34"/>
      <c r="B394" s="34"/>
      <c r="C394" s="34"/>
      <c r="D394" s="34"/>
      <c r="K394" s="17">
        <f t="shared" si="147"/>
        <v>0</v>
      </c>
      <c r="U394" s="17">
        <f t="shared" si="148"/>
        <v>0</v>
      </c>
      <c r="AA394" s="17">
        <f t="shared" si="149"/>
        <v>0</v>
      </c>
      <c r="AC394" s="33">
        <f t="shared" si="150"/>
        <v>0</v>
      </c>
    </row>
    <row r="395" spans="1:29" x14ac:dyDescent="0.2">
      <c r="A395" s="34"/>
      <c r="B395" s="34"/>
      <c r="C395" s="34"/>
      <c r="D395" s="34"/>
      <c r="E395" s="33"/>
      <c r="F395" s="33"/>
      <c r="G395" s="33"/>
      <c r="H395" s="33"/>
      <c r="I395" s="33"/>
      <c r="J395" s="33"/>
      <c r="K395" s="33">
        <f t="shared" si="147"/>
        <v>0</v>
      </c>
      <c r="L395" s="33"/>
      <c r="M395" s="33"/>
      <c r="N395" s="33"/>
      <c r="O395" s="33"/>
      <c r="P395" s="33"/>
      <c r="Q395" s="33"/>
      <c r="R395" s="33"/>
      <c r="S395" s="33"/>
      <c r="T395" s="33"/>
      <c r="U395" s="33">
        <f t="shared" si="148"/>
        <v>0</v>
      </c>
      <c r="V395" s="33"/>
      <c r="W395" s="33"/>
      <c r="X395" s="33"/>
      <c r="Y395" s="33"/>
      <c r="Z395" s="33"/>
      <c r="AA395" s="33">
        <f t="shared" si="149"/>
        <v>0</v>
      </c>
      <c r="AB395" s="33"/>
      <c r="AC395" s="33">
        <f t="shared" si="150"/>
        <v>0</v>
      </c>
    </row>
    <row r="396" spans="1:29" x14ac:dyDescent="0.2">
      <c r="A396" s="34"/>
      <c r="B396" s="34"/>
      <c r="C396" s="34"/>
      <c r="D396" s="34"/>
      <c r="K396" s="17">
        <f t="shared" si="147"/>
        <v>0</v>
      </c>
      <c r="U396" s="17">
        <f t="shared" si="148"/>
        <v>0</v>
      </c>
      <c r="AA396" s="17">
        <f t="shared" si="149"/>
        <v>0</v>
      </c>
      <c r="AC396" s="33">
        <f t="shared" si="150"/>
        <v>0</v>
      </c>
    </row>
    <row r="397" spans="1:29" x14ac:dyDescent="0.2">
      <c r="A397" s="30"/>
      <c r="B397" s="30"/>
      <c r="C397" s="30"/>
      <c r="D397" s="30"/>
      <c r="K397" s="17">
        <f t="shared" si="147"/>
        <v>0</v>
      </c>
      <c r="U397" s="17">
        <f t="shared" si="148"/>
        <v>0</v>
      </c>
      <c r="AA397" s="17">
        <f t="shared" si="149"/>
        <v>0</v>
      </c>
      <c r="AC397" s="17">
        <f t="shared" si="150"/>
        <v>0</v>
      </c>
    </row>
    <row r="398" spans="1:29" x14ac:dyDescent="0.2">
      <c r="A398" s="30"/>
      <c r="B398" s="30"/>
      <c r="C398" s="30"/>
      <c r="D398" s="30"/>
      <c r="K398" s="17">
        <f t="shared" si="147"/>
        <v>0</v>
      </c>
      <c r="U398" s="17">
        <f t="shared" si="148"/>
        <v>0</v>
      </c>
      <c r="AA398" s="17">
        <f t="shared" si="149"/>
        <v>0</v>
      </c>
      <c r="AC398" s="17">
        <f t="shared" si="150"/>
        <v>0</v>
      </c>
    </row>
    <row r="399" spans="1:29" x14ac:dyDescent="0.2">
      <c r="A399" s="30"/>
      <c r="B399" s="30"/>
      <c r="C399" s="30"/>
      <c r="D399" s="30"/>
      <c r="K399" s="17">
        <f t="shared" si="147"/>
        <v>0</v>
      </c>
      <c r="U399" s="17">
        <f t="shared" si="148"/>
        <v>0</v>
      </c>
      <c r="AA399" s="17">
        <f t="shared" si="145"/>
        <v>0</v>
      </c>
      <c r="AC399" s="17">
        <f t="shared" si="146"/>
        <v>0</v>
      </c>
    </row>
    <row r="400" spans="1:29" x14ac:dyDescent="0.2">
      <c r="A400" s="34"/>
      <c r="B400" s="34"/>
      <c r="C400" s="34"/>
      <c r="D400" s="34"/>
      <c r="K400" s="17">
        <f t="shared" si="147"/>
        <v>0</v>
      </c>
      <c r="U400" s="17">
        <f t="shared" si="148"/>
        <v>0</v>
      </c>
      <c r="AA400" s="17">
        <f>+I400-Q400-Y400</f>
        <v>0</v>
      </c>
      <c r="AC400" s="33">
        <f t="shared" si="146"/>
        <v>0</v>
      </c>
    </row>
    <row r="401" spans="1:29" x14ac:dyDescent="0.2">
      <c r="A401" s="34"/>
      <c r="B401" s="34"/>
      <c r="C401" s="34"/>
      <c r="D401" s="34"/>
      <c r="K401" s="17">
        <f t="shared" si="147"/>
        <v>0</v>
      </c>
      <c r="U401" s="17">
        <f t="shared" si="148"/>
        <v>0</v>
      </c>
      <c r="AA401" s="17">
        <f t="shared" si="145"/>
        <v>0</v>
      </c>
      <c r="AC401" s="33">
        <f t="shared" si="146"/>
        <v>0</v>
      </c>
    </row>
    <row r="402" spans="1:29" x14ac:dyDescent="0.2">
      <c r="A402" s="34"/>
      <c r="B402" s="34"/>
      <c r="C402" s="34"/>
      <c r="D402" s="34"/>
      <c r="K402" s="17">
        <f t="shared" si="147"/>
        <v>0</v>
      </c>
      <c r="U402" s="17">
        <f t="shared" si="148"/>
        <v>0</v>
      </c>
      <c r="AA402" s="17">
        <f t="shared" si="145"/>
        <v>0</v>
      </c>
      <c r="AC402" s="33">
        <f t="shared" si="146"/>
        <v>0</v>
      </c>
    </row>
    <row r="403" spans="1:29" x14ac:dyDescent="0.2">
      <c r="A403" s="34"/>
      <c r="B403" s="34"/>
      <c r="C403" s="34"/>
      <c r="D403" s="34"/>
      <c r="K403" s="17">
        <f t="shared" si="147"/>
        <v>0</v>
      </c>
      <c r="U403" s="17">
        <f t="shared" si="148"/>
        <v>0</v>
      </c>
      <c r="AA403" s="17">
        <f>+I403-Q403-Y403</f>
        <v>0</v>
      </c>
      <c r="AC403" s="33">
        <f>+E403+G403+-K403-M403-S403-U403-W403-O403</f>
        <v>0</v>
      </c>
    </row>
    <row r="404" spans="1:29" x14ac:dyDescent="0.2">
      <c r="A404" s="34"/>
      <c r="B404" s="34"/>
      <c r="C404" s="34"/>
      <c r="D404" s="34"/>
      <c r="K404" s="17">
        <f t="shared" si="147"/>
        <v>0</v>
      </c>
      <c r="U404" s="17">
        <f t="shared" si="148"/>
        <v>0</v>
      </c>
      <c r="AA404" s="17">
        <f t="shared" si="145"/>
        <v>0</v>
      </c>
      <c r="AC404" s="33">
        <f t="shared" si="146"/>
        <v>0</v>
      </c>
    </row>
    <row r="405" spans="1:29" x14ac:dyDescent="0.2">
      <c r="A405" s="34"/>
      <c r="B405" s="34"/>
      <c r="C405" s="34"/>
      <c r="D405" s="34"/>
      <c r="K405" s="17">
        <f t="shared" si="147"/>
        <v>0</v>
      </c>
      <c r="U405" s="17">
        <f t="shared" si="148"/>
        <v>0</v>
      </c>
      <c r="AA405" s="17">
        <f t="shared" si="145"/>
        <v>0</v>
      </c>
      <c r="AC405" s="33">
        <f t="shared" si="146"/>
        <v>0</v>
      </c>
    </row>
    <row r="406" spans="1:29" x14ac:dyDescent="0.2">
      <c r="A406" s="34"/>
      <c r="B406" s="34"/>
      <c r="C406" s="34"/>
      <c r="D406" s="34"/>
      <c r="K406" s="17">
        <f t="shared" si="147"/>
        <v>0</v>
      </c>
      <c r="U406" s="17">
        <f t="shared" si="148"/>
        <v>0</v>
      </c>
      <c r="AA406" s="17">
        <f t="shared" si="145"/>
        <v>0</v>
      </c>
      <c r="AC406" s="33">
        <f t="shared" si="146"/>
        <v>0</v>
      </c>
    </row>
    <row r="407" spans="1:29" x14ac:dyDescent="0.2">
      <c r="A407" s="34"/>
      <c r="B407" s="34"/>
      <c r="C407" s="34"/>
      <c r="D407" s="34"/>
      <c r="K407" s="17">
        <f t="shared" si="147"/>
        <v>0</v>
      </c>
      <c r="U407" s="17">
        <f t="shared" si="148"/>
        <v>0</v>
      </c>
      <c r="AA407" s="17">
        <f t="shared" si="145"/>
        <v>0</v>
      </c>
      <c r="AC407" s="33">
        <f t="shared" si="146"/>
        <v>0</v>
      </c>
    </row>
    <row r="408" spans="1:29" x14ac:dyDescent="0.2">
      <c r="A408" s="34"/>
      <c r="B408" s="34"/>
      <c r="C408" s="34"/>
      <c r="D408" s="34"/>
      <c r="K408" s="17">
        <f t="shared" si="147"/>
        <v>0</v>
      </c>
      <c r="U408" s="17">
        <f t="shared" si="148"/>
        <v>0</v>
      </c>
      <c r="AA408" s="17">
        <f t="shared" si="145"/>
        <v>0</v>
      </c>
      <c r="AC408" s="33">
        <f t="shared" si="146"/>
        <v>0</v>
      </c>
    </row>
    <row r="409" spans="1:29" x14ac:dyDescent="0.2">
      <c r="A409" s="34"/>
      <c r="B409" s="34"/>
      <c r="C409" s="34"/>
      <c r="D409" s="34"/>
      <c r="K409" s="17">
        <f t="shared" si="147"/>
        <v>0</v>
      </c>
      <c r="U409" s="17">
        <f t="shared" si="148"/>
        <v>0</v>
      </c>
      <c r="AA409" s="17">
        <f t="shared" si="145"/>
        <v>0</v>
      </c>
      <c r="AC409" s="33">
        <f t="shared" si="146"/>
        <v>0</v>
      </c>
    </row>
    <row r="410" spans="1:29" x14ac:dyDescent="0.2">
      <c r="A410" s="34"/>
      <c r="B410" s="34"/>
      <c r="C410" s="34"/>
      <c r="D410" s="34"/>
      <c r="K410" s="17">
        <f t="shared" si="147"/>
        <v>0</v>
      </c>
      <c r="U410" s="17">
        <f t="shared" si="148"/>
        <v>0</v>
      </c>
      <c r="AA410" s="17">
        <f t="shared" si="145"/>
        <v>0</v>
      </c>
      <c r="AC410" s="33">
        <f t="shared" si="146"/>
        <v>0</v>
      </c>
    </row>
    <row r="411" spans="1:29" x14ac:dyDescent="0.2">
      <c r="A411" s="34"/>
      <c r="B411" s="34"/>
      <c r="C411" s="34"/>
      <c r="D411" s="34"/>
      <c r="K411" s="17">
        <f t="shared" si="147"/>
        <v>0</v>
      </c>
      <c r="U411" s="17">
        <f t="shared" si="148"/>
        <v>0</v>
      </c>
      <c r="AA411" s="17">
        <f t="shared" si="145"/>
        <v>0</v>
      </c>
      <c r="AC411" s="33">
        <f t="shared" si="146"/>
        <v>0</v>
      </c>
    </row>
    <row r="412" spans="1:29" x14ac:dyDescent="0.2">
      <c r="A412" s="34"/>
      <c r="B412" s="34"/>
      <c r="C412" s="34"/>
      <c r="D412" s="34"/>
      <c r="K412" s="17">
        <f t="shared" si="147"/>
        <v>0</v>
      </c>
      <c r="U412" s="17">
        <f t="shared" si="148"/>
        <v>0</v>
      </c>
      <c r="AA412" s="17">
        <f t="shared" si="145"/>
        <v>0</v>
      </c>
      <c r="AC412" s="33">
        <f t="shared" si="146"/>
        <v>0</v>
      </c>
    </row>
    <row r="413" spans="1:29" x14ac:dyDescent="0.2">
      <c r="A413" s="34"/>
      <c r="B413" s="34"/>
      <c r="C413" s="34"/>
      <c r="D413" s="34"/>
      <c r="K413" s="17">
        <f t="shared" si="147"/>
        <v>0</v>
      </c>
      <c r="U413" s="17">
        <f t="shared" si="148"/>
        <v>0</v>
      </c>
      <c r="AA413" s="17">
        <f t="shared" si="145"/>
        <v>0</v>
      </c>
      <c r="AC413" s="33">
        <f t="shared" si="146"/>
        <v>0</v>
      </c>
    </row>
    <row r="414" spans="1:29" x14ac:dyDescent="0.2">
      <c r="A414" s="34"/>
      <c r="B414" s="34"/>
      <c r="C414" s="34"/>
      <c r="D414" s="34"/>
      <c r="K414" s="17">
        <f t="shared" si="147"/>
        <v>0</v>
      </c>
      <c r="U414" s="17">
        <f t="shared" si="148"/>
        <v>0</v>
      </c>
      <c r="AA414" s="17">
        <f t="shared" si="145"/>
        <v>0</v>
      </c>
      <c r="AC414" s="33">
        <f t="shared" si="146"/>
        <v>0</v>
      </c>
    </row>
    <row r="415" spans="1:29" x14ac:dyDescent="0.2">
      <c r="A415" s="34"/>
      <c r="B415" s="34"/>
      <c r="C415" s="34"/>
      <c r="D415" s="34"/>
      <c r="K415" s="17">
        <f t="shared" si="147"/>
        <v>0</v>
      </c>
      <c r="U415" s="17">
        <f t="shared" si="148"/>
        <v>0</v>
      </c>
      <c r="AA415" s="17">
        <f t="shared" si="145"/>
        <v>0</v>
      </c>
      <c r="AC415" s="33">
        <f t="shared" si="146"/>
        <v>0</v>
      </c>
    </row>
    <row r="416" spans="1:29" x14ac:dyDescent="0.2">
      <c r="A416" s="34"/>
      <c r="B416" s="34"/>
      <c r="C416" s="34"/>
      <c r="D416" s="34"/>
      <c r="K416" s="17">
        <f t="shared" si="147"/>
        <v>0</v>
      </c>
      <c r="U416" s="17">
        <f t="shared" si="148"/>
        <v>0</v>
      </c>
      <c r="AA416" s="17">
        <f t="shared" si="145"/>
        <v>0</v>
      </c>
      <c r="AC416" s="33">
        <f t="shared" si="146"/>
        <v>0</v>
      </c>
    </row>
    <row r="417" spans="1:29" x14ac:dyDescent="0.2">
      <c r="A417" s="34"/>
      <c r="B417" s="34"/>
      <c r="C417" s="34"/>
      <c r="D417" s="34"/>
      <c r="K417" s="17">
        <f t="shared" si="147"/>
        <v>0</v>
      </c>
      <c r="U417" s="17">
        <f t="shared" si="148"/>
        <v>0</v>
      </c>
      <c r="AA417" s="17">
        <f t="shared" si="145"/>
        <v>0</v>
      </c>
      <c r="AC417" s="33">
        <f t="shared" si="146"/>
        <v>0</v>
      </c>
    </row>
    <row r="418" spans="1:29" x14ac:dyDescent="0.2">
      <c r="A418" s="34"/>
      <c r="B418" s="34"/>
      <c r="C418" s="34"/>
      <c r="D418" s="34"/>
      <c r="K418" s="17">
        <f t="shared" si="147"/>
        <v>0</v>
      </c>
      <c r="U418" s="17">
        <f t="shared" si="148"/>
        <v>0</v>
      </c>
      <c r="AA418" s="17">
        <f t="shared" si="145"/>
        <v>0</v>
      </c>
      <c r="AC418" s="33">
        <f t="shared" si="146"/>
        <v>0</v>
      </c>
    </row>
    <row r="419" spans="1:29" x14ac:dyDescent="0.2">
      <c r="A419" s="34"/>
      <c r="B419" s="34"/>
      <c r="C419" s="34"/>
      <c r="D419" s="34"/>
      <c r="K419" s="17">
        <f t="shared" si="147"/>
        <v>0</v>
      </c>
      <c r="U419" s="17">
        <f t="shared" si="148"/>
        <v>0</v>
      </c>
      <c r="AA419" s="17">
        <f t="shared" si="145"/>
        <v>0</v>
      </c>
      <c r="AC419" s="33">
        <f t="shared" si="146"/>
        <v>0</v>
      </c>
    </row>
    <row r="420" spans="1:29" x14ac:dyDescent="0.2">
      <c r="A420" s="34"/>
      <c r="B420" s="34"/>
      <c r="C420" s="34"/>
      <c r="D420" s="34"/>
      <c r="K420" s="17">
        <f t="shared" si="147"/>
        <v>0</v>
      </c>
      <c r="U420" s="17">
        <f t="shared" si="148"/>
        <v>0</v>
      </c>
      <c r="AA420" s="17">
        <f t="shared" si="145"/>
        <v>0</v>
      </c>
      <c r="AC420" s="33">
        <f t="shared" si="146"/>
        <v>0</v>
      </c>
    </row>
    <row r="421" spans="1:29" x14ac:dyDescent="0.2">
      <c r="A421" s="34"/>
      <c r="B421" s="34"/>
      <c r="C421" s="34"/>
      <c r="D421" s="34"/>
      <c r="K421" s="17">
        <f t="shared" si="147"/>
        <v>0</v>
      </c>
      <c r="U421" s="17">
        <f t="shared" si="148"/>
        <v>0</v>
      </c>
      <c r="AA421" s="17">
        <f t="shared" si="145"/>
        <v>0</v>
      </c>
      <c r="AC421" s="33">
        <f t="shared" si="146"/>
        <v>0</v>
      </c>
    </row>
    <row r="422" spans="1:29" x14ac:dyDescent="0.2">
      <c r="A422" s="34"/>
      <c r="B422" s="34"/>
      <c r="C422" s="34"/>
      <c r="D422" s="34"/>
      <c r="K422" s="17">
        <f t="shared" si="147"/>
        <v>0</v>
      </c>
      <c r="U422" s="17">
        <f t="shared" si="148"/>
        <v>0</v>
      </c>
      <c r="AA422" s="17">
        <f t="shared" si="145"/>
        <v>0</v>
      </c>
      <c r="AC422" s="33">
        <f t="shared" si="146"/>
        <v>0</v>
      </c>
    </row>
    <row r="423" spans="1:29" x14ac:dyDescent="0.2">
      <c r="A423" s="34"/>
      <c r="B423" s="34"/>
      <c r="C423" s="34"/>
      <c r="D423" s="34"/>
      <c r="K423" s="17">
        <f t="shared" si="147"/>
        <v>0</v>
      </c>
      <c r="U423" s="17">
        <f t="shared" si="148"/>
        <v>0</v>
      </c>
      <c r="AA423" s="17">
        <f t="shared" si="145"/>
        <v>0</v>
      </c>
      <c r="AC423" s="33">
        <f t="shared" si="146"/>
        <v>0</v>
      </c>
    </row>
    <row r="424" spans="1:29" x14ac:dyDescent="0.2">
      <c r="A424" s="34"/>
      <c r="B424" s="34"/>
      <c r="C424" s="34"/>
      <c r="D424" s="34"/>
      <c r="K424" s="17">
        <f t="shared" si="147"/>
        <v>0</v>
      </c>
      <c r="U424" s="17">
        <f t="shared" si="148"/>
        <v>0</v>
      </c>
      <c r="AA424" s="17">
        <f t="shared" si="145"/>
        <v>0</v>
      </c>
      <c r="AC424" s="33">
        <f t="shared" si="146"/>
        <v>0</v>
      </c>
    </row>
    <row r="425" spans="1:29" x14ac:dyDescent="0.2">
      <c r="A425" s="34"/>
      <c r="B425" s="34"/>
      <c r="C425" s="34"/>
      <c r="D425" s="34"/>
      <c r="K425" s="17">
        <f t="shared" si="147"/>
        <v>0</v>
      </c>
      <c r="U425" s="17">
        <f t="shared" si="148"/>
        <v>0</v>
      </c>
      <c r="AA425" s="17">
        <f t="shared" si="145"/>
        <v>0</v>
      </c>
      <c r="AC425" s="33">
        <f t="shared" si="146"/>
        <v>0</v>
      </c>
    </row>
    <row r="426" spans="1:29" x14ac:dyDescent="0.2">
      <c r="A426" s="34"/>
      <c r="B426" s="34"/>
      <c r="C426" s="34"/>
      <c r="D426" s="34"/>
      <c r="K426" s="17">
        <f t="shared" si="147"/>
        <v>0</v>
      </c>
      <c r="U426" s="17">
        <f t="shared" si="148"/>
        <v>0</v>
      </c>
      <c r="AA426" s="17">
        <f t="shared" si="145"/>
        <v>0</v>
      </c>
      <c r="AC426" s="33">
        <f t="shared" si="146"/>
        <v>0</v>
      </c>
    </row>
    <row r="427" spans="1:29" x14ac:dyDescent="0.2">
      <c r="A427" s="34"/>
      <c r="B427" s="34"/>
      <c r="C427" s="34"/>
      <c r="D427" s="34"/>
      <c r="K427" s="17">
        <f t="shared" si="147"/>
        <v>0</v>
      </c>
      <c r="U427" s="17">
        <f t="shared" si="148"/>
        <v>0</v>
      </c>
      <c r="AA427" s="17">
        <f t="shared" si="145"/>
        <v>0</v>
      </c>
      <c r="AC427" s="33">
        <f t="shared" si="146"/>
        <v>0</v>
      </c>
    </row>
    <row r="428" spans="1:29" x14ac:dyDescent="0.2">
      <c r="A428" s="34"/>
      <c r="B428" s="34"/>
      <c r="C428" s="34"/>
      <c r="D428" s="34"/>
      <c r="K428" s="17">
        <f t="shared" si="147"/>
        <v>0</v>
      </c>
      <c r="U428" s="17">
        <f t="shared" si="148"/>
        <v>0</v>
      </c>
      <c r="AA428" s="17">
        <f t="shared" si="145"/>
        <v>0</v>
      </c>
      <c r="AC428" s="33">
        <f t="shared" si="146"/>
        <v>0</v>
      </c>
    </row>
    <row r="429" spans="1:29" x14ac:dyDescent="0.2">
      <c r="A429" s="34"/>
      <c r="B429" s="34"/>
      <c r="C429" s="34"/>
      <c r="D429" s="34"/>
      <c r="K429" s="17">
        <f t="shared" si="147"/>
        <v>0</v>
      </c>
      <c r="U429" s="17">
        <f t="shared" si="148"/>
        <v>0</v>
      </c>
      <c r="AA429" s="17">
        <f t="shared" si="145"/>
        <v>0</v>
      </c>
      <c r="AC429" s="33">
        <f t="shared" si="146"/>
        <v>0</v>
      </c>
    </row>
    <row r="430" spans="1:29" x14ac:dyDescent="0.2">
      <c r="A430" s="34"/>
      <c r="B430" s="34"/>
      <c r="C430" s="34"/>
      <c r="D430" s="34"/>
      <c r="K430" s="17">
        <f>+Q430-M430-O430</f>
        <v>0</v>
      </c>
      <c r="U430" s="17">
        <f>Y430-W430-S430</f>
        <v>0</v>
      </c>
      <c r="AA430" s="17">
        <f>+I430-Q430-Y430</f>
        <v>0</v>
      </c>
      <c r="AC430" s="33">
        <f>+E430+G430+-K430-M430-S430-U430-W430-O430</f>
        <v>0</v>
      </c>
    </row>
    <row r="431" spans="1:29" x14ac:dyDescent="0.2">
      <c r="A431" s="34"/>
      <c r="B431" s="34"/>
      <c r="C431" s="34"/>
      <c r="D431" s="34"/>
      <c r="K431" s="17">
        <f t="shared" si="147"/>
        <v>0</v>
      </c>
      <c r="U431" s="17">
        <f t="shared" si="148"/>
        <v>0</v>
      </c>
      <c r="AA431" s="17">
        <f t="shared" si="145"/>
        <v>0</v>
      </c>
      <c r="AC431" s="33">
        <f t="shared" si="146"/>
        <v>0</v>
      </c>
    </row>
    <row r="432" spans="1:29" x14ac:dyDescent="0.2">
      <c r="A432" s="34"/>
      <c r="B432" s="34"/>
      <c r="C432" s="34"/>
      <c r="D432" s="34"/>
      <c r="K432" s="17">
        <f t="shared" si="147"/>
        <v>0</v>
      </c>
      <c r="U432" s="17">
        <f t="shared" si="148"/>
        <v>0</v>
      </c>
      <c r="AA432" s="17">
        <f t="shared" si="145"/>
        <v>0</v>
      </c>
      <c r="AC432" s="33">
        <f t="shared" si="146"/>
        <v>0</v>
      </c>
    </row>
    <row r="433" spans="1:29" x14ac:dyDescent="0.2">
      <c r="A433" s="34"/>
      <c r="B433" s="34"/>
      <c r="C433" s="34"/>
      <c r="D433" s="34"/>
      <c r="K433" s="17">
        <f t="shared" si="147"/>
        <v>0</v>
      </c>
      <c r="U433" s="17">
        <f t="shared" si="148"/>
        <v>0</v>
      </c>
      <c r="AA433" s="17">
        <f t="shared" si="145"/>
        <v>0</v>
      </c>
      <c r="AC433" s="33">
        <f t="shared" si="146"/>
        <v>0</v>
      </c>
    </row>
    <row r="434" spans="1:29" x14ac:dyDescent="0.2">
      <c r="A434" s="34"/>
      <c r="B434" s="34"/>
      <c r="C434" s="34"/>
      <c r="D434" s="34"/>
      <c r="K434" s="17">
        <f t="shared" si="147"/>
        <v>0</v>
      </c>
      <c r="U434" s="17">
        <f t="shared" si="148"/>
        <v>0</v>
      </c>
      <c r="AA434" s="17">
        <f t="shared" si="145"/>
        <v>0</v>
      </c>
      <c r="AC434" s="33">
        <f t="shared" si="146"/>
        <v>0</v>
      </c>
    </row>
    <row r="435" spans="1:29" x14ac:dyDescent="0.2">
      <c r="A435" s="34"/>
      <c r="B435" s="34"/>
      <c r="C435" s="34"/>
      <c r="D435" s="34"/>
      <c r="K435" s="17">
        <f t="shared" si="147"/>
        <v>0</v>
      </c>
      <c r="U435" s="17">
        <f t="shared" si="148"/>
        <v>0</v>
      </c>
      <c r="AA435" s="17">
        <f t="shared" si="145"/>
        <v>0</v>
      </c>
      <c r="AC435" s="33">
        <f t="shared" si="146"/>
        <v>0</v>
      </c>
    </row>
    <row r="436" spans="1:29" x14ac:dyDescent="0.2">
      <c r="A436" s="34"/>
      <c r="B436" s="34"/>
      <c r="C436" s="34"/>
      <c r="D436" s="34"/>
      <c r="K436" s="17">
        <f t="shared" si="147"/>
        <v>0</v>
      </c>
      <c r="U436" s="17">
        <f t="shared" si="148"/>
        <v>0</v>
      </c>
      <c r="AA436" s="17">
        <f t="shared" si="145"/>
        <v>0</v>
      </c>
      <c r="AC436" s="33">
        <f t="shared" si="146"/>
        <v>0</v>
      </c>
    </row>
    <row r="437" spans="1:29" x14ac:dyDescent="0.2">
      <c r="A437" s="34"/>
      <c r="B437" s="34"/>
      <c r="C437" s="34"/>
      <c r="D437" s="34"/>
      <c r="K437" s="17">
        <f t="shared" si="147"/>
        <v>0</v>
      </c>
      <c r="U437" s="17">
        <f t="shared" si="148"/>
        <v>0</v>
      </c>
      <c r="AA437" s="17">
        <f t="shared" si="145"/>
        <v>0</v>
      </c>
      <c r="AC437" s="33">
        <f t="shared" si="146"/>
        <v>0</v>
      </c>
    </row>
    <row r="438" spans="1:29" x14ac:dyDescent="0.2">
      <c r="A438" s="34"/>
      <c r="B438" s="34"/>
      <c r="C438" s="34"/>
      <c r="D438" s="34"/>
      <c r="K438" s="17">
        <f t="shared" si="147"/>
        <v>0</v>
      </c>
      <c r="U438" s="17">
        <f t="shared" si="148"/>
        <v>0</v>
      </c>
      <c r="AA438" s="17">
        <f t="shared" si="145"/>
        <v>0</v>
      </c>
      <c r="AC438" s="33">
        <f t="shared" si="146"/>
        <v>0</v>
      </c>
    </row>
    <row r="439" spans="1:29" x14ac:dyDescent="0.2">
      <c r="A439" s="34"/>
      <c r="B439" s="34"/>
      <c r="C439" s="34"/>
      <c r="D439" s="34"/>
      <c r="K439" s="17">
        <f t="shared" si="147"/>
        <v>0</v>
      </c>
      <c r="U439" s="17">
        <f t="shared" si="148"/>
        <v>0</v>
      </c>
      <c r="AA439" s="17">
        <f t="shared" si="145"/>
        <v>0</v>
      </c>
      <c r="AC439" s="33">
        <f t="shared" si="146"/>
        <v>0</v>
      </c>
    </row>
    <row r="440" spans="1:29" x14ac:dyDescent="0.2">
      <c r="A440" s="34"/>
      <c r="B440" s="34"/>
      <c r="C440" s="34"/>
      <c r="D440" s="34"/>
      <c r="K440" s="17">
        <f t="shared" si="147"/>
        <v>0</v>
      </c>
      <c r="U440" s="17">
        <f t="shared" si="148"/>
        <v>0</v>
      </c>
      <c r="AA440" s="17">
        <f t="shared" si="145"/>
        <v>0</v>
      </c>
      <c r="AC440" s="33">
        <f t="shared" si="146"/>
        <v>0</v>
      </c>
    </row>
    <row r="441" spans="1:29" x14ac:dyDescent="0.2">
      <c r="A441" s="34"/>
      <c r="B441" s="34"/>
      <c r="C441" s="34"/>
      <c r="D441" s="34"/>
      <c r="K441" s="17">
        <f t="shared" si="147"/>
        <v>0</v>
      </c>
      <c r="U441" s="17">
        <f t="shared" si="148"/>
        <v>0</v>
      </c>
      <c r="AA441" s="17">
        <f t="shared" si="145"/>
        <v>0</v>
      </c>
      <c r="AC441" s="33">
        <f t="shared" si="146"/>
        <v>0</v>
      </c>
    </row>
    <row r="442" spans="1:29" x14ac:dyDescent="0.2">
      <c r="A442" s="34"/>
      <c r="B442" s="34"/>
      <c r="C442" s="34"/>
      <c r="D442" s="34"/>
      <c r="K442" s="17">
        <f t="shared" si="147"/>
        <v>0</v>
      </c>
      <c r="U442" s="17">
        <f t="shared" si="148"/>
        <v>0</v>
      </c>
      <c r="AA442" s="17">
        <f t="shared" si="145"/>
        <v>0</v>
      </c>
      <c r="AC442" s="33">
        <f t="shared" si="146"/>
        <v>0</v>
      </c>
    </row>
    <row r="443" spans="1:29" x14ac:dyDescent="0.2">
      <c r="A443" s="34"/>
      <c r="B443" s="34"/>
      <c r="C443" s="34"/>
      <c r="D443" s="34"/>
      <c r="K443" s="17">
        <f t="shared" si="147"/>
        <v>0</v>
      </c>
      <c r="U443" s="17">
        <f t="shared" si="148"/>
        <v>0</v>
      </c>
      <c r="AA443" s="17">
        <f t="shared" si="145"/>
        <v>0</v>
      </c>
      <c r="AC443" s="33">
        <f t="shared" si="146"/>
        <v>0</v>
      </c>
    </row>
    <row r="444" spans="1:29" x14ac:dyDescent="0.2">
      <c r="A444" s="34"/>
      <c r="B444" s="34"/>
      <c r="C444" s="34"/>
      <c r="D444" s="34"/>
      <c r="K444" s="17">
        <f t="shared" si="147"/>
        <v>0</v>
      </c>
      <c r="U444" s="17">
        <f t="shared" si="148"/>
        <v>0</v>
      </c>
      <c r="AA444" s="17">
        <f t="shared" si="145"/>
        <v>0</v>
      </c>
      <c r="AC444" s="33">
        <f t="shared" si="146"/>
        <v>0</v>
      </c>
    </row>
    <row r="445" spans="1:29" x14ac:dyDescent="0.2">
      <c r="A445" s="34"/>
      <c r="B445" s="34"/>
      <c r="C445" s="34"/>
      <c r="D445" s="34"/>
      <c r="K445" s="17">
        <f t="shared" si="147"/>
        <v>0</v>
      </c>
      <c r="U445" s="17">
        <f t="shared" si="148"/>
        <v>0</v>
      </c>
      <c r="AA445" s="17">
        <f t="shared" si="145"/>
        <v>0</v>
      </c>
      <c r="AC445" s="33">
        <f t="shared" si="146"/>
        <v>0</v>
      </c>
    </row>
    <row r="446" spans="1:29" x14ac:dyDescent="0.2">
      <c r="A446" s="34"/>
      <c r="B446" s="34"/>
      <c r="C446" s="34"/>
      <c r="D446" s="34"/>
      <c r="K446" s="17">
        <f t="shared" si="147"/>
        <v>0</v>
      </c>
      <c r="U446" s="17">
        <f t="shared" si="148"/>
        <v>0</v>
      </c>
      <c r="AA446" s="17">
        <f t="shared" si="145"/>
        <v>0</v>
      </c>
      <c r="AC446" s="33">
        <f t="shared" si="146"/>
        <v>0</v>
      </c>
    </row>
    <row r="447" spans="1:29" x14ac:dyDescent="0.2">
      <c r="A447" s="34"/>
      <c r="B447" s="34"/>
      <c r="C447" s="34"/>
      <c r="D447" s="34"/>
      <c r="K447" s="17">
        <f t="shared" si="147"/>
        <v>0</v>
      </c>
      <c r="U447" s="17">
        <f t="shared" si="148"/>
        <v>0</v>
      </c>
      <c r="AA447" s="17">
        <f t="shared" si="145"/>
        <v>0</v>
      </c>
      <c r="AC447" s="33">
        <f t="shared" si="146"/>
        <v>0</v>
      </c>
    </row>
    <row r="448" spans="1:29" x14ac:dyDescent="0.2">
      <c r="A448" s="34"/>
      <c r="B448" s="34"/>
      <c r="C448" s="34"/>
      <c r="D448" s="34"/>
      <c r="K448" s="17">
        <f t="shared" si="147"/>
        <v>0</v>
      </c>
      <c r="U448" s="17">
        <f t="shared" si="148"/>
        <v>0</v>
      </c>
      <c r="AA448" s="17">
        <f t="shared" si="145"/>
        <v>0</v>
      </c>
      <c r="AC448" s="33">
        <f t="shared" si="146"/>
        <v>0</v>
      </c>
    </row>
    <row r="449" spans="1:31" x14ac:dyDescent="0.2">
      <c r="A449" s="34"/>
      <c r="B449" s="34"/>
      <c r="C449" s="34"/>
      <c r="D449" s="34"/>
      <c r="K449" s="17">
        <f t="shared" si="147"/>
        <v>0</v>
      </c>
      <c r="U449" s="17">
        <f t="shared" si="148"/>
        <v>0</v>
      </c>
      <c r="AA449" s="17">
        <f t="shared" si="145"/>
        <v>0</v>
      </c>
      <c r="AC449" s="33">
        <f t="shared" si="146"/>
        <v>0</v>
      </c>
    </row>
    <row r="450" spans="1:31" x14ac:dyDescent="0.2">
      <c r="A450" s="34"/>
      <c r="B450" s="34"/>
      <c r="C450" s="34"/>
      <c r="D450" s="34"/>
      <c r="K450" s="17">
        <f t="shared" si="147"/>
        <v>0</v>
      </c>
      <c r="U450" s="17">
        <f>Y450-W450-S450</f>
        <v>0</v>
      </c>
      <c r="AA450" s="17">
        <f t="shared" si="145"/>
        <v>0</v>
      </c>
      <c r="AC450" s="33">
        <f t="shared" si="146"/>
        <v>0</v>
      </c>
    </row>
    <row r="451" spans="1:31" x14ac:dyDescent="0.2">
      <c r="A451" s="34"/>
      <c r="B451" s="34"/>
      <c r="C451" s="34"/>
      <c r="D451" s="34"/>
      <c r="K451" s="17">
        <f t="shared" si="147"/>
        <v>0</v>
      </c>
      <c r="U451" s="17">
        <f t="shared" ref="U451:U458" si="151">Y451-W451-S451</f>
        <v>0</v>
      </c>
      <c r="AA451" s="17">
        <f t="shared" si="145"/>
        <v>0</v>
      </c>
      <c r="AC451" s="33">
        <f t="shared" si="146"/>
        <v>0</v>
      </c>
      <c r="AE451" s="17" t="s">
        <v>534</v>
      </c>
    </row>
    <row r="452" spans="1:31" x14ac:dyDescent="0.2">
      <c r="A452" s="34"/>
      <c r="B452" s="34"/>
      <c r="C452" s="34"/>
      <c r="D452" s="34"/>
      <c r="K452" s="17">
        <f t="shared" si="147"/>
        <v>0</v>
      </c>
      <c r="U452" s="17">
        <f t="shared" si="151"/>
        <v>0</v>
      </c>
      <c r="AA452" s="17">
        <f t="shared" si="145"/>
        <v>0</v>
      </c>
      <c r="AC452" s="33">
        <f t="shared" si="146"/>
        <v>0</v>
      </c>
    </row>
    <row r="453" spans="1:31" x14ac:dyDescent="0.2">
      <c r="A453" s="34"/>
      <c r="B453" s="34"/>
      <c r="C453" s="34"/>
      <c r="D453" s="34"/>
      <c r="K453" s="17">
        <f t="shared" si="147"/>
        <v>0</v>
      </c>
      <c r="U453" s="17">
        <f t="shared" si="151"/>
        <v>0</v>
      </c>
      <c r="AA453" s="17">
        <f t="shared" si="145"/>
        <v>0</v>
      </c>
      <c r="AC453" s="33">
        <f t="shared" ref="AC453:AC516" si="152">+E453+G453+-K453-M453-S453-U453-W453-O453</f>
        <v>0</v>
      </c>
    </row>
    <row r="454" spans="1:31" x14ac:dyDescent="0.2">
      <c r="A454" s="34"/>
      <c r="B454" s="34"/>
      <c r="C454" s="34"/>
      <c r="D454" s="34"/>
      <c r="K454" s="17">
        <f t="shared" si="147"/>
        <v>0</v>
      </c>
      <c r="U454" s="17">
        <f t="shared" si="151"/>
        <v>0</v>
      </c>
      <c r="AA454" s="17">
        <f t="shared" si="145"/>
        <v>0</v>
      </c>
      <c r="AC454" s="33">
        <f t="shared" si="152"/>
        <v>0</v>
      </c>
    </row>
    <row r="455" spans="1:31" x14ac:dyDescent="0.2">
      <c r="A455" s="34"/>
      <c r="B455" s="34"/>
      <c r="C455" s="34"/>
      <c r="D455" s="34"/>
      <c r="K455" s="17">
        <f t="shared" si="147"/>
        <v>0</v>
      </c>
      <c r="U455" s="17">
        <f t="shared" si="151"/>
        <v>0</v>
      </c>
      <c r="AA455" s="17">
        <f t="shared" si="145"/>
        <v>0</v>
      </c>
      <c r="AC455" s="33">
        <f t="shared" si="152"/>
        <v>0</v>
      </c>
    </row>
    <row r="456" spans="1:31" x14ac:dyDescent="0.2">
      <c r="A456" s="30"/>
      <c r="B456" s="30"/>
      <c r="C456" s="30"/>
      <c r="D456" s="30"/>
      <c r="K456" s="17">
        <f t="shared" ref="K456:K458" si="153">+Q456-M456-O456</f>
        <v>0</v>
      </c>
      <c r="U456" s="17">
        <f t="shared" si="151"/>
        <v>0</v>
      </c>
      <c r="AA456" s="17">
        <f t="shared" ref="AA456:AA519" si="154">+I456-Q456-Y456</f>
        <v>0</v>
      </c>
      <c r="AC456" s="17">
        <f t="shared" si="152"/>
        <v>0</v>
      </c>
    </row>
    <row r="457" spans="1:31" x14ac:dyDescent="0.2">
      <c r="A457" s="34"/>
      <c r="B457" s="34"/>
      <c r="C457" s="34"/>
      <c r="D457" s="34"/>
      <c r="K457" s="17">
        <f t="shared" si="153"/>
        <v>0</v>
      </c>
      <c r="U457" s="17">
        <f t="shared" si="151"/>
        <v>0</v>
      </c>
      <c r="AA457" s="17">
        <f t="shared" si="154"/>
        <v>0</v>
      </c>
      <c r="AC457" s="33">
        <f t="shared" si="152"/>
        <v>0</v>
      </c>
    </row>
    <row r="458" spans="1:31" x14ac:dyDescent="0.2">
      <c r="A458" s="34"/>
      <c r="B458" s="34"/>
      <c r="C458" s="34"/>
      <c r="D458" s="34"/>
      <c r="K458" s="17">
        <f t="shared" si="153"/>
        <v>0</v>
      </c>
      <c r="U458" s="17">
        <f t="shared" si="151"/>
        <v>0</v>
      </c>
      <c r="AA458" s="17">
        <f t="shared" si="154"/>
        <v>0</v>
      </c>
      <c r="AC458" s="33">
        <f t="shared" si="152"/>
        <v>0</v>
      </c>
    </row>
    <row r="459" spans="1:31" x14ac:dyDescent="0.2">
      <c r="A459" s="34"/>
      <c r="B459" s="34"/>
      <c r="C459" s="34"/>
      <c r="D459" s="34"/>
      <c r="K459" s="17">
        <f>+Q459-M459-O459</f>
        <v>0</v>
      </c>
      <c r="U459" s="17">
        <f>Y459-W459-S459</f>
        <v>0</v>
      </c>
      <c r="AA459" s="17">
        <f t="shared" si="154"/>
        <v>0</v>
      </c>
      <c r="AC459" s="33">
        <f t="shared" si="152"/>
        <v>0</v>
      </c>
    </row>
    <row r="460" spans="1:31" x14ac:dyDescent="0.2">
      <c r="A460" s="34"/>
      <c r="B460" s="34"/>
      <c r="C460" s="34"/>
      <c r="D460" s="34"/>
      <c r="K460" s="17">
        <f>+Q460-M460-O460</f>
        <v>0</v>
      </c>
      <c r="U460" s="17">
        <f>Y460-W460-S460</f>
        <v>0</v>
      </c>
      <c r="AA460" s="17">
        <f t="shared" si="154"/>
        <v>0</v>
      </c>
      <c r="AC460" s="33">
        <f t="shared" si="152"/>
        <v>0</v>
      </c>
    </row>
    <row r="461" spans="1:31" x14ac:dyDescent="0.2">
      <c r="A461" s="34"/>
      <c r="B461" s="34"/>
      <c r="C461" s="34"/>
      <c r="D461" s="34"/>
      <c r="K461" s="17">
        <f>+Q461-M461-O461</f>
        <v>0</v>
      </c>
      <c r="U461" s="17">
        <f>Y461-W461-S461</f>
        <v>0</v>
      </c>
      <c r="AA461" s="17">
        <f t="shared" si="154"/>
        <v>0</v>
      </c>
      <c r="AC461" s="33">
        <f t="shared" si="152"/>
        <v>0</v>
      </c>
    </row>
    <row r="462" spans="1:31" x14ac:dyDescent="0.2">
      <c r="A462" s="34"/>
      <c r="B462" s="34"/>
      <c r="C462" s="34"/>
      <c r="D462" s="34"/>
      <c r="K462" s="17">
        <f>+Q462-M462-O462</f>
        <v>0</v>
      </c>
      <c r="U462" s="17">
        <f>Y462-W462-S462</f>
        <v>0</v>
      </c>
      <c r="AA462" s="17">
        <f t="shared" si="154"/>
        <v>0</v>
      </c>
      <c r="AC462" s="33">
        <f t="shared" si="152"/>
        <v>0</v>
      </c>
    </row>
    <row r="463" spans="1:31" x14ac:dyDescent="0.2">
      <c r="A463" s="34"/>
      <c r="B463" s="34"/>
      <c r="C463" s="34"/>
      <c r="D463" s="34"/>
      <c r="K463" s="17">
        <f>+Q463-M463-O463</f>
        <v>0</v>
      </c>
      <c r="U463" s="17">
        <f>Y463-W463-S463</f>
        <v>0</v>
      </c>
      <c r="AA463" s="17">
        <f t="shared" si="154"/>
        <v>0</v>
      </c>
      <c r="AC463" s="33">
        <f t="shared" si="152"/>
        <v>0</v>
      </c>
    </row>
    <row r="464" spans="1:31" x14ac:dyDescent="0.2">
      <c r="A464" s="30"/>
      <c r="B464" s="30"/>
      <c r="C464" s="30"/>
      <c r="D464" s="30"/>
      <c r="K464" s="17">
        <f t="shared" ref="K464:K527" si="155">+Q464-M464-O464</f>
        <v>0</v>
      </c>
      <c r="U464" s="17">
        <f t="shared" ref="U464:U527" si="156">Y464-W464-S464</f>
        <v>0</v>
      </c>
      <c r="AA464" s="17">
        <f t="shared" si="154"/>
        <v>0</v>
      </c>
      <c r="AC464" s="17">
        <f t="shared" si="152"/>
        <v>0</v>
      </c>
    </row>
    <row r="467" spans="1:29" s="33" customFormat="1" x14ac:dyDescent="0.2">
      <c r="A467" s="31"/>
      <c r="B467" s="31"/>
      <c r="C467" s="31"/>
      <c r="D467" s="31"/>
      <c r="K467" s="33">
        <f t="shared" ref="K467:K473" si="157">+Q467-M467-O467</f>
        <v>0</v>
      </c>
      <c r="U467" s="33">
        <f t="shared" ref="U467:U473" si="158">Y467-W467-S467</f>
        <v>0</v>
      </c>
      <c r="AA467" s="33">
        <f t="shared" ref="AA467:AA473" si="159">+I467-Q467-Y467</f>
        <v>0</v>
      </c>
      <c r="AC467" s="33">
        <f t="shared" ref="AC467:AC473" si="160">+E467+G467+-K467-M467-S467-U467-W467-O467</f>
        <v>0</v>
      </c>
    </row>
    <row r="468" spans="1:29" x14ac:dyDescent="0.2">
      <c r="A468" s="34"/>
      <c r="B468" s="34"/>
      <c r="C468" s="34"/>
      <c r="D468" s="34"/>
      <c r="K468" s="17">
        <f t="shared" si="157"/>
        <v>0</v>
      </c>
      <c r="U468" s="17">
        <f t="shared" si="158"/>
        <v>0</v>
      </c>
      <c r="AA468" s="17">
        <f t="shared" si="159"/>
        <v>0</v>
      </c>
      <c r="AC468" s="33">
        <f t="shared" si="160"/>
        <v>0</v>
      </c>
    </row>
    <row r="469" spans="1:29" x14ac:dyDescent="0.2">
      <c r="A469" s="34"/>
      <c r="B469" s="34"/>
      <c r="C469" s="34"/>
      <c r="D469" s="34"/>
      <c r="K469" s="17">
        <f t="shared" si="157"/>
        <v>0</v>
      </c>
      <c r="U469" s="17">
        <f t="shared" si="158"/>
        <v>0</v>
      </c>
      <c r="AA469" s="17">
        <f t="shared" si="159"/>
        <v>0</v>
      </c>
      <c r="AC469" s="33">
        <f t="shared" si="160"/>
        <v>0</v>
      </c>
    </row>
    <row r="470" spans="1:29" x14ac:dyDescent="0.2">
      <c r="A470" s="34"/>
      <c r="B470" s="34"/>
      <c r="C470" s="34"/>
      <c r="D470" s="34"/>
      <c r="K470" s="17">
        <f t="shared" si="157"/>
        <v>0</v>
      </c>
      <c r="U470" s="17">
        <f t="shared" si="158"/>
        <v>0</v>
      </c>
      <c r="AA470" s="17">
        <f t="shared" si="159"/>
        <v>0</v>
      </c>
      <c r="AC470" s="33">
        <f t="shared" si="160"/>
        <v>0</v>
      </c>
    </row>
    <row r="471" spans="1:29" x14ac:dyDescent="0.2">
      <c r="A471" s="34"/>
      <c r="B471" s="34"/>
      <c r="C471" s="34"/>
      <c r="D471" s="34"/>
      <c r="K471" s="17">
        <f t="shared" si="157"/>
        <v>0</v>
      </c>
      <c r="U471" s="17">
        <f t="shared" si="158"/>
        <v>0</v>
      </c>
      <c r="AA471" s="17">
        <f t="shared" si="159"/>
        <v>0</v>
      </c>
      <c r="AC471" s="33">
        <f t="shared" si="160"/>
        <v>0</v>
      </c>
    </row>
    <row r="472" spans="1:29" x14ac:dyDescent="0.2">
      <c r="A472" s="34"/>
      <c r="B472" s="34"/>
      <c r="C472" s="34"/>
      <c r="D472" s="34"/>
      <c r="K472" s="17">
        <f t="shared" si="157"/>
        <v>0</v>
      </c>
      <c r="U472" s="17">
        <f t="shared" si="158"/>
        <v>0</v>
      </c>
      <c r="AA472" s="17">
        <f t="shared" si="159"/>
        <v>0</v>
      </c>
      <c r="AC472" s="33">
        <f t="shared" si="160"/>
        <v>0</v>
      </c>
    </row>
    <row r="473" spans="1:29" x14ac:dyDescent="0.2">
      <c r="A473" s="34"/>
      <c r="B473" s="34"/>
      <c r="C473" s="34"/>
      <c r="D473" s="34"/>
      <c r="K473" s="17">
        <f t="shared" si="157"/>
        <v>0</v>
      </c>
      <c r="U473" s="17">
        <f t="shared" si="158"/>
        <v>0</v>
      </c>
      <c r="AA473" s="17">
        <f t="shared" si="159"/>
        <v>0</v>
      </c>
      <c r="AC473" s="33">
        <f t="shared" si="160"/>
        <v>0</v>
      </c>
    </row>
    <row r="474" spans="1:29" x14ac:dyDescent="0.2">
      <c r="A474" s="30"/>
      <c r="B474" s="30"/>
      <c r="C474" s="30"/>
      <c r="D474" s="30"/>
      <c r="K474" s="17">
        <f t="shared" si="155"/>
        <v>0</v>
      </c>
      <c r="U474" s="17">
        <f t="shared" si="156"/>
        <v>0</v>
      </c>
      <c r="AA474" s="17">
        <f t="shared" si="154"/>
        <v>0</v>
      </c>
      <c r="AC474" s="17">
        <f t="shared" si="152"/>
        <v>0</v>
      </c>
    </row>
    <row r="475" spans="1:29" x14ac:dyDescent="0.2">
      <c r="A475" s="34"/>
      <c r="B475" s="34"/>
      <c r="C475" s="34"/>
      <c r="D475" s="34"/>
      <c r="K475" s="17">
        <f t="shared" si="155"/>
        <v>0</v>
      </c>
      <c r="U475" s="17">
        <f t="shared" si="156"/>
        <v>0</v>
      </c>
      <c r="AA475" s="17">
        <f t="shared" si="154"/>
        <v>0</v>
      </c>
      <c r="AC475" s="33">
        <f t="shared" si="152"/>
        <v>0</v>
      </c>
    </row>
    <row r="476" spans="1:29" x14ac:dyDescent="0.2">
      <c r="A476" s="34"/>
      <c r="B476" s="34"/>
      <c r="C476" s="34"/>
      <c r="D476" s="34"/>
      <c r="K476" s="17">
        <f>+Q476-M476-O476</f>
        <v>0</v>
      </c>
      <c r="U476" s="17">
        <f t="shared" si="156"/>
        <v>0</v>
      </c>
      <c r="AA476" s="17">
        <f t="shared" si="154"/>
        <v>0</v>
      </c>
      <c r="AC476" s="33">
        <f t="shared" si="152"/>
        <v>0</v>
      </c>
    </row>
    <row r="477" spans="1:29" x14ac:dyDescent="0.2">
      <c r="A477" s="34"/>
      <c r="B477" s="34"/>
      <c r="C477" s="34"/>
      <c r="D477" s="34"/>
      <c r="K477" s="17">
        <f t="shared" si="155"/>
        <v>0</v>
      </c>
      <c r="U477" s="17">
        <f t="shared" si="156"/>
        <v>0</v>
      </c>
      <c r="AA477" s="17">
        <f t="shared" si="154"/>
        <v>0</v>
      </c>
      <c r="AC477" s="33">
        <f t="shared" si="152"/>
        <v>0</v>
      </c>
    </row>
    <row r="478" spans="1:29" x14ac:dyDescent="0.2">
      <c r="A478" s="34"/>
      <c r="B478" s="34"/>
      <c r="C478" s="34"/>
      <c r="D478" s="34"/>
      <c r="K478" s="17">
        <f t="shared" si="155"/>
        <v>0</v>
      </c>
      <c r="U478" s="17">
        <f t="shared" si="156"/>
        <v>0</v>
      </c>
      <c r="AA478" s="17">
        <f t="shared" si="154"/>
        <v>0</v>
      </c>
      <c r="AC478" s="33">
        <f t="shared" si="152"/>
        <v>0</v>
      </c>
    </row>
    <row r="479" spans="1:29" x14ac:dyDescent="0.2">
      <c r="A479" s="34"/>
      <c r="B479" s="34"/>
      <c r="C479" s="34"/>
      <c r="D479" s="34"/>
      <c r="K479" s="17">
        <f t="shared" si="155"/>
        <v>0</v>
      </c>
      <c r="U479" s="17">
        <f t="shared" si="156"/>
        <v>0</v>
      </c>
      <c r="AA479" s="17">
        <f t="shared" si="154"/>
        <v>0</v>
      </c>
      <c r="AC479" s="33">
        <f t="shared" si="152"/>
        <v>0</v>
      </c>
    </row>
    <row r="480" spans="1:29" x14ac:dyDescent="0.2">
      <c r="A480" s="34"/>
      <c r="B480" s="34"/>
      <c r="C480" s="34"/>
      <c r="D480" s="34"/>
      <c r="K480" s="17">
        <f t="shared" si="155"/>
        <v>0</v>
      </c>
      <c r="U480" s="17">
        <f t="shared" si="156"/>
        <v>0</v>
      </c>
      <c r="AA480" s="17">
        <f t="shared" si="154"/>
        <v>0</v>
      </c>
      <c r="AC480" s="33">
        <f t="shared" si="152"/>
        <v>0</v>
      </c>
    </row>
    <row r="481" spans="1:29" x14ac:dyDescent="0.2">
      <c r="A481" s="34"/>
      <c r="B481" s="34"/>
      <c r="C481" s="34"/>
      <c r="D481" s="34"/>
      <c r="K481" s="17">
        <f t="shared" si="155"/>
        <v>0</v>
      </c>
      <c r="U481" s="17">
        <f t="shared" si="156"/>
        <v>0</v>
      </c>
      <c r="AA481" s="17">
        <f t="shared" si="154"/>
        <v>0</v>
      </c>
      <c r="AC481" s="33">
        <f t="shared" si="152"/>
        <v>0</v>
      </c>
    </row>
    <row r="482" spans="1:29" x14ac:dyDescent="0.2">
      <c r="A482" s="34"/>
      <c r="B482" s="34"/>
      <c r="C482" s="34"/>
      <c r="D482" s="34"/>
      <c r="K482" s="17">
        <f t="shared" si="155"/>
        <v>0</v>
      </c>
      <c r="U482" s="17">
        <f t="shared" si="156"/>
        <v>0</v>
      </c>
      <c r="AA482" s="17">
        <f t="shared" si="154"/>
        <v>0</v>
      </c>
      <c r="AC482" s="33">
        <f t="shared" si="152"/>
        <v>0</v>
      </c>
    </row>
    <row r="483" spans="1:29" x14ac:dyDescent="0.2">
      <c r="A483" s="34"/>
      <c r="B483" s="34"/>
      <c r="C483" s="34"/>
      <c r="D483" s="34"/>
      <c r="K483" s="17">
        <f t="shared" si="155"/>
        <v>0</v>
      </c>
      <c r="U483" s="17">
        <f t="shared" si="156"/>
        <v>0</v>
      </c>
      <c r="AA483" s="17">
        <f t="shared" si="154"/>
        <v>0</v>
      </c>
      <c r="AC483" s="33">
        <f t="shared" si="152"/>
        <v>0</v>
      </c>
    </row>
    <row r="484" spans="1:29" x14ac:dyDescent="0.2">
      <c r="A484" s="34"/>
      <c r="B484" s="34"/>
      <c r="C484" s="34"/>
      <c r="D484" s="34"/>
      <c r="K484" s="17">
        <f t="shared" si="155"/>
        <v>0</v>
      </c>
      <c r="U484" s="17">
        <f t="shared" si="156"/>
        <v>0</v>
      </c>
      <c r="AA484" s="17">
        <f t="shared" si="154"/>
        <v>0</v>
      </c>
      <c r="AC484" s="33">
        <f t="shared" si="152"/>
        <v>0</v>
      </c>
    </row>
    <row r="485" spans="1:29" x14ac:dyDescent="0.2">
      <c r="A485" s="34"/>
      <c r="B485" s="34"/>
      <c r="C485" s="34"/>
      <c r="D485" s="34"/>
      <c r="K485" s="17">
        <f t="shared" si="155"/>
        <v>0</v>
      </c>
      <c r="U485" s="17">
        <f t="shared" si="156"/>
        <v>0</v>
      </c>
      <c r="AA485" s="17">
        <f t="shared" si="154"/>
        <v>0</v>
      </c>
      <c r="AC485" s="33">
        <f t="shared" si="152"/>
        <v>0</v>
      </c>
    </row>
    <row r="486" spans="1:29" x14ac:dyDescent="0.2">
      <c r="A486" s="34"/>
      <c r="B486" s="34"/>
      <c r="C486" s="34"/>
      <c r="D486" s="34"/>
      <c r="K486" s="17">
        <f t="shared" si="155"/>
        <v>0</v>
      </c>
      <c r="U486" s="17">
        <f t="shared" si="156"/>
        <v>0</v>
      </c>
      <c r="AA486" s="17">
        <f t="shared" si="154"/>
        <v>0</v>
      </c>
      <c r="AC486" s="33">
        <f t="shared" si="152"/>
        <v>0</v>
      </c>
    </row>
    <row r="487" spans="1:29" x14ac:dyDescent="0.2">
      <c r="A487" s="34"/>
      <c r="B487" s="34"/>
      <c r="C487" s="34"/>
      <c r="D487" s="34"/>
      <c r="K487" s="17">
        <f t="shared" si="155"/>
        <v>0</v>
      </c>
      <c r="U487" s="17">
        <f t="shared" si="156"/>
        <v>0</v>
      </c>
      <c r="AA487" s="17">
        <f t="shared" si="154"/>
        <v>0</v>
      </c>
      <c r="AC487" s="33">
        <f t="shared" si="152"/>
        <v>0</v>
      </c>
    </row>
    <row r="488" spans="1:29" x14ac:dyDescent="0.2">
      <c r="A488" s="34"/>
      <c r="B488" s="34"/>
      <c r="C488" s="34"/>
      <c r="D488" s="34"/>
      <c r="K488" s="17">
        <f t="shared" si="155"/>
        <v>0</v>
      </c>
      <c r="U488" s="17">
        <f t="shared" si="156"/>
        <v>0</v>
      </c>
      <c r="AA488" s="17">
        <f t="shared" si="154"/>
        <v>0</v>
      </c>
      <c r="AC488" s="33">
        <f t="shared" si="152"/>
        <v>0</v>
      </c>
    </row>
    <row r="489" spans="1:29" x14ac:dyDescent="0.2">
      <c r="A489" s="34"/>
      <c r="B489" s="34"/>
      <c r="C489" s="34"/>
      <c r="D489" s="34"/>
      <c r="K489" s="17">
        <f t="shared" si="155"/>
        <v>0</v>
      </c>
      <c r="U489" s="17">
        <f t="shared" si="156"/>
        <v>0</v>
      </c>
      <c r="AA489" s="17">
        <f t="shared" si="154"/>
        <v>0</v>
      </c>
      <c r="AC489" s="33">
        <f t="shared" si="152"/>
        <v>0</v>
      </c>
    </row>
    <row r="490" spans="1:29" x14ac:dyDescent="0.2">
      <c r="A490" s="34"/>
      <c r="B490" s="34"/>
      <c r="C490" s="34"/>
      <c r="D490" s="34"/>
      <c r="K490" s="17">
        <f t="shared" si="155"/>
        <v>0</v>
      </c>
      <c r="U490" s="17">
        <f t="shared" si="156"/>
        <v>0</v>
      </c>
      <c r="AA490" s="17">
        <f t="shared" si="154"/>
        <v>0</v>
      </c>
      <c r="AC490" s="33">
        <f t="shared" si="152"/>
        <v>0</v>
      </c>
    </row>
    <row r="491" spans="1:29" x14ac:dyDescent="0.2">
      <c r="A491" s="34"/>
      <c r="B491" s="34"/>
      <c r="C491" s="34"/>
      <c r="D491" s="34"/>
      <c r="K491" s="17">
        <f t="shared" si="155"/>
        <v>0</v>
      </c>
      <c r="U491" s="17">
        <f t="shared" si="156"/>
        <v>0</v>
      </c>
      <c r="AA491" s="17">
        <f t="shared" si="154"/>
        <v>0</v>
      </c>
      <c r="AC491" s="33">
        <f t="shared" si="152"/>
        <v>0</v>
      </c>
    </row>
    <row r="492" spans="1:29" x14ac:dyDescent="0.2">
      <c r="A492" s="34"/>
      <c r="B492" s="34"/>
      <c r="C492" s="34"/>
      <c r="D492" s="34"/>
      <c r="K492" s="17">
        <f t="shared" si="155"/>
        <v>0</v>
      </c>
      <c r="U492" s="17">
        <f t="shared" si="156"/>
        <v>0</v>
      </c>
      <c r="AA492" s="17">
        <f t="shared" si="154"/>
        <v>0</v>
      </c>
      <c r="AC492" s="33">
        <f t="shared" si="152"/>
        <v>0</v>
      </c>
    </row>
    <row r="493" spans="1:29" x14ac:dyDescent="0.2">
      <c r="A493" s="34"/>
      <c r="B493" s="34"/>
      <c r="C493" s="34"/>
      <c r="D493" s="34"/>
      <c r="K493" s="17">
        <f t="shared" si="155"/>
        <v>0</v>
      </c>
      <c r="U493" s="17">
        <f t="shared" si="156"/>
        <v>0</v>
      </c>
      <c r="AA493" s="17">
        <f t="shared" si="154"/>
        <v>0</v>
      </c>
      <c r="AC493" s="33">
        <f t="shared" si="152"/>
        <v>0</v>
      </c>
    </row>
    <row r="494" spans="1:29" x14ac:dyDescent="0.2">
      <c r="A494" s="34"/>
      <c r="B494" s="34"/>
      <c r="C494" s="34"/>
      <c r="D494" s="34"/>
      <c r="K494" s="17">
        <f t="shared" si="155"/>
        <v>0</v>
      </c>
      <c r="U494" s="17">
        <f t="shared" si="156"/>
        <v>0</v>
      </c>
      <c r="AA494" s="17">
        <f t="shared" si="154"/>
        <v>0</v>
      </c>
      <c r="AC494" s="33">
        <f t="shared" si="152"/>
        <v>0</v>
      </c>
    </row>
    <row r="495" spans="1:29" x14ac:dyDescent="0.2">
      <c r="A495" s="34"/>
      <c r="B495" s="34"/>
      <c r="C495" s="34"/>
      <c r="D495" s="34"/>
      <c r="K495" s="17">
        <f t="shared" si="155"/>
        <v>0</v>
      </c>
      <c r="U495" s="17">
        <f t="shared" si="156"/>
        <v>0</v>
      </c>
      <c r="AA495" s="17">
        <f t="shared" si="154"/>
        <v>0</v>
      </c>
      <c r="AC495" s="33">
        <f t="shared" si="152"/>
        <v>0</v>
      </c>
    </row>
    <row r="496" spans="1:29" x14ac:dyDescent="0.2">
      <c r="A496" s="34"/>
      <c r="B496" s="34"/>
      <c r="C496" s="34"/>
      <c r="D496" s="34"/>
      <c r="K496" s="17">
        <f t="shared" si="155"/>
        <v>0</v>
      </c>
      <c r="U496" s="17">
        <f t="shared" si="156"/>
        <v>0</v>
      </c>
      <c r="AA496" s="17">
        <f t="shared" si="154"/>
        <v>0</v>
      </c>
      <c r="AC496" s="33">
        <f t="shared" si="152"/>
        <v>0</v>
      </c>
    </row>
    <row r="497" spans="1:29" x14ac:dyDescent="0.2">
      <c r="A497" s="34"/>
      <c r="B497" s="34"/>
      <c r="C497" s="34"/>
      <c r="D497" s="34"/>
      <c r="K497" s="17">
        <f t="shared" si="155"/>
        <v>0</v>
      </c>
      <c r="U497" s="17">
        <f t="shared" si="156"/>
        <v>0</v>
      </c>
      <c r="AA497" s="17">
        <f t="shared" si="154"/>
        <v>0</v>
      </c>
      <c r="AC497" s="33">
        <f t="shared" si="152"/>
        <v>0</v>
      </c>
    </row>
    <row r="498" spans="1:29" x14ac:dyDescent="0.2">
      <c r="A498" s="34"/>
      <c r="B498" s="34"/>
      <c r="C498" s="34"/>
      <c r="D498" s="34"/>
      <c r="K498" s="17">
        <f t="shared" si="155"/>
        <v>0</v>
      </c>
      <c r="U498" s="17">
        <f t="shared" si="156"/>
        <v>0</v>
      </c>
      <c r="AA498" s="17">
        <f>+I498-Q498-Y498</f>
        <v>0</v>
      </c>
      <c r="AC498" s="33">
        <f t="shared" si="152"/>
        <v>0</v>
      </c>
    </row>
    <row r="499" spans="1:29" x14ac:dyDescent="0.2">
      <c r="A499" s="34"/>
      <c r="B499" s="34"/>
      <c r="C499" s="34"/>
      <c r="D499" s="34"/>
      <c r="K499" s="17">
        <f t="shared" si="155"/>
        <v>0</v>
      </c>
      <c r="U499" s="17">
        <f t="shared" si="156"/>
        <v>0</v>
      </c>
      <c r="AA499" s="17">
        <f t="shared" si="154"/>
        <v>0</v>
      </c>
      <c r="AC499" s="33">
        <f t="shared" si="152"/>
        <v>0</v>
      </c>
    </row>
    <row r="500" spans="1:29" x14ac:dyDescent="0.2">
      <c r="A500" s="34"/>
      <c r="B500" s="34"/>
      <c r="C500" s="34"/>
      <c r="D500" s="34"/>
      <c r="K500" s="17">
        <f t="shared" si="155"/>
        <v>0</v>
      </c>
      <c r="U500" s="17">
        <f t="shared" si="156"/>
        <v>0</v>
      </c>
      <c r="AA500" s="17">
        <f>+I500-Q500-Y500</f>
        <v>0</v>
      </c>
      <c r="AC500" s="33">
        <f t="shared" si="152"/>
        <v>0</v>
      </c>
    </row>
    <row r="501" spans="1:29" x14ac:dyDescent="0.2">
      <c r="A501" s="34"/>
      <c r="B501" s="34"/>
      <c r="C501" s="34"/>
      <c r="D501" s="34"/>
      <c r="K501" s="17">
        <f t="shared" si="155"/>
        <v>0</v>
      </c>
      <c r="U501" s="17">
        <f t="shared" si="156"/>
        <v>0</v>
      </c>
      <c r="AA501" s="17">
        <f t="shared" si="154"/>
        <v>0</v>
      </c>
      <c r="AC501" s="33">
        <f t="shared" si="152"/>
        <v>0</v>
      </c>
    </row>
    <row r="502" spans="1:29" x14ac:dyDescent="0.2">
      <c r="A502" s="34"/>
      <c r="B502" s="34"/>
      <c r="C502" s="34"/>
      <c r="D502" s="34"/>
      <c r="K502" s="17">
        <f t="shared" si="155"/>
        <v>0</v>
      </c>
      <c r="U502" s="17">
        <f t="shared" si="156"/>
        <v>0</v>
      </c>
      <c r="AA502" s="17">
        <f t="shared" si="154"/>
        <v>0</v>
      </c>
      <c r="AC502" s="33">
        <f t="shared" si="152"/>
        <v>0</v>
      </c>
    </row>
    <row r="503" spans="1:29" x14ac:dyDescent="0.2">
      <c r="A503" s="34"/>
      <c r="B503" s="34"/>
      <c r="C503" s="34"/>
      <c r="D503" s="34"/>
      <c r="K503" s="17">
        <f t="shared" si="155"/>
        <v>0</v>
      </c>
      <c r="U503" s="17">
        <f t="shared" si="156"/>
        <v>0</v>
      </c>
      <c r="AA503" s="17">
        <f>+I503-Q503-Y503</f>
        <v>0</v>
      </c>
      <c r="AC503" s="33">
        <f t="shared" si="152"/>
        <v>0</v>
      </c>
    </row>
    <row r="504" spans="1:29" x14ac:dyDescent="0.2">
      <c r="A504" s="34"/>
      <c r="B504" s="34"/>
      <c r="C504" s="34"/>
      <c r="D504" s="34"/>
      <c r="K504" s="17">
        <f t="shared" si="155"/>
        <v>0</v>
      </c>
      <c r="U504" s="17">
        <f t="shared" si="156"/>
        <v>0</v>
      </c>
      <c r="AA504" s="17">
        <f t="shared" si="154"/>
        <v>0</v>
      </c>
      <c r="AC504" s="33">
        <f t="shared" si="152"/>
        <v>0</v>
      </c>
    </row>
    <row r="505" spans="1:29" x14ac:dyDescent="0.2">
      <c r="A505" s="34"/>
      <c r="B505" s="34"/>
      <c r="C505" s="34"/>
      <c r="D505" s="34"/>
      <c r="K505" s="17">
        <f t="shared" si="155"/>
        <v>0</v>
      </c>
      <c r="U505" s="17">
        <f t="shared" si="156"/>
        <v>0</v>
      </c>
      <c r="AA505" s="17">
        <f t="shared" si="154"/>
        <v>0</v>
      </c>
      <c r="AC505" s="33">
        <f t="shared" si="152"/>
        <v>0</v>
      </c>
    </row>
    <row r="506" spans="1:29" x14ac:dyDescent="0.2">
      <c r="A506" s="34"/>
      <c r="B506" s="34"/>
      <c r="C506" s="34"/>
      <c r="D506" s="34"/>
      <c r="K506" s="17">
        <f t="shared" si="155"/>
        <v>0</v>
      </c>
      <c r="U506" s="17">
        <f t="shared" si="156"/>
        <v>0</v>
      </c>
      <c r="AA506" s="17">
        <f t="shared" si="154"/>
        <v>0</v>
      </c>
      <c r="AC506" s="33">
        <f t="shared" si="152"/>
        <v>0</v>
      </c>
    </row>
    <row r="507" spans="1:29" x14ac:dyDescent="0.2">
      <c r="A507" s="34"/>
      <c r="B507" s="34"/>
      <c r="C507" s="34"/>
      <c r="D507" s="34"/>
      <c r="K507" s="17">
        <f t="shared" si="155"/>
        <v>0</v>
      </c>
      <c r="U507" s="17">
        <f t="shared" si="156"/>
        <v>0</v>
      </c>
      <c r="AA507" s="17">
        <f t="shared" si="154"/>
        <v>0</v>
      </c>
      <c r="AC507" s="33">
        <f t="shared" si="152"/>
        <v>0</v>
      </c>
    </row>
    <row r="508" spans="1:29" x14ac:dyDescent="0.2">
      <c r="A508" s="34"/>
      <c r="B508" s="34"/>
      <c r="C508" s="34"/>
      <c r="D508" s="34"/>
      <c r="K508" s="17">
        <f t="shared" si="155"/>
        <v>0</v>
      </c>
      <c r="U508" s="17">
        <f t="shared" si="156"/>
        <v>0</v>
      </c>
      <c r="AA508" s="17">
        <f t="shared" si="154"/>
        <v>0</v>
      </c>
      <c r="AC508" s="33">
        <f t="shared" si="152"/>
        <v>0</v>
      </c>
    </row>
    <row r="509" spans="1:29" x14ac:dyDescent="0.2">
      <c r="A509" s="34"/>
      <c r="B509" s="34"/>
      <c r="C509" s="34"/>
      <c r="D509" s="34"/>
      <c r="K509" s="17">
        <f t="shared" si="155"/>
        <v>0</v>
      </c>
      <c r="U509" s="17">
        <f t="shared" si="156"/>
        <v>0</v>
      </c>
      <c r="AA509" s="17">
        <f t="shared" si="154"/>
        <v>0</v>
      </c>
      <c r="AC509" s="33">
        <f t="shared" si="152"/>
        <v>0</v>
      </c>
    </row>
    <row r="510" spans="1:29" x14ac:dyDescent="0.2">
      <c r="A510" s="34"/>
      <c r="B510" s="34"/>
      <c r="C510" s="34"/>
      <c r="D510" s="34"/>
      <c r="K510" s="17">
        <f t="shared" si="155"/>
        <v>0</v>
      </c>
      <c r="U510" s="17">
        <f t="shared" si="156"/>
        <v>0</v>
      </c>
      <c r="AA510" s="17">
        <f t="shared" si="154"/>
        <v>0</v>
      </c>
      <c r="AC510" s="33">
        <f t="shared" si="152"/>
        <v>0</v>
      </c>
    </row>
    <row r="511" spans="1:29" x14ac:dyDescent="0.2">
      <c r="A511" s="34"/>
      <c r="B511" s="34"/>
      <c r="C511" s="34"/>
      <c r="D511" s="34"/>
      <c r="K511" s="17">
        <f t="shared" si="155"/>
        <v>0</v>
      </c>
      <c r="U511" s="17">
        <f t="shared" si="156"/>
        <v>0</v>
      </c>
      <c r="AA511" s="17">
        <f t="shared" si="154"/>
        <v>0</v>
      </c>
      <c r="AC511" s="33">
        <f t="shared" si="152"/>
        <v>0</v>
      </c>
    </row>
    <row r="512" spans="1:29" x14ac:dyDescent="0.2">
      <c r="A512" s="34"/>
      <c r="B512" s="34"/>
      <c r="C512" s="30"/>
      <c r="D512" s="34"/>
      <c r="K512" s="17">
        <f t="shared" si="155"/>
        <v>0</v>
      </c>
      <c r="U512" s="17">
        <f t="shared" si="156"/>
        <v>0</v>
      </c>
      <c r="AA512" s="17">
        <f>+I512-Q512-Y512</f>
        <v>0</v>
      </c>
      <c r="AC512" s="33">
        <f t="shared" si="152"/>
        <v>0</v>
      </c>
    </row>
    <row r="513" spans="1:29" x14ac:dyDescent="0.2">
      <c r="A513" s="34"/>
      <c r="B513" s="34"/>
      <c r="C513" s="34"/>
      <c r="D513" s="34"/>
      <c r="K513" s="17">
        <f t="shared" si="155"/>
        <v>0</v>
      </c>
      <c r="U513" s="17">
        <f t="shared" si="156"/>
        <v>0</v>
      </c>
      <c r="AA513" s="17">
        <f t="shared" si="154"/>
        <v>0</v>
      </c>
      <c r="AC513" s="33">
        <f t="shared" si="152"/>
        <v>0</v>
      </c>
    </row>
    <row r="514" spans="1:29" x14ac:dyDescent="0.2">
      <c r="A514" s="34"/>
      <c r="B514" s="34"/>
      <c r="C514" s="34"/>
      <c r="D514" s="34"/>
      <c r="K514" s="17">
        <f t="shared" si="155"/>
        <v>0</v>
      </c>
      <c r="U514" s="17">
        <f t="shared" si="156"/>
        <v>0</v>
      </c>
      <c r="AA514" s="17">
        <f>+I514-Q514-Y514</f>
        <v>0</v>
      </c>
      <c r="AC514" s="33">
        <f t="shared" si="152"/>
        <v>0</v>
      </c>
    </row>
    <row r="515" spans="1:29" x14ac:dyDescent="0.2">
      <c r="A515" s="34"/>
      <c r="B515" s="34"/>
      <c r="C515" s="34"/>
      <c r="D515" s="34"/>
      <c r="K515" s="17">
        <f t="shared" si="155"/>
        <v>0</v>
      </c>
      <c r="U515" s="17">
        <f t="shared" si="156"/>
        <v>0</v>
      </c>
      <c r="AA515" s="17">
        <f t="shared" si="154"/>
        <v>0</v>
      </c>
      <c r="AC515" s="33">
        <f t="shared" si="152"/>
        <v>0</v>
      </c>
    </row>
    <row r="516" spans="1:29" x14ac:dyDescent="0.2">
      <c r="A516" s="34"/>
      <c r="B516" s="34"/>
      <c r="C516" s="34"/>
      <c r="D516" s="34"/>
      <c r="K516" s="17">
        <f t="shared" si="155"/>
        <v>0</v>
      </c>
      <c r="U516" s="17">
        <f t="shared" si="156"/>
        <v>0</v>
      </c>
      <c r="AA516" s="17">
        <f t="shared" si="154"/>
        <v>0</v>
      </c>
      <c r="AC516" s="33">
        <f t="shared" si="152"/>
        <v>0</v>
      </c>
    </row>
    <row r="517" spans="1:29" x14ac:dyDescent="0.2">
      <c r="A517" s="34"/>
      <c r="B517" s="34"/>
      <c r="C517" s="34"/>
      <c r="D517" s="34"/>
      <c r="K517" s="17">
        <f t="shared" si="155"/>
        <v>0</v>
      </c>
      <c r="U517" s="17">
        <f t="shared" si="156"/>
        <v>0</v>
      </c>
      <c r="AA517" s="17">
        <f t="shared" si="154"/>
        <v>0</v>
      </c>
      <c r="AC517" s="33">
        <f t="shared" ref="AC517:AC583" si="161">+E517+G517+-K517-M517-S517-U517-W517-O517</f>
        <v>0</v>
      </c>
    </row>
    <row r="518" spans="1:29" x14ac:dyDescent="0.2">
      <c r="A518" s="34"/>
      <c r="B518" s="34"/>
      <c r="C518" s="34"/>
      <c r="D518" s="34"/>
      <c r="K518" s="17">
        <f t="shared" si="155"/>
        <v>0</v>
      </c>
      <c r="U518" s="17">
        <f t="shared" si="156"/>
        <v>0</v>
      </c>
      <c r="AA518" s="17">
        <f t="shared" si="154"/>
        <v>0</v>
      </c>
      <c r="AC518" s="33">
        <f t="shared" si="161"/>
        <v>0</v>
      </c>
    </row>
    <row r="519" spans="1:29" x14ac:dyDescent="0.2">
      <c r="A519" s="34"/>
      <c r="B519" s="34"/>
      <c r="C519" s="34"/>
      <c r="D519" s="34"/>
      <c r="K519" s="17">
        <f t="shared" si="155"/>
        <v>0</v>
      </c>
      <c r="U519" s="17">
        <f t="shared" si="156"/>
        <v>0</v>
      </c>
      <c r="AA519" s="17">
        <f t="shared" si="154"/>
        <v>0</v>
      </c>
      <c r="AC519" s="33">
        <f t="shared" si="161"/>
        <v>0</v>
      </c>
    </row>
    <row r="520" spans="1:29" x14ac:dyDescent="0.2">
      <c r="A520" s="34"/>
      <c r="B520" s="34"/>
      <c r="C520" s="34"/>
      <c r="D520" s="34"/>
      <c r="K520" s="17">
        <f>+Q520-M520-O520</f>
        <v>0</v>
      </c>
      <c r="U520" s="17">
        <f>Y520-W520-S520</f>
        <v>0</v>
      </c>
      <c r="AA520" s="17">
        <f t="shared" ref="AA520:AA586" si="162">+I520-Q520-Y520</f>
        <v>0</v>
      </c>
      <c r="AC520" s="33">
        <f t="shared" si="161"/>
        <v>0</v>
      </c>
    </row>
    <row r="521" spans="1:29" x14ac:dyDescent="0.2">
      <c r="A521" s="34"/>
      <c r="B521" s="34"/>
      <c r="C521" s="34"/>
      <c r="D521" s="34"/>
      <c r="K521" s="17">
        <f t="shared" si="155"/>
        <v>0</v>
      </c>
      <c r="U521" s="17">
        <f t="shared" si="156"/>
        <v>0</v>
      </c>
      <c r="AA521" s="17">
        <f>+I521-Q521-Y521</f>
        <v>0</v>
      </c>
      <c r="AC521" s="33">
        <f>+E521+G521+-K521-M521-S521-U521-W521-O521</f>
        <v>0</v>
      </c>
    </row>
    <row r="522" spans="1:29" x14ac:dyDescent="0.2">
      <c r="A522" s="34"/>
      <c r="B522" s="34"/>
      <c r="C522" s="34"/>
      <c r="D522" s="34"/>
      <c r="K522" s="17">
        <f t="shared" si="155"/>
        <v>0</v>
      </c>
      <c r="U522" s="17">
        <f t="shared" si="156"/>
        <v>0</v>
      </c>
      <c r="AA522" s="17">
        <f t="shared" si="162"/>
        <v>0</v>
      </c>
      <c r="AC522" s="33">
        <f t="shared" si="161"/>
        <v>0</v>
      </c>
    </row>
    <row r="523" spans="1:29" x14ac:dyDescent="0.2">
      <c r="A523" s="34"/>
      <c r="B523" s="34"/>
      <c r="C523" s="34"/>
      <c r="D523" s="34"/>
      <c r="K523" s="17">
        <f t="shared" si="155"/>
        <v>0</v>
      </c>
      <c r="U523" s="17">
        <f t="shared" si="156"/>
        <v>0</v>
      </c>
      <c r="AA523" s="17">
        <f t="shared" si="162"/>
        <v>0</v>
      </c>
      <c r="AC523" s="33">
        <f t="shared" si="161"/>
        <v>0</v>
      </c>
    </row>
    <row r="524" spans="1:29" x14ac:dyDescent="0.2">
      <c r="A524" s="34"/>
      <c r="B524" s="34"/>
      <c r="C524" s="34"/>
      <c r="D524" s="34"/>
      <c r="K524" s="17">
        <f t="shared" si="155"/>
        <v>0</v>
      </c>
      <c r="U524" s="17">
        <f t="shared" si="156"/>
        <v>0</v>
      </c>
      <c r="AA524" s="17">
        <f t="shared" si="162"/>
        <v>0</v>
      </c>
      <c r="AC524" s="33">
        <f t="shared" si="161"/>
        <v>0</v>
      </c>
    </row>
    <row r="525" spans="1:29" x14ac:dyDescent="0.2">
      <c r="A525" s="34"/>
      <c r="B525" s="34"/>
      <c r="C525" s="34"/>
      <c r="D525" s="34"/>
      <c r="K525" s="17">
        <f t="shared" si="155"/>
        <v>0</v>
      </c>
      <c r="U525" s="17">
        <f t="shared" si="156"/>
        <v>0</v>
      </c>
      <c r="AA525" s="17">
        <f t="shared" si="162"/>
        <v>0</v>
      </c>
      <c r="AC525" s="33">
        <f t="shared" si="161"/>
        <v>0</v>
      </c>
    </row>
    <row r="526" spans="1:29" x14ac:dyDescent="0.2">
      <c r="A526" s="34"/>
      <c r="B526" s="34"/>
      <c r="C526" s="34"/>
      <c r="D526" s="34"/>
      <c r="K526" s="17">
        <f t="shared" si="155"/>
        <v>0</v>
      </c>
      <c r="U526" s="17">
        <f t="shared" si="156"/>
        <v>0</v>
      </c>
      <c r="AA526" s="17">
        <f t="shared" si="162"/>
        <v>0</v>
      </c>
      <c r="AC526" s="33">
        <f t="shared" si="161"/>
        <v>0</v>
      </c>
    </row>
    <row r="527" spans="1:29" x14ac:dyDescent="0.2">
      <c r="A527" s="34"/>
      <c r="B527" s="34"/>
      <c r="C527" s="34"/>
      <c r="D527" s="34"/>
      <c r="K527" s="17">
        <f t="shared" si="155"/>
        <v>0</v>
      </c>
      <c r="U527" s="17">
        <f t="shared" si="156"/>
        <v>0</v>
      </c>
      <c r="AA527" s="17">
        <f t="shared" si="162"/>
        <v>0</v>
      </c>
      <c r="AC527" s="33">
        <f t="shared" si="161"/>
        <v>0</v>
      </c>
    </row>
    <row r="528" spans="1:29" x14ac:dyDescent="0.2">
      <c r="A528" s="34"/>
      <c r="B528" s="34"/>
      <c r="C528" s="34"/>
      <c r="D528" s="34"/>
      <c r="K528" s="17">
        <f t="shared" ref="K528:K591" si="163">+Q528-M528-O528</f>
        <v>0</v>
      </c>
      <c r="U528" s="17">
        <f t="shared" ref="U528:U591" si="164">Y528-W528-S528</f>
        <v>0</v>
      </c>
      <c r="AA528" s="17">
        <f>+I528-Q528-Y528</f>
        <v>0</v>
      </c>
      <c r="AC528" s="33">
        <f t="shared" si="161"/>
        <v>0</v>
      </c>
    </row>
    <row r="529" spans="1:29" x14ac:dyDescent="0.2">
      <c r="A529" s="34"/>
      <c r="B529" s="34"/>
      <c r="C529" s="34"/>
      <c r="D529" s="34"/>
      <c r="K529" s="17">
        <f t="shared" si="163"/>
        <v>0</v>
      </c>
      <c r="U529" s="17">
        <f t="shared" si="164"/>
        <v>0</v>
      </c>
      <c r="AA529" s="17">
        <f t="shared" si="162"/>
        <v>0</v>
      </c>
      <c r="AC529" s="33">
        <f t="shared" si="161"/>
        <v>0</v>
      </c>
    </row>
    <row r="530" spans="1:29" x14ac:dyDescent="0.2">
      <c r="A530" s="34"/>
      <c r="B530" s="34"/>
      <c r="C530" s="34"/>
      <c r="D530" s="34"/>
      <c r="K530" s="17">
        <f t="shared" si="163"/>
        <v>0</v>
      </c>
      <c r="U530" s="17">
        <f t="shared" si="164"/>
        <v>0</v>
      </c>
      <c r="AA530" s="17">
        <f t="shared" si="162"/>
        <v>0</v>
      </c>
      <c r="AC530" s="33">
        <f t="shared" si="161"/>
        <v>0</v>
      </c>
    </row>
    <row r="531" spans="1:29" x14ac:dyDescent="0.2">
      <c r="A531" s="30"/>
      <c r="B531" s="30"/>
      <c r="C531" s="30"/>
      <c r="D531" s="30"/>
      <c r="K531" s="17">
        <f t="shared" si="163"/>
        <v>0</v>
      </c>
      <c r="U531" s="17">
        <f t="shared" si="164"/>
        <v>0</v>
      </c>
      <c r="AA531" s="17">
        <f t="shared" si="162"/>
        <v>0</v>
      </c>
      <c r="AC531" s="17">
        <f t="shared" si="161"/>
        <v>0</v>
      </c>
    </row>
    <row r="532" spans="1:29" x14ac:dyDescent="0.2">
      <c r="A532" s="30"/>
      <c r="B532" s="30"/>
      <c r="C532" s="30"/>
      <c r="D532" s="30"/>
    </row>
    <row r="533" spans="1:29" x14ac:dyDescent="0.2">
      <c r="A533" s="30"/>
      <c r="B533" s="30"/>
      <c r="C533" s="30"/>
      <c r="D533" s="30"/>
    </row>
    <row r="534" spans="1:29" s="33" customFormat="1" x14ac:dyDescent="0.2">
      <c r="A534" s="31"/>
      <c r="B534" s="31"/>
      <c r="C534" s="31"/>
      <c r="D534" s="31"/>
      <c r="K534" s="33">
        <f t="shared" si="163"/>
        <v>0</v>
      </c>
      <c r="U534" s="33">
        <f t="shared" si="164"/>
        <v>0</v>
      </c>
      <c r="AA534" s="33">
        <f t="shared" si="162"/>
        <v>0</v>
      </c>
      <c r="AC534" s="33">
        <f t="shared" si="161"/>
        <v>0</v>
      </c>
    </row>
    <row r="535" spans="1:29" x14ac:dyDescent="0.2">
      <c r="A535" s="34"/>
      <c r="B535" s="34"/>
      <c r="C535" s="34"/>
      <c r="D535" s="34"/>
      <c r="K535" s="17">
        <f t="shared" si="163"/>
        <v>0</v>
      </c>
      <c r="U535" s="17">
        <f t="shared" si="164"/>
        <v>0</v>
      </c>
      <c r="AA535" s="17">
        <f t="shared" si="162"/>
        <v>0</v>
      </c>
      <c r="AC535" s="33">
        <f t="shared" si="161"/>
        <v>0</v>
      </c>
    </row>
    <row r="536" spans="1:29" x14ac:dyDescent="0.2">
      <c r="A536" s="34"/>
      <c r="B536" s="34"/>
      <c r="C536" s="34"/>
      <c r="D536" s="34"/>
      <c r="K536" s="17">
        <f t="shared" si="163"/>
        <v>0</v>
      </c>
      <c r="U536" s="17">
        <f t="shared" si="164"/>
        <v>0</v>
      </c>
      <c r="AA536" s="17">
        <f t="shared" si="162"/>
        <v>0</v>
      </c>
      <c r="AC536" s="33">
        <f t="shared" si="161"/>
        <v>0</v>
      </c>
    </row>
    <row r="537" spans="1:29" x14ac:dyDescent="0.2">
      <c r="A537" s="34"/>
      <c r="B537" s="34"/>
      <c r="C537" s="34"/>
      <c r="D537" s="34"/>
      <c r="K537" s="17">
        <f t="shared" si="163"/>
        <v>0</v>
      </c>
      <c r="U537" s="17">
        <f t="shared" si="164"/>
        <v>0</v>
      </c>
      <c r="AA537" s="17">
        <f t="shared" si="162"/>
        <v>0</v>
      </c>
      <c r="AC537" s="33">
        <f t="shared" si="161"/>
        <v>0</v>
      </c>
    </row>
    <row r="538" spans="1:29" x14ac:dyDescent="0.2">
      <c r="A538" s="34"/>
      <c r="B538" s="34"/>
      <c r="C538" s="34"/>
      <c r="D538" s="34"/>
      <c r="K538" s="17">
        <f t="shared" si="163"/>
        <v>0</v>
      </c>
      <c r="U538" s="17">
        <f t="shared" si="164"/>
        <v>0</v>
      </c>
      <c r="AA538" s="17">
        <f t="shared" si="162"/>
        <v>0</v>
      </c>
      <c r="AC538" s="33">
        <f t="shared" si="161"/>
        <v>0</v>
      </c>
    </row>
    <row r="539" spans="1:29" x14ac:dyDescent="0.2">
      <c r="A539" s="34"/>
      <c r="B539" s="34"/>
      <c r="C539" s="34"/>
      <c r="D539" s="34"/>
      <c r="K539" s="17">
        <f t="shared" si="163"/>
        <v>0</v>
      </c>
      <c r="U539" s="17">
        <f t="shared" si="164"/>
        <v>0</v>
      </c>
      <c r="AA539" s="17">
        <f t="shared" si="162"/>
        <v>0</v>
      </c>
      <c r="AC539" s="33">
        <f t="shared" si="161"/>
        <v>0</v>
      </c>
    </row>
    <row r="540" spans="1:29" x14ac:dyDescent="0.2">
      <c r="A540" s="34"/>
      <c r="B540" s="34"/>
      <c r="C540" s="34"/>
      <c r="D540" s="34"/>
      <c r="K540" s="17">
        <f t="shared" si="163"/>
        <v>0</v>
      </c>
      <c r="U540" s="17">
        <f t="shared" si="164"/>
        <v>0</v>
      </c>
      <c r="AA540" s="17">
        <f t="shared" si="162"/>
        <v>0</v>
      </c>
      <c r="AC540" s="33">
        <f t="shared" si="161"/>
        <v>0</v>
      </c>
    </row>
    <row r="541" spans="1:29" x14ac:dyDescent="0.2">
      <c r="A541" s="30"/>
      <c r="B541" s="30"/>
      <c r="C541" s="30"/>
      <c r="D541" s="30"/>
      <c r="K541" s="17">
        <f t="shared" si="163"/>
        <v>0</v>
      </c>
      <c r="U541" s="17">
        <f t="shared" si="164"/>
        <v>0</v>
      </c>
      <c r="AA541" s="17">
        <f t="shared" si="162"/>
        <v>0</v>
      </c>
      <c r="AC541" s="17">
        <f t="shared" si="161"/>
        <v>0</v>
      </c>
    </row>
    <row r="542" spans="1:29" x14ac:dyDescent="0.2">
      <c r="A542" s="34"/>
      <c r="B542" s="34"/>
      <c r="C542" s="34"/>
      <c r="D542" s="34"/>
      <c r="K542" s="17">
        <f t="shared" si="163"/>
        <v>0</v>
      </c>
      <c r="U542" s="17">
        <f t="shared" si="164"/>
        <v>0</v>
      </c>
      <c r="AA542" s="17">
        <f t="shared" si="162"/>
        <v>0</v>
      </c>
      <c r="AC542" s="33">
        <f t="shared" si="161"/>
        <v>0</v>
      </c>
    </row>
    <row r="543" spans="1:29" x14ac:dyDescent="0.2">
      <c r="A543" s="30"/>
      <c r="B543" s="30"/>
      <c r="C543" s="30"/>
      <c r="D543" s="30"/>
      <c r="K543" s="17">
        <f t="shared" si="163"/>
        <v>0</v>
      </c>
      <c r="U543" s="17">
        <f t="shared" si="164"/>
        <v>0</v>
      </c>
      <c r="AA543" s="17">
        <f t="shared" si="162"/>
        <v>0</v>
      </c>
      <c r="AC543" s="17">
        <f t="shared" si="161"/>
        <v>0</v>
      </c>
    </row>
    <row r="544" spans="1:29" x14ac:dyDescent="0.2">
      <c r="A544" s="34"/>
      <c r="B544" s="34"/>
      <c r="C544" s="34"/>
      <c r="D544" s="34"/>
      <c r="K544" s="17">
        <f t="shared" si="163"/>
        <v>0</v>
      </c>
      <c r="U544" s="17">
        <f t="shared" si="164"/>
        <v>0</v>
      </c>
      <c r="AA544" s="17">
        <f t="shared" si="162"/>
        <v>0</v>
      </c>
      <c r="AC544" s="33">
        <f t="shared" si="161"/>
        <v>0</v>
      </c>
    </row>
    <row r="545" spans="1:29" x14ac:dyDescent="0.2">
      <c r="A545" s="34"/>
      <c r="B545" s="34"/>
      <c r="C545" s="34"/>
      <c r="D545" s="34"/>
      <c r="K545" s="17">
        <f t="shared" si="163"/>
        <v>0</v>
      </c>
      <c r="U545" s="17">
        <f t="shared" si="164"/>
        <v>0</v>
      </c>
      <c r="AA545" s="17">
        <f t="shared" si="162"/>
        <v>0</v>
      </c>
      <c r="AC545" s="33">
        <f t="shared" si="161"/>
        <v>0</v>
      </c>
    </row>
    <row r="546" spans="1:29" x14ac:dyDescent="0.2">
      <c r="A546" s="34"/>
      <c r="B546" s="34"/>
      <c r="C546" s="34"/>
      <c r="D546" s="34"/>
      <c r="K546" s="17">
        <f t="shared" si="163"/>
        <v>0</v>
      </c>
      <c r="U546" s="17">
        <f t="shared" si="164"/>
        <v>0</v>
      </c>
      <c r="AA546" s="17">
        <f t="shared" si="162"/>
        <v>0</v>
      </c>
      <c r="AC546" s="33">
        <f t="shared" si="161"/>
        <v>0</v>
      </c>
    </row>
    <row r="547" spans="1:29" x14ac:dyDescent="0.2">
      <c r="A547" s="34"/>
      <c r="B547" s="34"/>
      <c r="C547" s="34"/>
      <c r="D547" s="34"/>
      <c r="K547" s="17">
        <f t="shared" si="163"/>
        <v>0</v>
      </c>
      <c r="U547" s="17">
        <f t="shared" si="164"/>
        <v>0</v>
      </c>
      <c r="AA547" s="17">
        <f t="shared" si="162"/>
        <v>0</v>
      </c>
      <c r="AC547" s="33">
        <f t="shared" si="161"/>
        <v>0</v>
      </c>
    </row>
    <row r="548" spans="1:29" x14ac:dyDescent="0.2">
      <c r="A548" s="34"/>
      <c r="B548" s="34"/>
      <c r="C548" s="34"/>
      <c r="D548" s="34"/>
      <c r="K548" s="17">
        <f t="shared" si="163"/>
        <v>0</v>
      </c>
      <c r="U548" s="17">
        <f t="shared" si="164"/>
        <v>0</v>
      </c>
      <c r="AA548" s="17">
        <f t="shared" si="162"/>
        <v>0</v>
      </c>
      <c r="AC548" s="33">
        <f t="shared" si="161"/>
        <v>0</v>
      </c>
    </row>
    <row r="549" spans="1:29" x14ac:dyDescent="0.2">
      <c r="A549" s="34"/>
      <c r="B549" s="34"/>
      <c r="C549" s="34"/>
      <c r="D549" s="34"/>
      <c r="K549" s="17">
        <f t="shared" si="163"/>
        <v>0</v>
      </c>
      <c r="U549" s="17">
        <f t="shared" si="164"/>
        <v>0</v>
      </c>
      <c r="AA549" s="17">
        <f t="shared" si="162"/>
        <v>0</v>
      </c>
      <c r="AC549" s="33">
        <f t="shared" si="161"/>
        <v>0</v>
      </c>
    </row>
    <row r="550" spans="1:29" x14ac:dyDescent="0.2">
      <c r="A550" s="34"/>
      <c r="B550" s="34"/>
      <c r="C550" s="34"/>
      <c r="D550" s="34"/>
      <c r="K550" s="17">
        <f t="shared" si="163"/>
        <v>0</v>
      </c>
      <c r="U550" s="17">
        <f t="shared" si="164"/>
        <v>0</v>
      </c>
      <c r="AA550" s="17">
        <f t="shared" si="162"/>
        <v>0</v>
      </c>
      <c r="AC550" s="33">
        <f t="shared" si="161"/>
        <v>0</v>
      </c>
    </row>
    <row r="551" spans="1:29" x14ac:dyDescent="0.2">
      <c r="A551" s="34"/>
      <c r="B551" s="34"/>
      <c r="C551" s="34"/>
      <c r="D551" s="34"/>
      <c r="K551" s="17">
        <f t="shared" si="163"/>
        <v>0</v>
      </c>
      <c r="U551" s="17">
        <f t="shared" si="164"/>
        <v>0</v>
      </c>
      <c r="AA551" s="17">
        <f t="shared" si="162"/>
        <v>0</v>
      </c>
      <c r="AC551" s="33">
        <f t="shared" si="161"/>
        <v>0</v>
      </c>
    </row>
    <row r="552" spans="1:29" x14ac:dyDescent="0.2">
      <c r="A552" s="34"/>
      <c r="B552" s="34"/>
      <c r="C552" s="34"/>
      <c r="D552" s="34"/>
      <c r="K552" s="17">
        <f t="shared" si="163"/>
        <v>0</v>
      </c>
      <c r="U552" s="17">
        <f t="shared" si="164"/>
        <v>0</v>
      </c>
      <c r="AA552" s="17">
        <f t="shared" si="162"/>
        <v>0</v>
      </c>
      <c r="AC552" s="33">
        <f t="shared" si="161"/>
        <v>0</v>
      </c>
    </row>
    <row r="553" spans="1:29" x14ac:dyDescent="0.2">
      <c r="A553" s="34"/>
      <c r="B553" s="34"/>
      <c r="C553" s="34"/>
      <c r="D553" s="34"/>
      <c r="K553" s="17">
        <f t="shared" si="163"/>
        <v>0</v>
      </c>
      <c r="U553" s="17">
        <f t="shared" si="164"/>
        <v>0</v>
      </c>
      <c r="AA553" s="17">
        <f t="shared" si="162"/>
        <v>0</v>
      </c>
      <c r="AC553" s="33">
        <f t="shared" si="161"/>
        <v>0</v>
      </c>
    </row>
    <row r="554" spans="1:29" x14ac:dyDescent="0.2">
      <c r="A554" s="34"/>
      <c r="B554" s="34"/>
      <c r="C554" s="34"/>
      <c r="D554" s="34"/>
      <c r="K554" s="17">
        <f t="shared" si="163"/>
        <v>0</v>
      </c>
      <c r="U554" s="17">
        <f t="shared" si="164"/>
        <v>0</v>
      </c>
      <c r="AA554" s="17">
        <f t="shared" si="162"/>
        <v>0</v>
      </c>
      <c r="AC554" s="33">
        <f t="shared" si="161"/>
        <v>0</v>
      </c>
    </row>
    <row r="555" spans="1:29" x14ac:dyDescent="0.2">
      <c r="A555" s="34"/>
      <c r="B555" s="34"/>
      <c r="C555" s="34"/>
      <c r="D555" s="34"/>
      <c r="K555" s="17">
        <f t="shared" si="163"/>
        <v>0</v>
      </c>
      <c r="U555" s="17">
        <f t="shared" si="164"/>
        <v>0</v>
      </c>
      <c r="AA555" s="17">
        <f t="shared" si="162"/>
        <v>0</v>
      </c>
      <c r="AC555" s="33">
        <f t="shared" si="161"/>
        <v>0</v>
      </c>
    </row>
    <row r="556" spans="1:29" x14ac:dyDescent="0.2">
      <c r="A556" s="34"/>
      <c r="B556" s="34"/>
      <c r="C556" s="34"/>
      <c r="D556" s="34"/>
      <c r="K556" s="17">
        <f>+Q556-M556-O556</f>
        <v>0</v>
      </c>
      <c r="U556" s="17">
        <f>Y556-W556-S556</f>
        <v>0</v>
      </c>
      <c r="AA556" s="17">
        <f>+I556-Q556-Y556</f>
        <v>0</v>
      </c>
      <c r="AC556" s="33">
        <f>+E556+G556+-K556-M556-S556-U556-W556-O556</f>
        <v>0</v>
      </c>
    </row>
    <row r="557" spans="1:29" x14ac:dyDescent="0.2">
      <c r="A557" s="34"/>
      <c r="B557" s="34"/>
      <c r="C557" s="34"/>
      <c r="D557" s="34"/>
      <c r="K557" s="17">
        <f t="shared" si="163"/>
        <v>0</v>
      </c>
      <c r="U557" s="17">
        <f t="shared" si="164"/>
        <v>0</v>
      </c>
      <c r="AA557" s="17">
        <f t="shared" si="162"/>
        <v>0</v>
      </c>
      <c r="AC557" s="33">
        <f t="shared" si="161"/>
        <v>0</v>
      </c>
    </row>
    <row r="558" spans="1:29" x14ac:dyDescent="0.2">
      <c r="A558" s="34"/>
      <c r="B558" s="34"/>
      <c r="C558" s="34"/>
      <c r="D558" s="34"/>
      <c r="K558" s="17">
        <f t="shared" si="163"/>
        <v>0</v>
      </c>
      <c r="U558" s="17">
        <f t="shared" si="164"/>
        <v>0</v>
      </c>
      <c r="AA558" s="17">
        <f t="shared" si="162"/>
        <v>0</v>
      </c>
      <c r="AC558" s="33">
        <f t="shared" si="161"/>
        <v>0</v>
      </c>
    </row>
    <row r="559" spans="1:29" x14ac:dyDescent="0.2">
      <c r="A559" s="34"/>
      <c r="B559" s="34"/>
      <c r="C559" s="34"/>
      <c r="D559" s="34"/>
      <c r="K559" s="17">
        <f t="shared" si="163"/>
        <v>0</v>
      </c>
      <c r="U559" s="17">
        <f t="shared" si="164"/>
        <v>0</v>
      </c>
      <c r="AA559" s="17">
        <f t="shared" si="162"/>
        <v>0</v>
      </c>
      <c r="AC559" s="33">
        <f t="shared" si="161"/>
        <v>0</v>
      </c>
    </row>
    <row r="560" spans="1:29" x14ac:dyDescent="0.2">
      <c r="A560" s="34"/>
      <c r="B560" s="34"/>
      <c r="C560" s="34"/>
      <c r="D560" s="34"/>
      <c r="K560" s="17">
        <f t="shared" si="163"/>
        <v>0</v>
      </c>
      <c r="U560" s="17">
        <f t="shared" si="164"/>
        <v>0</v>
      </c>
      <c r="AA560" s="17">
        <f t="shared" si="162"/>
        <v>0</v>
      </c>
      <c r="AC560" s="33">
        <f t="shared" si="161"/>
        <v>0</v>
      </c>
    </row>
    <row r="561" spans="1:29" x14ac:dyDescent="0.2">
      <c r="A561" s="34"/>
      <c r="B561" s="34"/>
      <c r="C561" s="34"/>
      <c r="D561" s="34"/>
      <c r="K561" s="17">
        <f t="shared" si="163"/>
        <v>0</v>
      </c>
      <c r="U561" s="17">
        <f t="shared" si="164"/>
        <v>0</v>
      </c>
      <c r="AA561" s="17">
        <f t="shared" si="162"/>
        <v>0</v>
      </c>
      <c r="AC561" s="33">
        <f t="shared" si="161"/>
        <v>0</v>
      </c>
    </row>
    <row r="562" spans="1:29" x14ac:dyDescent="0.2">
      <c r="A562" s="34"/>
      <c r="B562" s="34"/>
      <c r="C562" s="34"/>
      <c r="D562" s="34"/>
      <c r="K562" s="17">
        <f t="shared" si="163"/>
        <v>0</v>
      </c>
      <c r="U562" s="17">
        <f t="shared" si="164"/>
        <v>0</v>
      </c>
      <c r="AA562" s="17">
        <f t="shared" si="162"/>
        <v>0</v>
      </c>
      <c r="AC562" s="33">
        <f t="shared" si="161"/>
        <v>0</v>
      </c>
    </row>
    <row r="563" spans="1:29" x14ac:dyDescent="0.2">
      <c r="A563" s="34"/>
      <c r="B563" s="34"/>
      <c r="C563" s="34"/>
      <c r="D563" s="34"/>
      <c r="K563" s="17">
        <f t="shared" si="163"/>
        <v>0</v>
      </c>
      <c r="U563" s="17">
        <f t="shared" si="164"/>
        <v>0</v>
      </c>
      <c r="AA563" s="17">
        <f t="shared" si="162"/>
        <v>0</v>
      </c>
      <c r="AC563" s="33">
        <f t="shared" si="161"/>
        <v>0</v>
      </c>
    </row>
    <row r="564" spans="1:29" x14ac:dyDescent="0.2">
      <c r="A564" s="34"/>
      <c r="B564" s="34"/>
      <c r="C564" s="34"/>
      <c r="D564" s="34"/>
      <c r="K564" s="17">
        <f t="shared" si="163"/>
        <v>0</v>
      </c>
      <c r="U564" s="17">
        <f t="shared" si="164"/>
        <v>0</v>
      </c>
      <c r="AA564" s="17">
        <f>+I564-Q564-Y564</f>
        <v>0</v>
      </c>
      <c r="AC564" s="33">
        <f t="shared" si="161"/>
        <v>0</v>
      </c>
    </row>
    <row r="565" spans="1:29" x14ac:dyDescent="0.2">
      <c r="A565" s="34"/>
      <c r="B565" s="34"/>
      <c r="C565" s="34"/>
      <c r="D565" s="34"/>
      <c r="K565" s="17">
        <f t="shared" si="163"/>
        <v>0</v>
      </c>
      <c r="U565" s="17">
        <f t="shared" si="164"/>
        <v>0</v>
      </c>
      <c r="AA565" s="17">
        <f t="shared" si="162"/>
        <v>0</v>
      </c>
      <c r="AC565" s="33">
        <f t="shared" si="161"/>
        <v>0</v>
      </c>
    </row>
    <row r="566" spans="1:29" x14ac:dyDescent="0.2">
      <c r="A566" s="34"/>
      <c r="B566" s="34"/>
      <c r="C566" s="34"/>
      <c r="D566" s="34"/>
      <c r="K566" s="17">
        <f t="shared" si="163"/>
        <v>0</v>
      </c>
      <c r="U566" s="17">
        <f t="shared" si="164"/>
        <v>0</v>
      </c>
      <c r="AA566" s="17">
        <f t="shared" si="162"/>
        <v>0</v>
      </c>
      <c r="AC566" s="33">
        <f t="shared" si="161"/>
        <v>0</v>
      </c>
    </row>
    <row r="567" spans="1:29" x14ac:dyDescent="0.2">
      <c r="A567" s="34"/>
      <c r="B567" s="34"/>
      <c r="C567" s="34"/>
      <c r="D567" s="34"/>
      <c r="K567" s="17">
        <f t="shared" si="163"/>
        <v>0</v>
      </c>
      <c r="U567" s="17">
        <f t="shared" si="164"/>
        <v>0</v>
      </c>
      <c r="AA567" s="17">
        <f t="shared" si="162"/>
        <v>0</v>
      </c>
      <c r="AC567" s="33">
        <f>+E567+G567+-K567-M567-S567-U567-W567-O567</f>
        <v>0</v>
      </c>
    </row>
    <row r="568" spans="1:29" x14ac:dyDescent="0.2">
      <c r="A568" s="34"/>
      <c r="B568" s="34"/>
      <c r="C568" s="34"/>
      <c r="D568" s="34"/>
      <c r="K568" s="17">
        <f t="shared" si="163"/>
        <v>0</v>
      </c>
      <c r="U568" s="17">
        <f t="shared" si="164"/>
        <v>0</v>
      </c>
      <c r="AA568" s="17">
        <f t="shared" si="162"/>
        <v>0</v>
      </c>
      <c r="AC568" s="33">
        <f t="shared" si="161"/>
        <v>0</v>
      </c>
    </row>
    <row r="569" spans="1:29" x14ac:dyDescent="0.2">
      <c r="A569" s="34"/>
      <c r="B569" s="34"/>
      <c r="C569" s="34"/>
      <c r="D569" s="34"/>
      <c r="K569" s="17">
        <f t="shared" si="163"/>
        <v>0</v>
      </c>
      <c r="U569" s="17">
        <f t="shared" si="164"/>
        <v>0</v>
      </c>
      <c r="AA569" s="17">
        <f t="shared" si="162"/>
        <v>0</v>
      </c>
      <c r="AC569" s="33">
        <f t="shared" si="161"/>
        <v>0</v>
      </c>
    </row>
    <row r="570" spans="1:29" x14ac:dyDescent="0.2">
      <c r="A570" s="34"/>
      <c r="B570" s="34"/>
      <c r="C570" s="34"/>
      <c r="D570" s="34"/>
      <c r="K570" s="17">
        <f t="shared" si="163"/>
        <v>0</v>
      </c>
      <c r="U570" s="17">
        <f t="shared" si="164"/>
        <v>0</v>
      </c>
      <c r="AA570" s="17">
        <f t="shared" si="162"/>
        <v>0</v>
      </c>
      <c r="AC570" s="33">
        <f t="shared" si="161"/>
        <v>0</v>
      </c>
    </row>
    <row r="571" spans="1:29" x14ac:dyDescent="0.2">
      <c r="A571" s="34"/>
      <c r="B571" s="34"/>
      <c r="C571" s="34"/>
      <c r="D571" s="34"/>
      <c r="K571" s="17">
        <f t="shared" si="163"/>
        <v>0</v>
      </c>
      <c r="U571" s="17">
        <f t="shared" si="164"/>
        <v>0</v>
      </c>
      <c r="AA571" s="17">
        <f t="shared" si="162"/>
        <v>0</v>
      </c>
      <c r="AC571" s="33">
        <f t="shared" si="161"/>
        <v>0</v>
      </c>
    </row>
    <row r="572" spans="1:29" x14ac:dyDescent="0.2">
      <c r="A572" s="34"/>
      <c r="B572" s="34"/>
      <c r="C572" s="34"/>
      <c r="D572" s="34"/>
      <c r="K572" s="17">
        <f t="shared" si="163"/>
        <v>0</v>
      </c>
      <c r="U572" s="17">
        <f t="shared" si="164"/>
        <v>0</v>
      </c>
      <c r="AA572" s="17">
        <f t="shared" si="162"/>
        <v>0</v>
      </c>
      <c r="AC572" s="33">
        <f t="shared" si="161"/>
        <v>0</v>
      </c>
    </row>
    <row r="573" spans="1:29" x14ac:dyDescent="0.2">
      <c r="A573" s="34"/>
      <c r="B573" s="34"/>
      <c r="C573" s="34"/>
      <c r="D573" s="34"/>
      <c r="K573" s="17">
        <f t="shared" si="163"/>
        <v>0</v>
      </c>
      <c r="U573" s="17">
        <f t="shared" si="164"/>
        <v>0</v>
      </c>
      <c r="AA573" s="17">
        <f t="shared" si="162"/>
        <v>0</v>
      </c>
      <c r="AC573" s="33">
        <f t="shared" si="161"/>
        <v>0</v>
      </c>
    </row>
    <row r="574" spans="1:29" x14ac:dyDescent="0.2">
      <c r="A574" s="34"/>
      <c r="B574" s="34"/>
      <c r="C574" s="34"/>
      <c r="D574" s="34"/>
      <c r="K574" s="17">
        <f t="shared" si="163"/>
        <v>0</v>
      </c>
      <c r="U574" s="17">
        <f t="shared" si="164"/>
        <v>0</v>
      </c>
      <c r="AA574" s="17">
        <f t="shared" si="162"/>
        <v>0</v>
      </c>
      <c r="AC574" s="33">
        <f t="shared" si="161"/>
        <v>0</v>
      </c>
    </row>
    <row r="575" spans="1:29" x14ac:dyDescent="0.2">
      <c r="A575" s="34"/>
      <c r="B575" s="34"/>
      <c r="C575" s="34"/>
      <c r="D575" s="34"/>
      <c r="K575" s="17">
        <f t="shared" si="163"/>
        <v>0</v>
      </c>
      <c r="U575" s="17">
        <f t="shared" si="164"/>
        <v>0</v>
      </c>
      <c r="AA575" s="17">
        <f t="shared" si="162"/>
        <v>0</v>
      </c>
      <c r="AC575" s="33">
        <f t="shared" si="161"/>
        <v>0</v>
      </c>
    </row>
    <row r="576" spans="1:29" x14ac:dyDescent="0.2">
      <c r="A576" s="34"/>
      <c r="B576" s="34"/>
      <c r="C576" s="34"/>
      <c r="D576" s="34"/>
      <c r="K576" s="17">
        <f t="shared" si="163"/>
        <v>0</v>
      </c>
      <c r="U576" s="17">
        <f t="shared" si="164"/>
        <v>0</v>
      </c>
      <c r="AA576" s="17">
        <f t="shared" si="162"/>
        <v>0</v>
      </c>
      <c r="AC576" s="33">
        <f t="shared" si="161"/>
        <v>0</v>
      </c>
    </row>
    <row r="577" spans="1:29" x14ac:dyDescent="0.2">
      <c r="A577" s="34"/>
      <c r="B577" s="34"/>
      <c r="C577" s="34"/>
      <c r="D577" s="34"/>
      <c r="K577" s="17">
        <f t="shared" si="163"/>
        <v>0</v>
      </c>
      <c r="U577" s="17">
        <f t="shared" si="164"/>
        <v>0</v>
      </c>
      <c r="AA577" s="17">
        <f t="shared" si="162"/>
        <v>0</v>
      </c>
      <c r="AC577" s="33">
        <f t="shared" si="161"/>
        <v>0</v>
      </c>
    </row>
    <row r="578" spans="1:29" x14ac:dyDescent="0.2">
      <c r="A578" s="34"/>
      <c r="B578" s="34"/>
      <c r="C578" s="34"/>
      <c r="D578" s="34"/>
      <c r="K578" s="17">
        <f t="shared" si="163"/>
        <v>0</v>
      </c>
      <c r="U578" s="17">
        <f t="shared" si="164"/>
        <v>0</v>
      </c>
      <c r="AA578" s="17">
        <f t="shared" si="162"/>
        <v>0</v>
      </c>
      <c r="AC578" s="33">
        <f t="shared" si="161"/>
        <v>0</v>
      </c>
    </row>
    <row r="579" spans="1:29" x14ac:dyDescent="0.2">
      <c r="A579" s="34"/>
      <c r="B579" s="34"/>
      <c r="C579" s="34"/>
      <c r="D579" s="34"/>
      <c r="K579" s="17">
        <f t="shared" si="163"/>
        <v>0</v>
      </c>
      <c r="U579" s="17">
        <f t="shared" si="164"/>
        <v>0</v>
      </c>
      <c r="AA579" s="17">
        <f t="shared" si="162"/>
        <v>0</v>
      </c>
      <c r="AC579" s="33">
        <f t="shared" si="161"/>
        <v>0</v>
      </c>
    </row>
    <row r="580" spans="1:29" x14ac:dyDescent="0.2">
      <c r="A580" s="34"/>
      <c r="B580" s="34"/>
      <c r="C580" s="34"/>
      <c r="D580" s="34"/>
      <c r="K580" s="17">
        <f t="shared" si="163"/>
        <v>0</v>
      </c>
      <c r="U580" s="17">
        <f t="shared" si="164"/>
        <v>0</v>
      </c>
      <c r="AA580" s="17">
        <f t="shared" si="162"/>
        <v>0</v>
      </c>
      <c r="AC580" s="33">
        <f t="shared" si="161"/>
        <v>0</v>
      </c>
    </row>
    <row r="581" spans="1:29" x14ac:dyDescent="0.2">
      <c r="A581" s="34"/>
      <c r="B581" s="34"/>
      <c r="C581" s="34"/>
      <c r="D581" s="34"/>
      <c r="K581" s="17">
        <f t="shared" si="163"/>
        <v>0</v>
      </c>
      <c r="U581" s="17">
        <f t="shared" si="164"/>
        <v>0</v>
      </c>
      <c r="AA581" s="17">
        <f t="shared" si="162"/>
        <v>0</v>
      </c>
      <c r="AC581" s="33">
        <f t="shared" si="161"/>
        <v>0</v>
      </c>
    </row>
    <row r="582" spans="1:29" x14ac:dyDescent="0.2">
      <c r="A582" s="34"/>
      <c r="B582" s="34"/>
      <c r="C582" s="34"/>
      <c r="D582" s="34"/>
      <c r="K582" s="17">
        <f t="shared" si="163"/>
        <v>0</v>
      </c>
      <c r="U582" s="17">
        <f t="shared" si="164"/>
        <v>0</v>
      </c>
      <c r="AA582" s="17">
        <f t="shared" si="162"/>
        <v>0</v>
      </c>
      <c r="AC582" s="33">
        <f t="shared" si="161"/>
        <v>0</v>
      </c>
    </row>
    <row r="583" spans="1:29" x14ac:dyDescent="0.2">
      <c r="A583" s="34"/>
      <c r="B583" s="34"/>
      <c r="C583" s="34"/>
      <c r="D583" s="34"/>
      <c r="K583" s="17">
        <f t="shared" si="163"/>
        <v>0</v>
      </c>
      <c r="U583" s="17">
        <f t="shared" si="164"/>
        <v>0</v>
      </c>
      <c r="AA583" s="17">
        <f t="shared" si="162"/>
        <v>0</v>
      </c>
      <c r="AC583" s="33">
        <f t="shared" si="161"/>
        <v>0</v>
      </c>
    </row>
    <row r="584" spans="1:29" x14ac:dyDescent="0.2">
      <c r="A584" s="34"/>
      <c r="B584" s="34"/>
      <c r="C584" s="34"/>
      <c r="D584" s="34"/>
      <c r="K584" s="17">
        <f t="shared" si="163"/>
        <v>0</v>
      </c>
      <c r="U584" s="17">
        <f t="shared" si="164"/>
        <v>0</v>
      </c>
      <c r="AA584" s="17">
        <f t="shared" si="162"/>
        <v>0</v>
      </c>
      <c r="AC584" s="33">
        <f t="shared" ref="AC584:AC636" si="165">+E584+G584+-K584-M584-S584-U584-W584-O584</f>
        <v>0</v>
      </c>
    </row>
    <row r="585" spans="1:29" x14ac:dyDescent="0.2">
      <c r="A585" s="34"/>
      <c r="B585" s="34"/>
      <c r="C585" s="34"/>
      <c r="D585" s="34"/>
      <c r="K585" s="17">
        <f t="shared" si="163"/>
        <v>0</v>
      </c>
      <c r="U585" s="17">
        <f t="shared" si="164"/>
        <v>0</v>
      </c>
      <c r="AA585" s="17">
        <f t="shared" si="162"/>
        <v>0</v>
      </c>
      <c r="AC585" s="33">
        <f t="shared" si="165"/>
        <v>0</v>
      </c>
    </row>
    <row r="586" spans="1:29" x14ac:dyDescent="0.2">
      <c r="A586" s="34"/>
      <c r="B586" s="34"/>
      <c r="C586" s="34"/>
      <c r="D586" s="34"/>
      <c r="K586" s="17">
        <f t="shared" si="163"/>
        <v>0</v>
      </c>
      <c r="U586" s="17">
        <f t="shared" si="164"/>
        <v>0</v>
      </c>
      <c r="AA586" s="17">
        <f t="shared" si="162"/>
        <v>0</v>
      </c>
      <c r="AC586" s="33">
        <f t="shared" si="165"/>
        <v>0</v>
      </c>
    </row>
    <row r="587" spans="1:29" x14ac:dyDescent="0.2">
      <c r="A587" s="34"/>
      <c r="B587" s="34"/>
      <c r="C587" s="34"/>
      <c r="D587" s="34"/>
      <c r="K587" s="17">
        <f t="shared" si="163"/>
        <v>0</v>
      </c>
      <c r="U587" s="17">
        <f t="shared" si="164"/>
        <v>0</v>
      </c>
      <c r="AA587" s="17">
        <f t="shared" ref="AA587:AA639" si="166">+I587-Q587-Y587</f>
        <v>0</v>
      </c>
      <c r="AC587" s="33">
        <f t="shared" si="165"/>
        <v>0</v>
      </c>
    </row>
    <row r="588" spans="1:29" x14ac:dyDescent="0.2">
      <c r="A588" s="34"/>
      <c r="B588" s="34"/>
      <c r="C588" s="34"/>
      <c r="D588" s="34"/>
      <c r="K588" s="17">
        <f>+Q588-M588-O588</f>
        <v>0</v>
      </c>
      <c r="U588" s="17">
        <f>Y588-W588-S588</f>
        <v>0</v>
      </c>
      <c r="AA588" s="17">
        <f>+I588-Q588-Y588</f>
        <v>0</v>
      </c>
      <c r="AC588" s="33">
        <f>+E588+G588+-K588-M588-S588-U588-W588-O588</f>
        <v>0</v>
      </c>
    </row>
    <row r="589" spans="1:29" x14ac:dyDescent="0.2">
      <c r="A589" s="34"/>
      <c r="B589" s="34"/>
      <c r="C589" s="34"/>
      <c r="D589" s="34"/>
      <c r="K589" s="17">
        <f t="shared" si="163"/>
        <v>0</v>
      </c>
      <c r="U589" s="17">
        <f t="shared" si="164"/>
        <v>0</v>
      </c>
      <c r="AA589" s="17">
        <f t="shared" si="166"/>
        <v>0</v>
      </c>
      <c r="AC589" s="33">
        <f t="shared" si="165"/>
        <v>0</v>
      </c>
    </row>
    <row r="590" spans="1:29" x14ac:dyDescent="0.2">
      <c r="A590" s="34"/>
      <c r="B590" s="34"/>
      <c r="C590" s="34"/>
      <c r="D590" s="34"/>
      <c r="K590" s="17">
        <f t="shared" si="163"/>
        <v>0</v>
      </c>
      <c r="U590" s="17">
        <f t="shared" si="164"/>
        <v>0</v>
      </c>
      <c r="AA590" s="17">
        <f t="shared" si="166"/>
        <v>0</v>
      </c>
      <c r="AC590" s="33">
        <f t="shared" si="165"/>
        <v>0</v>
      </c>
    </row>
    <row r="591" spans="1:29" x14ac:dyDescent="0.2">
      <c r="A591" s="34"/>
      <c r="B591" s="34"/>
      <c r="C591" s="34"/>
      <c r="D591" s="34"/>
      <c r="K591" s="17">
        <f t="shared" si="163"/>
        <v>0</v>
      </c>
      <c r="U591" s="17">
        <f t="shared" si="164"/>
        <v>0</v>
      </c>
      <c r="AA591" s="17">
        <f t="shared" si="166"/>
        <v>0</v>
      </c>
      <c r="AC591" s="33">
        <f t="shared" si="165"/>
        <v>0</v>
      </c>
    </row>
    <row r="592" spans="1:29" x14ac:dyDescent="0.2">
      <c r="A592" s="34"/>
      <c r="B592" s="34"/>
      <c r="C592" s="34"/>
      <c r="D592" s="34"/>
      <c r="K592" s="17">
        <f t="shared" ref="K592:K639" si="167">+Q592-M592-O592</f>
        <v>0</v>
      </c>
      <c r="U592" s="17">
        <v>0</v>
      </c>
      <c r="AA592" s="17">
        <f t="shared" si="166"/>
        <v>0</v>
      </c>
      <c r="AC592" s="33">
        <f t="shared" si="165"/>
        <v>0</v>
      </c>
    </row>
    <row r="593" spans="1:29" x14ac:dyDescent="0.2">
      <c r="A593" s="34"/>
      <c r="B593" s="34"/>
      <c r="C593" s="34"/>
      <c r="D593" s="34"/>
      <c r="K593" s="17">
        <f t="shared" si="167"/>
        <v>0</v>
      </c>
      <c r="U593" s="17">
        <f t="shared" ref="U593:U639" si="168">Y593-W593-S593</f>
        <v>0</v>
      </c>
      <c r="AA593" s="17">
        <f t="shared" si="166"/>
        <v>0</v>
      </c>
      <c r="AC593" s="33">
        <f t="shared" si="165"/>
        <v>0</v>
      </c>
    </row>
    <row r="594" spans="1:29" x14ac:dyDescent="0.2">
      <c r="A594" s="34"/>
      <c r="B594" s="34"/>
      <c r="C594" s="34"/>
      <c r="D594" s="34"/>
      <c r="K594" s="17">
        <f t="shared" si="167"/>
        <v>0</v>
      </c>
      <c r="U594" s="17">
        <f t="shared" si="168"/>
        <v>0</v>
      </c>
      <c r="AA594" s="17">
        <f t="shared" si="166"/>
        <v>0</v>
      </c>
      <c r="AC594" s="33">
        <f t="shared" si="165"/>
        <v>0</v>
      </c>
    </row>
    <row r="595" spans="1:29" x14ac:dyDescent="0.2">
      <c r="A595" s="34"/>
      <c r="B595" s="34"/>
      <c r="C595" s="34"/>
      <c r="D595" s="34"/>
      <c r="K595" s="17">
        <f t="shared" si="167"/>
        <v>0</v>
      </c>
      <c r="U595" s="17">
        <f t="shared" si="168"/>
        <v>0</v>
      </c>
      <c r="AA595" s="17">
        <f t="shared" si="166"/>
        <v>0</v>
      </c>
      <c r="AC595" s="33">
        <f t="shared" si="165"/>
        <v>0</v>
      </c>
    </row>
    <row r="596" spans="1:29" x14ac:dyDescent="0.2">
      <c r="A596" s="34"/>
      <c r="B596" s="34"/>
      <c r="C596" s="34"/>
      <c r="D596" s="34"/>
      <c r="K596" s="17">
        <f t="shared" si="167"/>
        <v>0</v>
      </c>
      <c r="U596" s="17">
        <f t="shared" si="168"/>
        <v>0</v>
      </c>
      <c r="AA596" s="17">
        <f t="shared" si="166"/>
        <v>0</v>
      </c>
      <c r="AC596" s="33">
        <f t="shared" si="165"/>
        <v>0</v>
      </c>
    </row>
    <row r="597" spans="1:29" x14ac:dyDescent="0.2">
      <c r="A597" s="34"/>
      <c r="B597" s="34"/>
      <c r="C597" s="34"/>
      <c r="D597" s="34"/>
      <c r="K597" s="17">
        <f t="shared" si="167"/>
        <v>0</v>
      </c>
      <c r="U597" s="17">
        <f t="shared" si="168"/>
        <v>0</v>
      </c>
      <c r="AA597" s="17">
        <f t="shared" si="166"/>
        <v>0</v>
      </c>
      <c r="AC597" s="33">
        <f t="shared" si="165"/>
        <v>0</v>
      </c>
    </row>
    <row r="598" spans="1:29" x14ac:dyDescent="0.2">
      <c r="A598" s="34"/>
      <c r="B598" s="34"/>
      <c r="C598" s="34"/>
      <c r="D598" s="34"/>
      <c r="K598" s="17">
        <f t="shared" si="167"/>
        <v>0</v>
      </c>
      <c r="U598" s="17">
        <f t="shared" si="168"/>
        <v>0</v>
      </c>
      <c r="AA598" s="17">
        <f t="shared" si="166"/>
        <v>0</v>
      </c>
      <c r="AC598" s="33">
        <f t="shared" si="165"/>
        <v>0</v>
      </c>
    </row>
    <row r="599" spans="1:29" x14ac:dyDescent="0.2">
      <c r="A599" s="34"/>
      <c r="B599" s="34"/>
      <c r="C599" s="34"/>
      <c r="D599" s="34"/>
      <c r="K599" s="17">
        <f t="shared" si="167"/>
        <v>0</v>
      </c>
      <c r="U599" s="17">
        <f t="shared" si="168"/>
        <v>0</v>
      </c>
      <c r="AA599" s="17">
        <f t="shared" si="166"/>
        <v>0</v>
      </c>
      <c r="AC599" s="33">
        <f t="shared" si="165"/>
        <v>0</v>
      </c>
    </row>
    <row r="600" spans="1:29" x14ac:dyDescent="0.2">
      <c r="A600" s="34"/>
      <c r="B600" s="34"/>
      <c r="C600" s="34"/>
      <c r="D600" s="34"/>
      <c r="K600" s="17">
        <f t="shared" si="167"/>
        <v>0</v>
      </c>
      <c r="U600" s="17">
        <f t="shared" si="168"/>
        <v>0</v>
      </c>
      <c r="AA600" s="17">
        <f t="shared" si="166"/>
        <v>0</v>
      </c>
      <c r="AC600" s="33">
        <f t="shared" si="165"/>
        <v>0</v>
      </c>
    </row>
    <row r="601" spans="1:29" x14ac:dyDescent="0.2">
      <c r="A601" s="34"/>
      <c r="B601" s="34"/>
      <c r="C601" s="34"/>
      <c r="D601" s="34"/>
      <c r="K601" s="17">
        <f t="shared" si="167"/>
        <v>0</v>
      </c>
      <c r="U601" s="17">
        <f t="shared" si="168"/>
        <v>0</v>
      </c>
      <c r="AA601" s="17">
        <f t="shared" si="166"/>
        <v>0</v>
      </c>
      <c r="AC601" s="33">
        <f t="shared" si="165"/>
        <v>0</v>
      </c>
    </row>
    <row r="602" spans="1:29" x14ac:dyDescent="0.2">
      <c r="A602" s="34"/>
      <c r="B602" s="34"/>
      <c r="C602" s="34"/>
      <c r="D602" s="34"/>
      <c r="K602" s="17">
        <f t="shared" si="167"/>
        <v>0</v>
      </c>
      <c r="U602" s="17">
        <f t="shared" si="168"/>
        <v>0</v>
      </c>
      <c r="AA602" s="17">
        <f t="shared" si="166"/>
        <v>0</v>
      </c>
      <c r="AC602" s="33">
        <f t="shared" si="165"/>
        <v>0</v>
      </c>
    </row>
    <row r="603" spans="1:29" x14ac:dyDescent="0.2">
      <c r="A603" s="34"/>
      <c r="B603" s="34"/>
      <c r="C603" s="34"/>
      <c r="D603" s="34"/>
      <c r="K603" s="17">
        <f t="shared" si="167"/>
        <v>0</v>
      </c>
      <c r="U603" s="17">
        <f t="shared" si="168"/>
        <v>0</v>
      </c>
      <c r="AA603" s="17">
        <f t="shared" si="166"/>
        <v>0</v>
      </c>
      <c r="AC603" s="33">
        <f t="shared" si="165"/>
        <v>0</v>
      </c>
    </row>
    <row r="604" spans="1:29" x14ac:dyDescent="0.2">
      <c r="A604" s="34"/>
      <c r="B604" s="34"/>
      <c r="C604" s="34"/>
      <c r="D604" s="34"/>
      <c r="K604" s="17">
        <f t="shared" si="167"/>
        <v>0</v>
      </c>
      <c r="U604" s="17">
        <f t="shared" si="168"/>
        <v>0</v>
      </c>
      <c r="AA604" s="17">
        <f t="shared" si="166"/>
        <v>0</v>
      </c>
      <c r="AC604" s="33">
        <f t="shared" si="165"/>
        <v>0</v>
      </c>
    </row>
    <row r="605" spans="1:29" x14ac:dyDescent="0.2">
      <c r="A605" s="34"/>
      <c r="B605" s="34"/>
      <c r="C605" s="34"/>
      <c r="D605" s="34"/>
      <c r="K605" s="17">
        <f t="shared" si="167"/>
        <v>0</v>
      </c>
      <c r="U605" s="17">
        <f t="shared" si="168"/>
        <v>0</v>
      </c>
      <c r="AA605" s="17">
        <f t="shared" si="166"/>
        <v>0</v>
      </c>
      <c r="AC605" s="33">
        <f t="shared" si="165"/>
        <v>0</v>
      </c>
    </row>
    <row r="606" spans="1:29" x14ac:dyDescent="0.2">
      <c r="A606" s="30"/>
      <c r="B606" s="30"/>
      <c r="C606" s="30"/>
      <c r="D606" s="30"/>
      <c r="K606" s="17">
        <f t="shared" si="167"/>
        <v>0</v>
      </c>
      <c r="U606" s="17">
        <f t="shared" si="168"/>
        <v>0</v>
      </c>
      <c r="AA606" s="17">
        <f t="shared" si="166"/>
        <v>0</v>
      </c>
      <c r="AC606" s="17">
        <f t="shared" si="165"/>
        <v>0</v>
      </c>
    </row>
    <row r="607" spans="1:29" s="33" customFormat="1" x14ac:dyDescent="0.2">
      <c r="A607" s="31"/>
      <c r="B607" s="31"/>
      <c r="C607" s="31"/>
      <c r="D607" s="31"/>
    </row>
    <row r="608" spans="1:29" s="33" customFormat="1" x14ac:dyDescent="0.2">
      <c r="A608" s="31"/>
      <c r="B608" s="31"/>
      <c r="C608" s="31"/>
      <c r="D608" s="31"/>
    </row>
    <row r="609" spans="1:29" s="33" customFormat="1" x14ac:dyDescent="0.2">
      <c r="A609" s="31"/>
      <c r="B609" s="31"/>
      <c r="C609" s="31"/>
      <c r="D609" s="31"/>
      <c r="K609" s="33">
        <f t="shared" si="167"/>
        <v>0</v>
      </c>
      <c r="U609" s="33">
        <f t="shared" si="168"/>
        <v>0</v>
      </c>
      <c r="AA609" s="33">
        <f t="shared" si="166"/>
        <v>0</v>
      </c>
      <c r="AC609" s="33">
        <f t="shared" si="165"/>
        <v>0</v>
      </c>
    </row>
    <row r="610" spans="1:29" x14ac:dyDescent="0.2">
      <c r="A610" s="34"/>
      <c r="B610" s="34"/>
      <c r="C610" s="34"/>
      <c r="D610" s="34"/>
      <c r="K610" s="17">
        <f t="shared" si="167"/>
        <v>0</v>
      </c>
      <c r="U610" s="17">
        <f t="shared" si="168"/>
        <v>0</v>
      </c>
      <c r="AA610" s="17">
        <f t="shared" si="166"/>
        <v>0</v>
      </c>
      <c r="AC610" s="33">
        <f t="shared" si="165"/>
        <v>0</v>
      </c>
    </row>
    <row r="611" spans="1:29" x14ac:dyDescent="0.2">
      <c r="A611" s="34"/>
      <c r="B611" s="34"/>
      <c r="C611" s="34"/>
      <c r="D611" s="34"/>
      <c r="K611" s="17">
        <f t="shared" si="167"/>
        <v>0</v>
      </c>
      <c r="U611" s="17">
        <f t="shared" si="168"/>
        <v>0</v>
      </c>
      <c r="AA611" s="17">
        <f t="shared" si="166"/>
        <v>0</v>
      </c>
      <c r="AC611" s="33">
        <f t="shared" si="165"/>
        <v>0</v>
      </c>
    </row>
    <row r="612" spans="1:29" x14ac:dyDescent="0.2">
      <c r="A612" s="34"/>
      <c r="B612" s="34"/>
      <c r="C612" s="34"/>
      <c r="D612" s="34"/>
      <c r="K612" s="17">
        <f t="shared" si="167"/>
        <v>0</v>
      </c>
      <c r="U612" s="17">
        <f t="shared" si="168"/>
        <v>0</v>
      </c>
      <c r="AA612" s="17">
        <f t="shared" si="166"/>
        <v>0</v>
      </c>
      <c r="AC612" s="33">
        <f t="shared" si="165"/>
        <v>0</v>
      </c>
    </row>
    <row r="613" spans="1:29" x14ac:dyDescent="0.2">
      <c r="A613" s="30"/>
      <c r="B613" s="30"/>
      <c r="C613" s="30"/>
      <c r="D613" s="30"/>
      <c r="K613" s="17">
        <f t="shared" si="167"/>
        <v>0</v>
      </c>
      <c r="U613" s="17">
        <f t="shared" si="168"/>
        <v>0</v>
      </c>
      <c r="AA613" s="17">
        <f t="shared" si="166"/>
        <v>0</v>
      </c>
      <c r="AC613" s="33">
        <f t="shared" si="165"/>
        <v>0</v>
      </c>
    </row>
    <row r="614" spans="1:29" x14ac:dyDescent="0.2">
      <c r="A614" s="34"/>
      <c r="B614" s="34"/>
      <c r="C614" s="34"/>
      <c r="D614" s="34"/>
      <c r="K614" s="17">
        <f t="shared" si="167"/>
        <v>0</v>
      </c>
      <c r="U614" s="17">
        <f t="shared" si="168"/>
        <v>0</v>
      </c>
      <c r="AA614" s="17">
        <f t="shared" si="166"/>
        <v>0</v>
      </c>
      <c r="AC614" s="33">
        <f t="shared" si="165"/>
        <v>0</v>
      </c>
    </row>
    <row r="615" spans="1:29" x14ac:dyDescent="0.2">
      <c r="A615" s="34"/>
      <c r="B615" s="34"/>
      <c r="C615" s="34"/>
      <c r="D615" s="34"/>
      <c r="K615" s="17">
        <f t="shared" si="167"/>
        <v>0</v>
      </c>
      <c r="U615" s="17">
        <f t="shared" si="168"/>
        <v>0</v>
      </c>
      <c r="AA615" s="17">
        <f t="shared" si="166"/>
        <v>0</v>
      </c>
      <c r="AC615" s="33">
        <f t="shared" si="165"/>
        <v>0</v>
      </c>
    </row>
    <row r="616" spans="1:29" x14ac:dyDescent="0.2">
      <c r="A616" s="30"/>
      <c r="B616" s="30"/>
      <c r="C616" s="30"/>
      <c r="D616" s="30"/>
      <c r="K616" s="17">
        <f t="shared" si="167"/>
        <v>0</v>
      </c>
      <c r="U616" s="17">
        <f t="shared" si="168"/>
        <v>0</v>
      </c>
      <c r="AA616" s="17">
        <f t="shared" si="166"/>
        <v>0</v>
      </c>
      <c r="AC616" s="17">
        <f t="shared" si="165"/>
        <v>0</v>
      </c>
    </row>
    <row r="617" spans="1:29" x14ac:dyDescent="0.2">
      <c r="A617" s="34"/>
      <c r="B617" s="34"/>
      <c r="C617" s="34"/>
      <c r="D617" s="34"/>
      <c r="K617" s="17">
        <f t="shared" si="167"/>
        <v>0</v>
      </c>
      <c r="U617" s="17">
        <f t="shared" si="168"/>
        <v>0</v>
      </c>
      <c r="AA617" s="17">
        <f t="shared" si="166"/>
        <v>0</v>
      </c>
      <c r="AC617" s="33">
        <f t="shared" si="165"/>
        <v>0</v>
      </c>
    </row>
    <row r="618" spans="1:29" x14ac:dyDescent="0.2">
      <c r="A618" s="34"/>
      <c r="B618" s="34"/>
      <c r="C618" s="34"/>
      <c r="D618" s="34"/>
      <c r="K618" s="17">
        <f t="shared" si="167"/>
        <v>0</v>
      </c>
      <c r="U618" s="17">
        <f t="shared" si="168"/>
        <v>0</v>
      </c>
      <c r="AA618" s="17">
        <f t="shared" si="166"/>
        <v>0</v>
      </c>
      <c r="AC618" s="33">
        <f t="shared" si="165"/>
        <v>0</v>
      </c>
    </row>
    <row r="619" spans="1:29" x14ac:dyDescent="0.2">
      <c r="A619" s="34"/>
      <c r="B619" s="34"/>
      <c r="C619" s="34"/>
      <c r="D619" s="34"/>
      <c r="K619" s="17">
        <f t="shared" si="167"/>
        <v>0</v>
      </c>
      <c r="U619" s="17">
        <f t="shared" si="168"/>
        <v>0</v>
      </c>
      <c r="AA619" s="17">
        <f t="shared" si="166"/>
        <v>0</v>
      </c>
      <c r="AC619" s="33">
        <f t="shared" si="165"/>
        <v>0</v>
      </c>
    </row>
    <row r="620" spans="1:29" x14ac:dyDescent="0.2">
      <c r="A620" s="30"/>
      <c r="B620" s="30"/>
      <c r="C620" s="30"/>
      <c r="D620" s="30"/>
      <c r="K620" s="17">
        <f t="shared" si="167"/>
        <v>0</v>
      </c>
      <c r="U620" s="17">
        <f t="shared" si="168"/>
        <v>0</v>
      </c>
      <c r="AA620" s="17">
        <f>+I620-Q620-Y620</f>
        <v>0</v>
      </c>
      <c r="AC620" s="17">
        <f t="shared" si="165"/>
        <v>0</v>
      </c>
    </row>
    <row r="621" spans="1:29" x14ac:dyDescent="0.2">
      <c r="A621" s="34"/>
      <c r="B621" s="34"/>
      <c r="C621" s="34"/>
      <c r="D621" s="34"/>
      <c r="K621" s="17">
        <f t="shared" si="167"/>
        <v>0</v>
      </c>
      <c r="U621" s="17">
        <f t="shared" si="168"/>
        <v>0</v>
      </c>
      <c r="AA621" s="17">
        <f>+I621-Q621-Y621</f>
        <v>0</v>
      </c>
      <c r="AC621" s="33">
        <f t="shared" si="165"/>
        <v>0</v>
      </c>
    </row>
    <row r="622" spans="1:29" x14ac:dyDescent="0.2">
      <c r="A622" s="34"/>
      <c r="B622" s="34"/>
      <c r="C622" s="34"/>
      <c r="D622" s="34"/>
      <c r="K622" s="17">
        <f t="shared" si="167"/>
        <v>0</v>
      </c>
      <c r="U622" s="17">
        <f t="shared" si="168"/>
        <v>0</v>
      </c>
      <c r="AA622" s="17">
        <f t="shared" si="166"/>
        <v>0</v>
      </c>
      <c r="AC622" s="33">
        <f t="shared" si="165"/>
        <v>0</v>
      </c>
    </row>
    <row r="623" spans="1:29" x14ac:dyDescent="0.2">
      <c r="A623" s="34"/>
      <c r="B623" s="34"/>
      <c r="C623" s="34"/>
      <c r="D623" s="34"/>
      <c r="K623" s="17">
        <f t="shared" si="167"/>
        <v>0</v>
      </c>
      <c r="U623" s="17">
        <f t="shared" si="168"/>
        <v>0</v>
      </c>
      <c r="AA623" s="17">
        <f t="shared" si="166"/>
        <v>0</v>
      </c>
      <c r="AC623" s="33">
        <f t="shared" si="165"/>
        <v>0</v>
      </c>
    </row>
    <row r="624" spans="1:29" x14ac:dyDescent="0.2">
      <c r="A624" s="34"/>
      <c r="B624" s="34"/>
      <c r="C624" s="34"/>
      <c r="D624" s="34"/>
      <c r="K624" s="17">
        <f t="shared" si="167"/>
        <v>0</v>
      </c>
      <c r="U624" s="17">
        <f t="shared" si="168"/>
        <v>0</v>
      </c>
      <c r="AA624" s="17">
        <f t="shared" si="166"/>
        <v>0</v>
      </c>
      <c r="AC624" s="33">
        <f t="shared" si="165"/>
        <v>0</v>
      </c>
    </row>
    <row r="625" spans="1:29" x14ac:dyDescent="0.2">
      <c r="A625" s="34"/>
      <c r="B625" s="34"/>
      <c r="C625" s="34"/>
      <c r="D625" s="34"/>
      <c r="K625" s="17">
        <f t="shared" si="167"/>
        <v>0</v>
      </c>
      <c r="U625" s="17">
        <f t="shared" si="168"/>
        <v>0</v>
      </c>
      <c r="AA625" s="17">
        <f t="shared" si="166"/>
        <v>0</v>
      </c>
      <c r="AC625" s="33">
        <f t="shared" si="165"/>
        <v>0</v>
      </c>
    </row>
    <row r="626" spans="1:29" x14ac:dyDescent="0.2">
      <c r="A626" s="34"/>
      <c r="B626" s="34"/>
      <c r="C626" s="34"/>
      <c r="D626" s="34"/>
      <c r="K626" s="17">
        <f t="shared" si="167"/>
        <v>0</v>
      </c>
      <c r="U626" s="17">
        <f t="shared" si="168"/>
        <v>0</v>
      </c>
      <c r="AA626" s="17">
        <f t="shared" si="166"/>
        <v>0</v>
      </c>
      <c r="AC626" s="33">
        <f t="shared" si="165"/>
        <v>0</v>
      </c>
    </row>
    <row r="627" spans="1:29" x14ac:dyDescent="0.2">
      <c r="A627" s="34"/>
      <c r="B627" s="34"/>
      <c r="C627" s="34"/>
      <c r="D627" s="34"/>
      <c r="K627" s="17">
        <f t="shared" si="167"/>
        <v>0</v>
      </c>
      <c r="U627" s="17">
        <f t="shared" si="168"/>
        <v>0</v>
      </c>
      <c r="AA627" s="17">
        <f t="shared" si="166"/>
        <v>0</v>
      </c>
      <c r="AC627" s="33">
        <f t="shared" si="165"/>
        <v>0</v>
      </c>
    </row>
    <row r="628" spans="1:29" x14ac:dyDescent="0.2">
      <c r="A628" s="34"/>
      <c r="B628" s="34"/>
      <c r="C628" s="34"/>
      <c r="D628" s="34"/>
      <c r="K628" s="17">
        <f t="shared" si="167"/>
        <v>0</v>
      </c>
      <c r="U628" s="17">
        <f t="shared" si="168"/>
        <v>0</v>
      </c>
      <c r="AA628" s="17">
        <f t="shared" si="166"/>
        <v>0</v>
      </c>
      <c r="AC628" s="33">
        <f t="shared" si="165"/>
        <v>0</v>
      </c>
    </row>
    <row r="629" spans="1:29" x14ac:dyDescent="0.2">
      <c r="A629" s="34"/>
      <c r="B629" s="34"/>
      <c r="C629" s="34"/>
      <c r="D629" s="34"/>
      <c r="K629" s="17">
        <f t="shared" si="167"/>
        <v>0</v>
      </c>
      <c r="U629" s="17">
        <f t="shared" si="168"/>
        <v>0</v>
      </c>
      <c r="AA629" s="17">
        <f t="shared" si="166"/>
        <v>0</v>
      </c>
      <c r="AC629" s="33">
        <f t="shared" si="165"/>
        <v>0</v>
      </c>
    </row>
    <row r="630" spans="1:29" x14ac:dyDescent="0.2">
      <c r="A630" s="34"/>
      <c r="B630" s="34"/>
      <c r="C630" s="34"/>
      <c r="D630" s="34"/>
      <c r="K630" s="17">
        <f t="shared" si="167"/>
        <v>0</v>
      </c>
      <c r="U630" s="17">
        <f t="shared" si="168"/>
        <v>0</v>
      </c>
      <c r="AA630" s="17">
        <f t="shared" si="166"/>
        <v>0</v>
      </c>
      <c r="AC630" s="33">
        <f t="shared" si="165"/>
        <v>0</v>
      </c>
    </row>
    <row r="631" spans="1:29" x14ac:dyDescent="0.2">
      <c r="A631" s="34"/>
      <c r="B631" s="34"/>
      <c r="C631" s="34"/>
      <c r="D631" s="34"/>
      <c r="K631" s="17">
        <f t="shared" si="167"/>
        <v>0</v>
      </c>
      <c r="U631" s="17">
        <f t="shared" si="168"/>
        <v>0</v>
      </c>
      <c r="AA631" s="17">
        <f t="shared" si="166"/>
        <v>0</v>
      </c>
      <c r="AC631" s="33">
        <f t="shared" si="165"/>
        <v>0</v>
      </c>
    </row>
    <row r="632" spans="1:29" x14ac:dyDescent="0.2">
      <c r="A632" s="34"/>
      <c r="B632" s="34"/>
      <c r="C632" s="34"/>
      <c r="D632" s="34"/>
      <c r="K632" s="17">
        <f t="shared" si="167"/>
        <v>0</v>
      </c>
      <c r="U632" s="17">
        <f t="shared" si="168"/>
        <v>0</v>
      </c>
      <c r="AA632" s="17">
        <f t="shared" si="166"/>
        <v>0</v>
      </c>
      <c r="AC632" s="33">
        <f t="shared" si="165"/>
        <v>0</v>
      </c>
    </row>
    <row r="633" spans="1:29" x14ac:dyDescent="0.2">
      <c r="A633" s="34"/>
      <c r="B633" s="34"/>
      <c r="C633" s="34"/>
      <c r="D633" s="34"/>
      <c r="K633" s="17">
        <f t="shared" si="167"/>
        <v>0</v>
      </c>
      <c r="U633" s="17">
        <f t="shared" si="168"/>
        <v>0</v>
      </c>
      <c r="AA633" s="17">
        <f t="shared" si="166"/>
        <v>0</v>
      </c>
      <c r="AC633" s="33">
        <f t="shared" si="165"/>
        <v>0</v>
      </c>
    </row>
    <row r="634" spans="1:29" x14ac:dyDescent="0.2">
      <c r="A634" s="34"/>
      <c r="B634" s="34"/>
      <c r="C634" s="34"/>
      <c r="D634" s="34"/>
      <c r="K634" s="17">
        <f t="shared" si="167"/>
        <v>0</v>
      </c>
      <c r="U634" s="17">
        <f t="shared" si="168"/>
        <v>0</v>
      </c>
      <c r="AA634" s="17">
        <f t="shared" si="166"/>
        <v>0</v>
      </c>
      <c r="AC634" s="33">
        <f t="shared" si="165"/>
        <v>0</v>
      </c>
    </row>
    <row r="635" spans="1:29" x14ac:dyDescent="0.2">
      <c r="A635" s="34"/>
      <c r="B635" s="34"/>
      <c r="C635" s="34"/>
      <c r="D635" s="34"/>
      <c r="K635" s="17">
        <f t="shared" si="167"/>
        <v>0</v>
      </c>
      <c r="U635" s="17">
        <f t="shared" si="168"/>
        <v>0</v>
      </c>
      <c r="AA635" s="17">
        <f t="shared" si="166"/>
        <v>0</v>
      </c>
      <c r="AC635" s="33">
        <f t="shared" si="165"/>
        <v>0</v>
      </c>
    </row>
    <row r="636" spans="1:29" x14ac:dyDescent="0.2">
      <c r="A636" s="34"/>
      <c r="B636" s="34"/>
      <c r="C636" s="34"/>
      <c r="D636" s="34"/>
      <c r="K636" s="17">
        <f t="shared" si="167"/>
        <v>0</v>
      </c>
      <c r="U636" s="17">
        <f t="shared" si="168"/>
        <v>0</v>
      </c>
      <c r="AA636" s="17">
        <f t="shared" si="166"/>
        <v>0</v>
      </c>
      <c r="AC636" s="33">
        <f t="shared" si="165"/>
        <v>0</v>
      </c>
    </row>
    <row r="637" spans="1:29" x14ac:dyDescent="0.2">
      <c r="A637" s="34"/>
      <c r="B637" s="34"/>
      <c r="C637" s="34"/>
      <c r="D637" s="34"/>
      <c r="K637" s="17">
        <f t="shared" si="167"/>
        <v>0</v>
      </c>
      <c r="U637" s="17">
        <f t="shared" si="168"/>
        <v>0</v>
      </c>
      <c r="AA637" s="17">
        <f t="shared" si="166"/>
        <v>0</v>
      </c>
      <c r="AC637" s="33">
        <f>+E637+G637+-K637-M637-S637-U637-W637-O637</f>
        <v>0</v>
      </c>
    </row>
    <row r="638" spans="1:29" x14ac:dyDescent="0.2">
      <c r="A638" s="34"/>
      <c r="B638" s="34"/>
      <c r="C638" s="34"/>
      <c r="D638" s="34"/>
      <c r="K638" s="17">
        <f t="shared" si="167"/>
        <v>0</v>
      </c>
      <c r="U638" s="17">
        <f t="shared" si="168"/>
        <v>0</v>
      </c>
      <c r="AA638" s="17">
        <f t="shared" si="166"/>
        <v>0</v>
      </c>
      <c r="AC638" s="33">
        <f>+E638+G638+-K638-M638-S638-U638-W638-O638</f>
        <v>0</v>
      </c>
    </row>
    <row r="639" spans="1:29" x14ac:dyDescent="0.2">
      <c r="A639" s="34"/>
      <c r="B639" s="34"/>
      <c r="C639" s="34"/>
      <c r="D639" s="34"/>
      <c r="K639" s="17">
        <f t="shared" si="167"/>
        <v>0</v>
      </c>
      <c r="U639" s="17">
        <f t="shared" si="168"/>
        <v>0</v>
      </c>
      <c r="AA639" s="17">
        <f t="shared" si="166"/>
        <v>0</v>
      </c>
      <c r="AC639" s="33">
        <f>+E639+G639+-K639-M639-S639-U639-W639-O639</f>
        <v>0</v>
      </c>
    </row>
    <row r="641" spans="1:9" x14ac:dyDescent="0.2">
      <c r="A641" s="17" t="s">
        <v>535</v>
      </c>
    </row>
    <row r="642" spans="1:9" x14ac:dyDescent="0.2">
      <c r="A642" s="99" t="s">
        <v>536</v>
      </c>
      <c r="B642" s="99"/>
      <c r="C642" s="99"/>
      <c r="D642" s="99"/>
      <c r="E642" s="99"/>
      <c r="F642" s="99"/>
      <c r="G642" s="99"/>
      <c r="H642" s="99"/>
      <c r="I642" s="99"/>
    </row>
  </sheetData>
  <sortState ref="A11:AI211">
    <sortCondition ref="A11"/>
  </sortState>
  <mergeCells count="5">
    <mergeCell ref="A1:G1"/>
    <mergeCell ref="E7:H7"/>
    <mergeCell ref="K7:M7"/>
    <mergeCell ref="S7:W7"/>
    <mergeCell ref="A642:I642"/>
  </mergeCells>
  <pageMargins left="0.7" right="0.7" top="0.75" bottom="0.75" header="0.3" footer="0.3"/>
  <pageSetup scale="80" fitToWidth="2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RowHeight="12.75" x14ac:dyDescent="0.2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Stm. of Activities</vt:lpstr>
      <vt:lpstr>Gen Rev</vt:lpstr>
      <vt:lpstr>Gen Exp</vt:lpstr>
      <vt:lpstr>Gov Rev</vt:lpstr>
      <vt:lpstr>Gov Exp</vt:lpstr>
      <vt:lpstr>Stm. of Net Assets</vt:lpstr>
      <vt:lpstr>Sheet1</vt:lpstr>
      <vt:lpstr>'Gen Exp'!Print_Area</vt:lpstr>
      <vt:lpstr>'Gen Rev'!Print_Area</vt:lpstr>
      <vt:lpstr>'Gov Exp'!Print_Area</vt:lpstr>
      <vt:lpstr>'Gov Rev'!Print_Area</vt:lpstr>
      <vt:lpstr>Sheet1!Print_Area</vt:lpstr>
      <vt:lpstr>'Stm. of Activities'!Print_Area</vt:lpstr>
    </vt:vector>
  </TitlesOfParts>
  <Company>Auditor of State of Ohio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O. Myser</dc:creator>
  <cp:lastModifiedBy>Christopher S. McKee</cp:lastModifiedBy>
  <cp:lastPrinted>2014-01-24T14:58:42Z</cp:lastPrinted>
  <dcterms:created xsi:type="dcterms:W3CDTF">2007-01-22T17:20:47Z</dcterms:created>
  <dcterms:modified xsi:type="dcterms:W3CDTF">2014-01-24T14:58:47Z</dcterms:modified>
</cp:coreProperties>
</file>