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00" yWindow="-15" windowWidth="10545" windowHeight="12120" tabRatio="604" activeTab="3"/>
  </bookViews>
  <sheets>
    <sheet name="Stm. of Activities" sheetId="5" r:id="rId1"/>
    <sheet name="Gen Rev" sheetId="1" r:id="rId2"/>
    <sheet name="Gen Exp" sheetId="2" r:id="rId3"/>
    <sheet name="Gov Rev" sheetId="4" r:id="rId4"/>
    <sheet name="Gov Exp" sheetId="3" r:id="rId5"/>
    <sheet name="Stm. of Net Assets" sheetId="6" r:id="rId6"/>
  </sheets>
  <definedNames>
    <definedName name="_xlnm.Print_Area" localSheetId="2">'Gen Exp'!$B$1:$AF$306</definedName>
    <definedName name="_xlnm.Print_Area" localSheetId="1">'Gen Rev'!$B$1:$AH$308</definedName>
    <definedName name="_xlnm.Print_Area" localSheetId="4">'Gov Exp'!$B$1:$AF$309</definedName>
    <definedName name="_xlnm.Print_Area" localSheetId="3">'Gov Rev'!$B$1:$AH$311</definedName>
    <definedName name="_xlnm.Print_Area" localSheetId="0">'Stm. of Activities'!$A$1:$AK$125</definedName>
  </definedNames>
  <calcPr calcId="125725"/>
</workbook>
</file>

<file path=xl/calcChain.xml><?xml version="1.0" encoding="utf-8"?>
<calcChain xmlns="http://schemas.openxmlformats.org/spreadsheetml/2006/main">
  <c r="R60" i="3"/>
  <c r="R59" i="2"/>
  <c r="R218" i="3"/>
  <c r="AF113"/>
  <c r="AH115" i="4"/>
  <c r="AF18" i="2"/>
  <c r="AF112"/>
  <c r="AE63" i="5"/>
  <c r="O117"/>
  <c r="W31"/>
  <c r="M1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8"/>
  <c r="M17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6"/>
  <c r="M15"/>
  <c r="AE80"/>
  <c r="AG80" s="1"/>
  <c r="AK80" s="1"/>
  <c r="AC77"/>
  <c r="AE76"/>
  <c r="AG76" s="1"/>
  <c r="AK76" s="1"/>
  <c r="AE54"/>
  <c r="AG54" s="1"/>
  <c r="AK54" s="1"/>
  <c r="R307" i="3"/>
  <c r="R304" i="2"/>
  <c r="Q120" i="5"/>
  <c r="V290" i="1"/>
  <c r="R281" i="2"/>
  <c r="R283" i="3"/>
  <c r="R280" i="2"/>
  <c r="W112" i="5"/>
  <c r="R280" i="3"/>
  <c r="R277" i="2"/>
  <c r="R271" i="3"/>
  <c r="R268" i="2"/>
  <c r="O108" i="5"/>
  <c r="V264" i="4"/>
  <c r="R257" i="3"/>
  <c r="T257"/>
  <c r="L257"/>
  <c r="J257"/>
  <c r="P257"/>
  <c r="F257"/>
  <c r="X259" i="4"/>
  <c r="L259"/>
  <c r="R254" i="2"/>
  <c r="L254"/>
  <c r="J254"/>
  <c r="P254"/>
  <c r="F254"/>
  <c r="V256" i="1"/>
  <c r="R256" i="3"/>
  <c r="R253" i="2"/>
  <c r="R236" i="3"/>
  <c r="R234" i="2"/>
  <c r="W85" i="5"/>
  <c r="V237" i="4"/>
  <c r="V234"/>
  <c r="R216" i="2"/>
  <c r="W79" i="5"/>
  <c r="U79"/>
  <c r="R212" i="3"/>
  <c r="L212"/>
  <c r="J212"/>
  <c r="F212"/>
  <c r="L214" i="4"/>
  <c r="L210" i="2"/>
  <c r="J210"/>
  <c r="F210"/>
  <c r="R211" i="3"/>
  <c r="P209" i="2"/>
  <c r="X206" i="4"/>
  <c r="P206"/>
  <c r="V204" i="1"/>
  <c r="L204"/>
  <c r="T200" i="3"/>
  <c r="L200"/>
  <c r="J200"/>
  <c r="T202" i="4"/>
  <c r="AG63" i="5" l="1"/>
  <c r="AK63" s="1"/>
  <c r="T158" i="4"/>
  <c r="R158" i="1"/>
  <c r="AA62" i="5"/>
  <c r="W62"/>
  <c r="U75"/>
  <c r="T194" i="3"/>
  <c r="L194"/>
  <c r="X189" i="4"/>
  <c r="T189"/>
  <c r="P189"/>
  <c r="V187" i="1"/>
  <c r="R187"/>
  <c r="L187"/>
  <c r="W71" i="5"/>
  <c r="E71"/>
  <c r="X183" i="4"/>
  <c r="W69" i="5"/>
  <c r="Q69"/>
  <c r="V164" i="4"/>
  <c r="X162"/>
  <c r="V161" i="1"/>
  <c r="R145" i="3"/>
  <c r="R144" i="2"/>
  <c r="AF151" i="3"/>
  <c r="X74"/>
  <c r="R74"/>
  <c r="R73" i="2"/>
  <c r="AF75" i="4"/>
  <c r="X75"/>
  <c r="V74" i="1"/>
  <c r="R64" i="3"/>
  <c r="R63" i="2"/>
  <c r="R63" i="3"/>
  <c r="R62" i="2"/>
  <c r="W32" i="5"/>
  <c r="R55" i="3"/>
  <c r="R54" i="2"/>
  <c r="S28" i="5"/>
  <c r="R41" i="3"/>
  <c r="R40" i="2"/>
  <c r="W26" i="5"/>
  <c r="X41" i="4"/>
  <c r="V40" i="1"/>
  <c r="AH101"/>
  <c r="AF100" i="2"/>
  <c r="AH103" i="4"/>
  <c r="AF101" i="3"/>
  <c r="W44" i="5"/>
  <c r="R97" i="3"/>
  <c r="R96" i="2"/>
  <c r="F97" i="1"/>
  <c r="W43" i="5"/>
  <c r="O41"/>
  <c r="X78" i="4"/>
  <c r="V77" i="1"/>
  <c r="R76" i="3"/>
  <c r="R75" i="2"/>
  <c r="W40" i="5"/>
  <c r="R119" i="3"/>
  <c r="L119"/>
  <c r="X121" i="4"/>
  <c r="AH121" s="1"/>
  <c r="R118" i="2"/>
  <c r="L118"/>
  <c r="V119" i="1"/>
  <c r="X119" i="4"/>
  <c r="V117" i="1"/>
  <c r="AF104" i="3"/>
  <c r="R36" i="2"/>
  <c r="V37" i="1"/>
  <c r="R29" i="3"/>
  <c r="R28" i="2"/>
  <c r="AF249" i="3"/>
  <c r="AF95"/>
  <c r="AF105"/>
  <c r="AF60"/>
  <c r="AH97" i="4"/>
  <c r="AH98"/>
  <c r="AH99"/>
  <c r="AH100"/>
  <c r="AH101"/>
  <c r="AH102"/>
  <c r="AH104"/>
  <c r="AH105"/>
  <c r="AH106"/>
  <c r="AH107"/>
  <c r="AH108"/>
  <c r="AH109"/>
  <c r="AH110"/>
  <c r="AH111"/>
  <c r="AH112"/>
  <c r="AH113"/>
  <c r="AH114"/>
  <c r="AH116"/>
  <c r="AH117"/>
  <c r="AH118"/>
  <c r="AH119"/>
  <c r="AH120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A12" i="6"/>
  <c r="AC12"/>
  <c r="AA13"/>
  <c r="AC13"/>
  <c r="AA14"/>
  <c r="AC14"/>
  <c r="AA15"/>
  <c r="AC15"/>
  <c r="AA16"/>
  <c r="AC16"/>
  <c r="AA17"/>
  <c r="AC17"/>
  <c r="AA18"/>
  <c r="AC18"/>
  <c r="AA19"/>
  <c r="AC19"/>
  <c r="AA20"/>
  <c r="AC20"/>
  <c r="AA21"/>
  <c r="AC21"/>
  <c r="AA22"/>
  <c r="AC22"/>
  <c r="AA23"/>
  <c r="AC23"/>
  <c r="AA24"/>
  <c r="AC24"/>
  <c r="AA25"/>
  <c r="AC25"/>
  <c r="AA26"/>
  <c r="AC26"/>
  <c r="AA27"/>
  <c r="AC27"/>
  <c r="AA28"/>
  <c r="AC28"/>
  <c r="AA29"/>
  <c r="AC29"/>
  <c r="AA30"/>
  <c r="AC30"/>
  <c r="AA31"/>
  <c r="AC31"/>
  <c r="AA32"/>
  <c r="AC32"/>
  <c r="AA33"/>
  <c r="AC33"/>
  <c r="AA34"/>
  <c r="AC34"/>
  <c r="AA35"/>
  <c r="AC35"/>
  <c r="AA36"/>
  <c r="AC36"/>
  <c r="AA37"/>
  <c r="AC37"/>
  <c r="AA38"/>
  <c r="AC38"/>
  <c r="AA39"/>
  <c r="AC39"/>
  <c r="AA40"/>
  <c r="AC40"/>
  <c r="AA41"/>
  <c r="AC41"/>
  <c r="AA42"/>
  <c r="AC42"/>
  <c r="AA43"/>
  <c r="AC43"/>
  <c r="AA44"/>
  <c r="AC44"/>
  <c r="AA45"/>
  <c r="AC45"/>
  <c r="AA46"/>
  <c r="AC46"/>
  <c r="AA47"/>
  <c r="AC47"/>
  <c r="AA48"/>
  <c r="AC48"/>
  <c r="AA49"/>
  <c r="AC49"/>
  <c r="AA50"/>
  <c r="AC50"/>
  <c r="AA51"/>
  <c r="AC51"/>
  <c r="AA52"/>
  <c r="AC52"/>
  <c r="AA53"/>
  <c r="AC53"/>
  <c r="AA54"/>
  <c r="AC54"/>
  <c r="AA55"/>
  <c r="AC55"/>
  <c r="AA56"/>
  <c r="AC56"/>
  <c r="AA57"/>
  <c r="AC57"/>
  <c r="AA58"/>
  <c r="AC58"/>
  <c r="AA59"/>
  <c r="AC59"/>
  <c r="AA60"/>
  <c r="AC60"/>
  <c r="AA61"/>
  <c r="AC61"/>
  <c r="AA62"/>
  <c r="AC62"/>
  <c r="AA63"/>
  <c r="AC63"/>
  <c r="AA64"/>
  <c r="AC64"/>
  <c r="AA65"/>
  <c r="AC65"/>
  <c r="AA66"/>
  <c r="AC66"/>
  <c r="AA67"/>
  <c r="AC67"/>
  <c r="AA68"/>
  <c r="AC68"/>
  <c r="AA69"/>
  <c r="AC69"/>
  <c r="AA70"/>
  <c r="AC70"/>
  <c r="AA71"/>
  <c r="AC71"/>
  <c r="AA72"/>
  <c r="AC72"/>
  <c r="AA73"/>
  <c r="AC73"/>
  <c r="AA74"/>
  <c r="AC74"/>
  <c r="AA75"/>
  <c r="AC75"/>
  <c r="AA76"/>
  <c r="AC76"/>
  <c r="AA77"/>
  <c r="AC77"/>
  <c r="AA78"/>
  <c r="AC78"/>
  <c r="AA79"/>
  <c r="AC79"/>
  <c r="AA80"/>
  <c r="AC80"/>
  <c r="AA81"/>
  <c r="AC81"/>
  <c r="AA82"/>
  <c r="AC82"/>
  <c r="AA83"/>
  <c r="AC83"/>
  <c r="AA84"/>
  <c r="AC84"/>
  <c r="AA85"/>
  <c r="AC85"/>
  <c r="AA86"/>
  <c r="AC86"/>
  <c r="AA87"/>
  <c r="AC87"/>
  <c r="AA88"/>
  <c r="AC88"/>
  <c r="AA89"/>
  <c r="AC89"/>
  <c r="AA90"/>
  <c r="AC90"/>
  <c r="AA91"/>
  <c r="AC91"/>
  <c r="AA92"/>
  <c r="AC92"/>
  <c r="AA93"/>
  <c r="AC93"/>
  <c r="AA94"/>
  <c r="AC94"/>
  <c r="AA95"/>
  <c r="AC95"/>
  <c r="AA96"/>
  <c r="AC96"/>
  <c r="AA97"/>
  <c r="AC97"/>
  <c r="AA98"/>
  <c r="AC98"/>
  <c r="AA99"/>
  <c r="AC99"/>
  <c r="AA100"/>
  <c r="AC100"/>
  <c r="AA101"/>
  <c r="AC101"/>
  <c r="AA102"/>
  <c r="AC102"/>
  <c r="AA103"/>
  <c r="AC103"/>
  <c r="AA104"/>
  <c r="AC104"/>
  <c r="AA105"/>
  <c r="AC105"/>
  <c r="AA106"/>
  <c r="AC106"/>
  <c r="AA107"/>
  <c r="AC107"/>
  <c r="AA108"/>
  <c r="AC108"/>
  <c r="AA109"/>
  <c r="AC109"/>
  <c r="AA110"/>
  <c r="AC110"/>
  <c r="AA111"/>
  <c r="AC111"/>
  <c r="AA112"/>
  <c r="AC112"/>
  <c r="AA113"/>
  <c r="AC113"/>
  <c r="AA114"/>
  <c r="AC114"/>
  <c r="AA115"/>
  <c r="AC115"/>
  <c r="AA116"/>
  <c r="AC116"/>
  <c r="AA117"/>
  <c r="AC117"/>
  <c r="AA118"/>
  <c r="AC118"/>
  <c r="AA119"/>
  <c r="AC119"/>
  <c r="AA120"/>
  <c r="AC120"/>
  <c r="AA121"/>
  <c r="AC121"/>
  <c r="AA122"/>
  <c r="AC122"/>
  <c r="AA123"/>
  <c r="AC123"/>
  <c r="AA124"/>
  <c r="AC124"/>
  <c r="AA125"/>
  <c r="AC125"/>
  <c r="AA126"/>
  <c r="AC126"/>
  <c r="AA127"/>
  <c r="AC127"/>
  <c r="AA128"/>
  <c r="AC128"/>
  <c r="AA129"/>
  <c r="AC129"/>
  <c r="AA130"/>
  <c r="AC130"/>
  <c r="AA131"/>
  <c r="AC131"/>
  <c r="AA132"/>
  <c r="AC132"/>
  <c r="AA133"/>
  <c r="AC133"/>
  <c r="AA134"/>
  <c r="AC134"/>
  <c r="AA135"/>
  <c r="AC135"/>
  <c r="AA136"/>
  <c r="AC136"/>
  <c r="AA137"/>
  <c r="AC137"/>
  <c r="AA138"/>
  <c r="AC138"/>
  <c r="AA139"/>
  <c r="AC139"/>
  <c r="AA140"/>
  <c r="AC140"/>
  <c r="AA141"/>
  <c r="AC141"/>
  <c r="AA142"/>
  <c r="AC142"/>
  <c r="AA143"/>
  <c r="AC143"/>
  <c r="AA144"/>
  <c r="AC144"/>
  <c r="AA145"/>
  <c r="AC145"/>
  <c r="AA146"/>
  <c r="AC146"/>
  <c r="AA147"/>
  <c r="AC147"/>
  <c r="AA148"/>
  <c r="AC148"/>
  <c r="AA149"/>
  <c r="AC149"/>
  <c r="AA150"/>
  <c r="AC150"/>
  <c r="AF254" i="2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H252" i="1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97"/>
  <c r="AH98"/>
  <c r="AH99"/>
  <c r="AH100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F94" i="3"/>
  <c r="AH96" i="4"/>
  <c r="AF95" i="2"/>
  <c r="AE36" i="5"/>
  <c r="AH61" i="4"/>
  <c r="AE31" i="5"/>
  <c r="AG31" s="1"/>
  <c r="AK31" s="1"/>
  <c r="AF104" i="2"/>
  <c r="AH69" i="4"/>
  <c r="AF96" i="2" l="1"/>
  <c r="AG36" i="5"/>
  <c r="AK36" s="1"/>
  <c r="AF288" i="3"/>
  <c r="AH290" i="4"/>
  <c r="AF286" i="3"/>
  <c r="AH288" i="4"/>
  <c r="AH238"/>
  <c r="AH239"/>
  <c r="AE85" i="5"/>
  <c r="AH237" i="4"/>
  <c r="AF232" i="3"/>
  <c r="AH234" i="4"/>
  <c r="AF212" i="3"/>
  <c r="AH214" i="4"/>
  <c r="AG85" i="5" l="1"/>
  <c r="AK85" s="1"/>
  <c r="AF236" i="3"/>
  <c r="AF75"/>
  <c r="AH76" i="4"/>
  <c r="M13" i="5" l="1"/>
  <c r="M127"/>
  <c r="AE118"/>
  <c r="AE48"/>
  <c r="AE89"/>
  <c r="AE49"/>
  <c r="AF8" i="3"/>
  <c r="AH9" i="4"/>
  <c r="AH8" i="1"/>
  <c r="AF238" i="3"/>
  <c r="AH240" i="4"/>
  <c r="AH96" i="1"/>
  <c r="AH174"/>
  <c r="AH251"/>
  <c r="AH19"/>
  <c r="AF46" i="3"/>
  <c r="AH47" i="4"/>
  <c r="AE91" i="5"/>
  <c r="AH279" i="4"/>
  <c r="AE110" i="5"/>
  <c r="AF227" i="3"/>
  <c r="AH229" i="4"/>
  <c r="AF150" i="2"/>
  <c r="AF102" i="3"/>
  <c r="AF101" i="2"/>
  <c r="AF117" i="3"/>
  <c r="AF116" i="2"/>
  <c r="AE58" i="5"/>
  <c r="AH56" i="4"/>
  <c r="AE26" i="5"/>
  <c r="AF155" i="2"/>
  <c r="AG118" i="5" l="1"/>
  <c r="AK118" s="1"/>
  <c r="AG48"/>
  <c r="AK48" s="1"/>
  <c r="AG49"/>
  <c r="AK49" s="1"/>
  <c r="AG89"/>
  <c r="AK89" s="1"/>
  <c r="AE79"/>
  <c r="AG79" s="1"/>
  <c r="AK79" s="1"/>
  <c r="AG91"/>
  <c r="AK91" s="1"/>
  <c r="AF277" i="3"/>
  <c r="AE62" i="5"/>
  <c r="AG110"/>
  <c r="AK110" s="1"/>
  <c r="AG62"/>
  <c r="AK62" s="1"/>
  <c r="AG26"/>
  <c r="AK26" s="1"/>
  <c r="AE13"/>
  <c r="AG13" s="1"/>
  <c r="AK13" s="1"/>
  <c r="AG58"/>
  <c r="AK58" s="1"/>
  <c r="AF185" i="3"/>
  <c r="AH187" i="4"/>
  <c r="AE70" i="5"/>
  <c r="AE74"/>
  <c r="AE75"/>
  <c r="AG75" s="1"/>
  <c r="AE40"/>
  <c r="AE39"/>
  <c r="AE34"/>
  <c r="AE122"/>
  <c r="AE121"/>
  <c r="AE120"/>
  <c r="AE119"/>
  <c r="AE116"/>
  <c r="AE115"/>
  <c r="AE114"/>
  <c r="AE113"/>
  <c r="AE111"/>
  <c r="AE109"/>
  <c r="AE108"/>
  <c r="AE107"/>
  <c r="AE93"/>
  <c r="AE92"/>
  <c r="AE90"/>
  <c r="AE127"/>
  <c r="AE88"/>
  <c r="AE87"/>
  <c r="AE86"/>
  <c r="AE83"/>
  <c r="AE82"/>
  <c r="AE78"/>
  <c r="AG78" s="1"/>
  <c r="AE77"/>
  <c r="AE73"/>
  <c r="AE72"/>
  <c r="AE71"/>
  <c r="AG71" s="1"/>
  <c r="AE69"/>
  <c r="AE68"/>
  <c r="AE67"/>
  <c r="AE65"/>
  <c r="AG65" s="1"/>
  <c r="AE64"/>
  <c r="AE61"/>
  <c r="AE60"/>
  <c r="AG60" s="1"/>
  <c r="AE59"/>
  <c r="AE57"/>
  <c r="AE56"/>
  <c r="AG56" s="1"/>
  <c r="AE55"/>
  <c r="AE123"/>
  <c r="AE53"/>
  <c r="AE52"/>
  <c r="AE51"/>
  <c r="AE50"/>
  <c r="AG50" s="1"/>
  <c r="AE47"/>
  <c r="AE81"/>
  <c r="AE66"/>
  <c r="AE46"/>
  <c r="AE84"/>
  <c r="AE44"/>
  <c r="AE43"/>
  <c r="AE42"/>
  <c r="AE41"/>
  <c r="AE35"/>
  <c r="AE33"/>
  <c r="AE30"/>
  <c r="AE29"/>
  <c r="AE28"/>
  <c r="AG28" s="1"/>
  <c r="AE27"/>
  <c r="AE25"/>
  <c r="AE24"/>
  <c r="AE38"/>
  <c r="AE37"/>
  <c r="AE23"/>
  <c r="AE22"/>
  <c r="AE21"/>
  <c r="AE20"/>
  <c r="AE19"/>
  <c r="AE16"/>
  <c r="AE17"/>
  <c r="AG17" s="1"/>
  <c r="AK17" s="1"/>
  <c r="AE12"/>
  <c r="AG12" s="1"/>
  <c r="AK12" s="1"/>
  <c r="AE14"/>
  <c r="AG14" s="1"/>
  <c r="AE15"/>
  <c r="AG15" s="1"/>
  <c r="AE18"/>
  <c r="AE112"/>
  <c r="AC11" i="6"/>
  <c r="AA1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28"/>
  <c r="E26"/>
  <c r="E24"/>
  <c r="E33"/>
  <c r="E32"/>
  <c r="E20"/>
  <c r="E31"/>
  <c r="E30"/>
  <c r="E29"/>
  <c r="E27"/>
  <c r="E25"/>
  <c r="E23"/>
  <c r="E21"/>
  <c r="E19"/>
  <c r="E18"/>
  <c r="E17"/>
  <c r="E16"/>
  <c r="E15"/>
  <c r="E14"/>
  <c r="E13"/>
  <c r="E12"/>
  <c r="E11"/>
  <c r="AA576"/>
  <c r="U576"/>
  <c r="K576"/>
  <c r="AA575"/>
  <c r="U575"/>
  <c r="K575"/>
  <c r="AA574"/>
  <c r="U574"/>
  <c r="K574"/>
  <c r="AA573"/>
  <c r="U573"/>
  <c r="K573"/>
  <c r="AA572"/>
  <c r="U572"/>
  <c r="K572"/>
  <c r="AA571"/>
  <c r="U571"/>
  <c r="K571"/>
  <c r="AA570"/>
  <c r="U570"/>
  <c r="K570"/>
  <c r="AA569"/>
  <c r="U569"/>
  <c r="K569"/>
  <c r="AA568"/>
  <c r="U568"/>
  <c r="K568"/>
  <c r="AA567"/>
  <c r="U567"/>
  <c r="K567"/>
  <c r="AA566"/>
  <c r="U566"/>
  <c r="K566"/>
  <c r="AA565"/>
  <c r="U565"/>
  <c r="K565"/>
  <c r="AA564"/>
  <c r="U564"/>
  <c r="K564"/>
  <c r="AA563"/>
  <c r="U563"/>
  <c r="K563"/>
  <c r="AA562"/>
  <c r="U562"/>
  <c r="K562"/>
  <c r="AA561"/>
  <c r="U561"/>
  <c r="K561"/>
  <c r="AA560"/>
  <c r="U560"/>
  <c r="K560"/>
  <c r="AA559"/>
  <c r="U559"/>
  <c r="K559"/>
  <c r="AA558"/>
  <c r="U558"/>
  <c r="K558"/>
  <c r="AA557"/>
  <c r="U557"/>
  <c r="K557"/>
  <c r="AA556"/>
  <c r="U556"/>
  <c r="K556"/>
  <c r="AA555"/>
  <c r="U555"/>
  <c r="K555"/>
  <c r="AA554"/>
  <c r="U554"/>
  <c r="K554"/>
  <c r="AA553"/>
  <c r="U553"/>
  <c r="K553"/>
  <c r="AA552"/>
  <c r="U552"/>
  <c r="K552"/>
  <c r="AA551"/>
  <c r="U551"/>
  <c r="K551"/>
  <c r="AA550"/>
  <c r="U550"/>
  <c r="K550"/>
  <c r="AA549"/>
  <c r="U549"/>
  <c r="K549"/>
  <c r="AA548"/>
  <c r="U548"/>
  <c r="K548"/>
  <c r="AA547"/>
  <c r="U547"/>
  <c r="K547"/>
  <c r="AA546"/>
  <c r="U546"/>
  <c r="K546"/>
  <c r="AA543"/>
  <c r="U543"/>
  <c r="K543"/>
  <c r="AA542"/>
  <c r="U542"/>
  <c r="K542"/>
  <c r="AA541"/>
  <c r="U541"/>
  <c r="K541"/>
  <c r="AA540"/>
  <c r="U540"/>
  <c r="K540"/>
  <c r="AA539"/>
  <c r="U539"/>
  <c r="K539"/>
  <c r="AA538"/>
  <c r="U538"/>
  <c r="K538"/>
  <c r="AA537"/>
  <c r="U537"/>
  <c r="K537"/>
  <c r="AA536"/>
  <c r="U536"/>
  <c r="K536"/>
  <c r="AA535"/>
  <c r="U535"/>
  <c r="K535"/>
  <c r="AA534"/>
  <c r="U534"/>
  <c r="K534"/>
  <c r="AA533"/>
  <c r="U533"/>
  <c r="K533"/>
  <c r="AA532"/>
  <c r="U532"/>
  <c r="K532"/>
  <c r="AA531"/>
  <c r="U531"/>
  <c r="K531"/>
  <c r="AA530"/>
  <c r="U530"/>
  <c r="K530"/>
  <c r="AA529"/>
  <c r="K529"/>
  <c r="AA528"/>
  <c r="U528"/>
  <c r="K528"/>
  <c r="AA527"/>
  <c r="U527"/>
  <c r="K527"/>
  <c r="AA526"/>
  <c r="U526"/>
  <c r="K526"/>
  <c r="AA525"/>
  <c r="U525"/>
  <c r="K525"/>
  <c r="AA524"/>
  <c r="U524"/>
  <c r="K524"/>
  <c r="AA523"/>
  <c r="U523"/>
  <c r="K523"/>
  <c r="AA522"/>
  <c r="U522"/>
  <c r="K522"/>
  <c r="AA521"/>
  <c r="U521"/>
  <c r="K521"/>
  <c r="AA520"/>
  <c r="U520"/>
  <c r="K520"/>
  <c r="AA519"/>
  <c r="U519"/>
  <c r="K519"/>
  <c r="AA518"/>
  <c r="U518"/>
  <c r="K518"/>
  <c r="AA517"/>
  <c r="U517"/>
  <c r="K517"/>
  <c r="AA516"/>
  <c r="U516"/>
  <c r="K516"/>
  <c r="AA515"/>
  <c r="U515"/>
  <c r="K515"/>
  <c r="AA514"/>
  <c r="U514"/>
  <c r="K514"/>
  <c r="AA513"/>
  <c r="U513"/>
  <c r="K513"/>
  <c r="AA512"/>
  <c r="U512"/>
  <c r="K512"/>
  <c r="AA511"/>
  <c r="U511"/>
  <c r="K511"/>
  <c r="AA510"/>
  <c r="U510"/>
  <c r="K510"/>
  <c r="AA509"/>
  <c r="U509"/>
  <c r="K509"/>
  <c r="AA508"/>
  <c r="U508"/>
  <c r="K508"/>
  <c r="AA507"/>
  <c r="U507"/>
  <c r="K507"/>
  <c r="AA506"/>
  <c r="U506"/>
  <c r="K506"/>
  <c r="AA505"/>
  <c r="U505"/>
  <c r="K505"/>
  <c r="AA504"/>
  <c r="U504"/>
  <c r="K504"/>
  <c r="AA503"/>
  <c r="U503"/>
  <c r="K503"/>
  <c r="AA502"/>
  <c r="U502"/>
  <c r="K502"/>
  <c r="AA501"/>
  <c r="U501"/>
  <c r="K501"/>
  <c r="AA500"/>
  <c r="U500"/>
  <c r="K500"/>
  <c r="AA499"/>
  <c r="U499"/>
  <c r="K499"/>
  <c r="AA498"/>
  <c r="U498"/>
  <c r="K498"/>
  <c r="AA497"/>
  <c r="U497"/>
  <c r="K497"/>
  <c r="AA496"/>
  <c r="U496"/>
  <c r="K496"/>
  <c r="AA495"/>
  <c r="U495"/>
  <c r="K495"/>
  <c r="AA494"/>
  <c r="U494"/>
  <c r="K494"/>
  <c r="AA493"/>
  <c r="U493"/>
  <c r="K493"/>
  <c r="AA492"/>
  <c r="U492"/>
  <c r="K492"/>
  <c r="AA491"/>
  <c r="U491"/>
  <c r="K491"/>
  <c r="AA490"/>
  <c r="U490"/>
  <c r="K490"/>
  <c r="AA489"/>
  <c r="U489"/>
  <c r="K489"/>
  <c r="U488"/>
  <c r="K488"/>
  <c r="AA488"/>
  <c r="AA487"/>
  <c r="U487"/>
  <c r="K487"/>
  <c r="AA486"/>
  <c r="U486"/>
  <c r="K486"/>
  <c r="AA485"/>
  <c r="U485"/>
  <c r="K485"/>
  <c r="AA484"/>
  <c r="U484"/>
  <c r="K484"/>
  <c r="AA483"/>
  <c r="U483"/>
  <c r="K483"/>
  <c r="AA482"/>
  <c r="U482"/>
  <c r="K482"/>
  <c r="AA481"/>
  <c r="U481"/>
  <c r="K481"/>
  <c r="AA480"/>
  <c r="U480"/>
  <c r="K480"/>
  <c r="AA479"/>
  <c r="U479"/>
  <c r="K479"/>
  <c r="AA478"/>
  <c r="U478"/>
  <c r="K478"/>
  <c r="AA477"/>
  <c r="U477"/>
  <c r="K477"/>
  <c r="AA476"/>
  <c r="U476"/>
  <c r="K476"/>
  <c r="AA475"/>
  <c r="U475"/>
  <c r="K475"/>
  <c r="AA474"/>
  <c r="U474"/>
  <c r="K474"/>
  <c r="AA473"/>
  <c r="U473"/>
  <c r="K473"/>
  <c r="AA472"/>
  <c r="U472"/>
  <c r="K472"/>
  <c r="AA471"/>
  <c r="U471"/>
  <c r="K471"/>
  <c r="AA468"/>
  <c r="U468"/>
  <c r="K468"/>
  <c r="AA467"/>
  <c r="U467"/>
  <c r="K467"/>
  <c r="AA466"/>
  <c r="U466"/>
  <c r="K466"/>
  <c r="AA465"/>
  <c r="U465"/>
  <c r="K465"/>
  <c r="AA464"/>
  <c r="U464"/>
  <c r="K464"/>
  <c r="AA463"/>
  <c r="U463"/>
  <c r="K463"/>
  <c r="AA462"/>
  <c r="U462"/>
  <c r="K462"/>
  <c r="AA461"/>
  <c r="U461"/>
  <c r="K461"/>
  <c r="AA460"/>
  <c r="U460"/>
  <c r="K460"/>
  <c r="AA459"/>
  <c r="U459"/>
  <c r="K459"/>
  <c r="AA458"/>
  <c r="U458"/>
  <c r="K458"/>
  <c r="AA457"/>
  <c r="U457"/>
  <c r="K457"/>
  <c r="AA456"/>
  <c r="U456"/>
  <c r="K456"/>
  <c r="AA455"/>
  <c r="K455"/>
  <c r="AA454"/>
  <c r="U454"/>
  <c r="K454"/>
  <c r="AA453"/>
  <c r="U453"/>
  <c r="K453"/>
  <c r="AA452"/>
  <c r="U452"/>
  <c r="K452"/>
  <c r="AA451"/>
  <c r="U451"/>
  <c r="K451"/>
  <c r="AA450"/>
  <c r="U450"/>
  <c r="K450"/>
  <c r="AA449"/>
  <c r="U449"/>
  <c r="K449"/>
  <c r="AA448"/>
  <c r="U448"/>
  <c r="K448"/>
  <c r="AA447"/>
  <c r="U447"/>
  <c r="K447"/>
  <c r="AA446"/>
  <c r="U446"/>
  <c r="K446"/>
  <c r="AA445"/>
  <c r="U445"/>
  <c r="K445"/>
  <c r="AA444"/>
  <c r="U444"/>
  <c r="K444"/>
  <c r="AA443"/>
  <c r="U443"/>
  <c r="K443"/>
  <c r="AA442"/>
  <c r="U442"/>
  <c r="K442"/>
  <c r="AA441"/>
  <c r="U441"/>
  <c r="K441"/>
  <c r="AA440"/>
  <c r="U440"/>
  <c r="K440"/>
  <c r="AA439"/>
  <c r="U439"/>
  <c r="K439"/>
  <c r="AA438"/>
  <c r="U438"/>
  <c r="K438"/>
  <c r="AA437"/>
  <c r="U437"/>
  <c r="K437"/>
  <c r="AA436"/>
  <c r="U436"/>
  <c r="K436"/>
  <c r="AA435"/>
  <c r="U435"/>
  <c r="K435"/>
  <c r="AA434"/>
  <c r="U434"/>
  <c r="K434"/>
  <c r="AA433"/>
  <c r="U433"/>
  <c r="K433"/>
  <c r="AA432"/>
  <c r="U432"/>
  <c r="K432"/>
  <c r="AA431"/>
  <c r="U431"/>
  <c r="K431"/>
  <c r="AA430"/>
  <c r="U430"/>
  <c r="K430"/>
  <c r="U429"/>
  <c r="K429"/>
  <c r="AA429"/>
  <c r="AA428"/>
  <c r="U428"/>
  <c r="K428"/>
  <c r="AA427"/>
  <c r="U427"/>
  <c r="K427"/>
  <c r="AA426"/>
  <c r="U426"/>
  <c r="K426"/>
  <c r="AA425"/>
  <c r="U425"/>
  <c r="K425"/>
  <c r="AA424"/>
  <c r="U424"/>
  <c r="K424"/>
  <c r="AA423"/>
  <c r="U423"/>
  <c r="K423"/>
  <c r="AA422"/>
  <c r="U422"/>
  <c r="K422"/>
  <c r="AA421"/>
  <c r="U421"/>
  <c r="K421"/>
  <c r="AA420"/>
  <c r="U420"/>
  <c r="K420"/>
  <c r="AA419"/>
  <c r="U419"/>
  <c r="K419"/>
  <c r="AA418"/>
  <c r="U418"/>
  <c r="K418"/>
  <c r="AA417"/>
  <c r="U417"/>
  <c r="K417"/>
  <c r="AA416"/>
  <c r="U416"/>
  <c r="K416"/>
  <c r="AA415"/>
  <c r="U415"/>
  <c r="K415"/>
  <c r="AA414"/>
  <c r="U414"/>
  <c r="K414"/>
  <c r="AA413"/>
  <c r="U413"/>
  <c r="K413"/>
  <c r="AA412"/>
  <c r="U412"/>
  <c r="K412"/>
  <c r="AA411"/>
  <c r="U411"/>
  <c r="K411"/>
  <c r="AA410"/>
  <c r="U410"/>
  <c r="K410"/>
  <c r="U409"/>
  <c r="K409"/>
  <c r="AA409"/>
  <c r="AA408"/>
  <c r="U408"/>
  <c r="K408"/>
  <c r="AA407"/>
  <c r="U407"/>
  <c r="K407"/>
  <c r="AA406"/>
  <c r="U406"/>
  <c r="K406"/>
  <c r="AA405"/>
  <c r="U405"/>
  <c r="K405"/>
  <c r="AA404"/>
  <c r="U404"/>
  <c r="K404"/>
  <c r="AA401"/>
  <c r="U401"/>
  <c r="K401"/>
  <c r="AA400"/>
  <c r="U400"/>
  <c r="K400"/>
  <c r="U399"/>
  <c r="K399"/>
  <c r="AA399"/>
  <c r="AA398"/>
  <c r="U398"/>
  <c r="K398"/>
  <c r="AA397"/>
  <c r="U397"/>
  <c r="K397"/>
  <c r="AA396"/>
  <c r="U396"/>
  <c r="K396"/>
  <c r="AA395"/>
  <c r="U395"/>
  <c r="K395"/>
  <c r="AA394"/>
  <c r="U394"/>
  <c r="K394"/>
  <c r="AA393"/>
  <c r="U393"/>
  <c r="K393"/>
  <c r="AA392"/>
  <c r="U392"/>
  <c r="K392"/>
  <c r="AA391"/>
  <c r="U391"/>
  <c r="K391"/>
  <c r="AA390"/>
  <c r="U390"/>
  <c r="K390"/>
  <c r="AA389"/>
  <c r="U389"/>
  <c r="K389"/>
  <c r="AA388"/>
  <c r="U388"/>
  <c r="K388"/>
  <c r="AA387"/>
  <c r="U387"/>
  <c r="K387"/>
  <c r="AA386"/>
  <c r="U386"/>
  <c r="K386"/>
  <c r="AA385"/>
  <c r="U385"/>
  <c r="K385"/>
  <c r="AA384"/>
  <c r="U384"/>
  <c r="K384"/>
  <c r="AA383"/>
  <c r="U383"/>
  <c r="K383"/>
  <c r="AA382"/>
  <c r="U382"/>
  <c r="K382"/>
  <c r="AA381"/>
  <c r="U381"/>
  <c r="K381"/>
  <c r="AA380"/>
  <c r="U380"/>
  <c r="K380"/>
  <c r="AA379"/>
  <c r="U379"/>
  <c r="K379"/>
  <c r="U378"/>
  <c r="K378"/>
  <c r="AA378"/>
  <c r="AA377"/>
  <c r="U377"/>
  <c r="K377"/>
  <c r="AA376"/>
  <c r="U376"/>
  <c r="K376"/>
  <c r="AA375"/>
  <c r="U375"/>
  <c r="K375"/>
  <c r="AA374"/>
  <c r="U374"/>
  <c r="K374"/>
  <c r="AA373"/>
  <c r="U373"/>
  <c r="K373"/>
  <c r="AA372"/>
  <c r="U372"/>
  <c r="K372"/>
  <c r="AA371"/>
  <c r="U371"/>
  <c r="K371"/>
  <c r="AA370"/>
  <c r="U370"/>
  <c r="K370"/>
  <c r="AA369"/>
  <c r="U369"/>
  <c r="K369"/>
  <c r="AA368"/>
  <c r="U368"/>
  <c r="K368"/>
  <c r="AA367"/>
  <c r="U367"/>
  <c r="K367"/>
  <c r="AA366"/>
  <c r="U366"/>
  <c r="K366"/>
  <c r="AA365"/>
  <c r="U365"/>
  <c r="K365"/>
  <c r="AA364"/>
  <c r="U364"/>
  <c r="K364"/>
  <c r="AA363"/>
  <c r="U363"/>
  <c r="K363"/>
  <c r="AA362"/>
  <c r="U362"/>
  <c r="K362"/>
  <c r="AA361"/>
  <c r="U361"/>
  <c r="K361"/>
  <c r="AA360"/>
  <c r="U360"/>
  <c r="K360"/>
  <c r="AA359"/>
  <c r="U359"/>
  <c r="K359"/>
  <c r="AA358"/>
  <c r="U358"/>
  <c r="K358"/>
  <c r="AA357"/>
  <c r="U357"/>
  <c r="K357"/>
  <c r="AA356"/>
  <c r="U356"/>
  <c r="K356"/>
  <c r="AA355"/>
  <c r="U355"/>
  <c r="K355"/>
  <c r="AA354"/>
  <c r="U354"/>
  <c r="K354"/>
  <c r="AA353"/>
  <c r="U353"/>
  <c r="K353"/>
  <c r="AA352"/>
  <c r="U352"/>
  <c r="K352"/>
  <c r="AA351"/>
  <c r="U351"/>
  <c r="K351"/>
  <c r="AA350"/>
  <c r="U350"/>
  <c r="K350"/>
  <c r="AA349"/>
  <c r="U349"/>
  <c r="K349"/>
  <c r="AA348"/>
  <c r="U348"/>
  <c r="K348"/>
  <c r="AA347"/>
  <c r="U347"/>
  <c r="K347"/>
  <c r="AA346"/>
  <c r="U346"/>
  <c r="K346"/>
  <c r="AA345"/>
  <c r="U345"/>
  <c r="K345"/>
  <c r="AA344"/>
  <c r="U344"/>
  <c r="K344"/>
  <c r="AA343"/>
  <c r="U343"/>
  <c r="K343"/>
  <c r="AA342"/>
  <c r="U342"/>
  <c r="K342"/>
  <c r="AA341"/>
  <c r="U341"/>
  <c r="K341"/>
  <c r="AA340"/>
  <c r="U340"/>
  <c r="K340"/>
  <c r="AA339"/>
  <c r="U339"/>
  <c r="K339"/>
  <c r="AA338"/>
  <c r="U338"/>
  <c r="K338"/>
  <c r="AA337"/>
  <c r="U337"/>
  <c r="K337"/>
  <c r="AA336"/>
  <c r="U336"/>
  <c r="K336"/>
  <c r="AA335"/>
  <c r="U335"/>
  <c r="K335"/>
  <c r="AA334"/>
  <c r="U334"/>
  <c r="K334"/>
  <c r="AA333"/>
  <c r="U333"/>
  <c r="K333"/>
  <c r="AA332"/>
  <c r="U332"/>
  <c r="K332"/>
  <c r="AA331"/>
  <c r="U331"/>
  <c r="K331"/>
  <c r="AA330"/>
  <c r="U330"/>
  <c r="K330"/>
  <c r="AA329"/>
  <c r="U329"/>
  <c r="K329"/>
  <c r="AA326"/>
  <c r="U326"/>
  <c r="K326"/>
  <c r="AA325"/>
  <c r="U325"/>
  <c r="K325"/>
  <c r="AA324"/>
  <c r="U324"/>
  <c r="K324"/>
  <c r="AA323"/>
  <c r="U323"/>
  <c r="K323"/>
  <c r="AA322"/>
  <c r="U322"/>
  <c r="K322"/>
  <c r="AA321"/>
  <c r="U321"/>
  <c r="K321"/>
  <c r="AA320"/>
  <c r="U320"/>
  <c r="K320"/>
  <c r="AA319"/>
  <c r="U319"/>
  <c r="K319"/>
  <c r="AA318"/>
  <c r="U318"/>
  <c r="K318"/>
  <c r="AA317"/>
  <c r="U317"/>
  <c r="K317"/>
  <c r="AA316"/>
  <c r="U316"/>
  <c r="K316"/>
  <c r="AA315"/>
  <c r="U315"/>
  <c r="K315"/>
  <c r="AA314"/>
  <c r="U314"/>
  <c r="K314"/>
  <c r="AA313"/>
  <c r="U313"/>
  <c r="K313"/>
  <c r="AA312"/>
  <c r="U312"/>
  <c r="K312"/>
  <c r="AA311"/>
  <c r="U311"/>
  <c r="K311"/>
  <c r="AA310"/>
  <c r="U310"/>
  <c r="K310"/>
  <c r="AA309"/>
  <c r="U309"/>
  <c r="K309"/>
  <c r="AA308"/>
  <c r="U308"/>
  <c r="K308"/>
  <c r="AA307"/>
  <c r="U307"/>
  <c r="K307"/>
  <c r="AA306"/>
  <c r="U306"/>
  <c r="K306"/>
  <c r="AA305"/>
  <c r="U305"/>
  <c r="K305"/>
  <c r="AA304"/>
  <c r="U304"/>
  <c r="K304"/>
  <c r="AA303"/>
  <c r="U303"/>
  <c r="K303"/>
  <c r="AA302"/>
  <c r="U302"/>
  <c r="K302"/>
  <c r="AA301"/>
  <c r="U301"/>
  <c r="K301"/>
  <c r="AA300"/>
  <c r="U300"/>
  <c r="K300"/>
  <c r="AA299"/>
  <c r="U299"/>
  <c r="K299"/>
  <c r="AA298"/>
  <c r="U298"/>
  <c r="K298"/>
  <c r="AA297"/>
  <c r="U297"/>
  <c r="K297"/>
  <c r="AA296"/>
  <c r="U296"/>
  <c r="K296"/>
  <c r="AA295"/>
  <c r="U295"/>
  <c r="K295"/>
  <c r="AA294"/>
  <c r="U294"/>
  <c r="K294"/>
  <c r="AA293"/>
  <c r="U293"/>
  <c r="K293"/>
  <c r="AA292"/>
  <c r="U292"/>
  <c r="K292"/>
  <c r="AA291"/>
  <c r="U291"/>
  <c r="K291"/>
  <c r="AA290"/>
  <c r="U290"/>
  <c r="K290"/>
  <c r="AA289"/>
  <c r="U289"/>
  <c r="K289"/>
  <c r="AA288"/>
  <c r="U288"/>
  <c r="K288"/>
  <c r="AA287"/>
  <c r="U287"/>
  <c r="K287"/>
  <c r="AA286"/>
  <c r="U286"/>
  <c r="K286"/>
  <c r="AA285"/>
  <c r="U285"/>
  <c r="K285"/>
  <c r="AA284"/>
  <c r="U284"/>
  <c r="K284"/>
  <c r="AA283"/>
  <c r="U283"/>
  <c r="K283"/>
  <c r="AA282"/>
  <c r="U282"/>
  <c r="K282"/>
  <c r="AA281"/>
  <c r="U281"/>
  <c r="K281"/>
  <c r="AA280"/>
  <c r="U280"/>
  <c r="K280"/>
  <c r="AA279"/>
  <c r="U279"/>
  <c r="K279"/>
  <c r="AA278"/>
  <c r="U278"/>
  <c r="K278"/>
  <c r="AA277"/>
  <c r="U277"/>
  <c r="K277"/>
  <c r="AA276"/>
  <c r="U276"/>
  <c r="K276"/>
  <c r="AA275"/>
  <c r="U275"/>
  <c r="K275"/>
  <c r="AA274"/>
  <c r="U274"/>
  <c r="K274"/>
  <c r="AA273"/>
  <c r="U273"/>
  <c r="K273"/>
  <c r="AA272"/>
  <c r="U272"/>
  <c r="K272"/>
  <c r="AA271"/>
  <c r="U271"/>
  <c r="K271"/>
  <c r="AA270"/>
  <c r="U270"/>
  <c r="K270"/>
  <c r="AA269"/>
  <c r="U269"/>
  <c r="K269"/>
  <c r="AA268"/>
  <c r="U268"/>
  <c r="K268"/>
  <c r="AA267"/>
  <c r="U267"/>
  <c r="K267"/>
  <c r="AA266"/>
  <c r="U266"/>
  <c r="K266"/>
  <c r="AA265"/>
  <c r="U265"/>
  <c r="K265"/>
  <c r="AA264"/>
  <c r="U264"/>
  <c r="K264"/>
  <c r="AA263"/>
  <c r="U263"/>
  <c r="K263"/>
  <c r="AA262"/>
  <c r="U262"/>
  <c r="K262"/>
  <c r="AA261"/>
  <c r="K261"/>
  <c r="AA258"/>
  <c r="U258"/>
  <c r="K258"/>
  <c r="AA257"/>
  <c r="U257"/>
  <c r="K257"/>
  <c r="AA256"/>
  <c r="U256"/>
  <c r="K256"/>
  <c r="AA255"/>
  <c r="U255"/>
  <c r="K255"/>
  <c r="AA254"/>
  <c r="U254"/>
  <c r="K254"/>
  <c r="AA253"/>
  <c r="U253"/>
  <c r="K253"/>
  <c r="AA252"/>
  <c r="U252"/>
  <c r="K252"/>
  <c r="AA251"/>
  <c r="U251"/>
  <c r="K251"/>
  <c r="AA250"/>
  <c r="U250"/>
  <c r="K250"/>
  <c r="U249"/>
  <c r="AA248"/>
  <c r="U248"/>
  <c r="K248"/>
  <c r="AA247"/>
  <c r="U247"/>
  <c r="AA246"/>
  <c r="U246"/>
  <c r="K246"/>
  <c r="AA245"/>
  <c r="U245"/>
  <c r="K245"/>
  <c r="AA244"/>
  <c r="U244"/>
  <c r="K244"/>
  <c r="AA243"/>
  <c r="U243"/>
  <c r="K243"/>
  <c r="AA242"/>
  <c r="U242"/>
  <c r="K242"/>
  <c r="AA241"/>
  <c r="U241"/>
  <c r="K241"/>
  <c r="AA240"/>
  <c r="U240"/>
  <c r="K240"/>
  <c r="AA239"/>
  <c r="U239"/>
  <c r="K239"/>
  <c r="AA238"/>
  <c r="U238"/>
  <c r="K238"/>
  <c r="AA237"/>
  <c r="U237"/>
  <c r="K237"/>
  <c r="AA236"/>
  <c r="U236"/>
  <c r="K236"/>
  <c r="AA235"/>
  <c r="U235"/>
  <c r="K235"/>
  <c r="AA234"/>
  <c r="U234"/>
  <c r="K234"/>
  <c r="U233"/>
  <c r="K233"/>
  <c r="AA232"/>
  <c r="U232"/>
  <c r="K232"/>
  <c r="AA231"/>
  <c r="U231"/>
  <c r="K231"/>
  <c r="AA230"/>
  <c r="U230"/>
  <c r="K230"/>
  <c r="AA229"/>
  <c r="U229"/>
  <c r="K229"/>
  <c r="AA228"/>
  <c r="U228"/>
  <c r="K228"/>
  <c r="AA227"/>
  <c r="U227"/>
  <c r="K227"/>
  <c r="AA226"/>
  <c r="U226"/>
  <c r="K226"/>
  <c r="AA225"/>
  <c r="U225"/>
  <c r="K225"/>
  <c r="AA224"/>
  <c r="U224"/>
  <c r="K224"/>
  <c r="AA223"/>
  <c r="U223"/>
  <c r="K223"/>
  <c r="AA222"/>
  <c r="U222"/>
  <c r="K222"/>
  <c r="AA221"/>
  <c r="U221"/>
  <c r="K221"/>
  <c r="AA220"/>
  <c r="U220"/>
  <c r="K220"/>
  <c r="AA219"/>
  <c r="U219"/>
  <c r="K219"/>
  <c r="AA218"/>
  <c r="U218"/>
  <c r="K218"/>
  <c r="AA217"/>
  <c r="U217"/>
  <c r="K217"/>
  <c r="AA216"/>
  <c r="U216"/>
  <c r="K216"/>
  <c r="AA215"/>
  <c r="U215"/>
  <c r="K215"/>
  <c r="AA214"/>
  <c r="U214"/>
  <c r="K214"/>
  <c r="AA213"/>
  <c r="U213"/>
  <c r="K213"/>
  <c r="AA212"/>
  <c r="U212"/>
  <c r="K212"/>
  <c r="AA211"/>
  <c r="U211"/>
  <c r="K211"/>
  <c r="AA210"/>
  <c r="U210"/>
  <c r="K210"/>
  <c r="AA209"/>
  <c r="U209"/>
  <c r="K209"/>
  <c r="AA208"/>
  <c r="U208"/>
  <c r="K208"/>
  <c r="AA207"/>
  <c r="U207"/>
  <c r="K207"/>
  <c r="AA206"/>
  <c r="U206"/>
  <c r="K206"/>
  <c r="AA205"/>
  <c r="U205"/>
  <c r="K205"/>
  <c r="AA204"/>
  <c r="U204"/>
  <c r="K204"/>
  <c r="AA203"/>
  <c r="U203"/>
  <c r="K203"/>
  <c r="AA202"/>
  <c r="U202"/>
  <c r="K202"/>
  <c r="AA201"/>
  <c r="U201"/>
  <c r="K201"/>
  <c r="AA200"/>
  <c r="U200"/>
  <c r="K200"/>
  <c r="AA199"/>
  <c r="U199"/>
  <c r="K199"/>
  <c r="AA198"/>
  <c r="U198"/>
  <c r="K198"/>
  <c r="AA197"/>
  <c r="U197"/>
  <c r="K197"/>
  <c r="AA196"/>
  <c r="U196"/>
  <c r="K196"/>
  <c r="AA195"/>
  <c r="U195"/>
  <c r="K195"/>
  <c r="AC195" s="1"/>
  <c r="AA194"/>
  <c r="U194"/>
  <c r="K194"/>
  <c r="AA193"/>
  <c r="U193"/>
  <c r="K193"/>
  <c r="AA192"/>
  <c r="U192"/>
  <c r="K192"/>
  <c r="AA191"/>
  <c r="U191"/>
  <c r="K191"/>
  <c r="AC191" s="1"/>
  <c r="AA188"/>
  <c r="U188"/>
  <c r="K188"/>
  <c r="AA187"/>
  <c r="U187"/>
  <c r="K187"/>
  <c r="AA186"/>
  <c r="U186"/>
  <c r="K186"/>
  <c r="AA185"/>
  <c r="U185"/>
  <c r="K185"/>
  <c r="AA184"/>
  <c r="U184"/>
  <c r="K184"/>
  <c r="AA183"/>
  <c r="U183"/>
  <c r="K183"/>
  <c r="AA182"/>
  <c r="U182"/>
  <c r="K182"/>
  <c r="AA181"/>
  <c r="U181"/>
  <c r="K181"/>
  <c r="AA180"/>
  <c r="U180"/>
  <c r="K180"/>
  <c r="AA179"/>
  <c r="U179"/>
  <c r="K179"/>
  <c r="AA178"/>
  <c r="U178"/>
  <c r="K178"/>
  <c r="AA177"/>
  <c r="U177"/>
  <c r="K177"/>
  <c r="AA176"/>
  <c r="U176"/>
  <c r="K176"/>
  <c r="AA175"/>
  <c r="U175"/>
  <c r="K175"/>
  <c r="AA174"/>
  <c r="U174"/>
  <c r="K174"/>
  <c r="AA173"/>
  <c r="U173"/>
  <c r="K173"/>
  <c r="AA172"/>
  <c r="U172"/>
  <c r="K172"/>
  <c r="AA171"/>
  <c r="U171"/>
  <c r="K171"/>
  <c r="AA170"/>
  <c r="U170"/>
  <c r="K170"/>
  <c r="AA169"/>
  <c r="U169"/>
  <c r="K169"/>
  <c r="AA168"/>
  <c r="U168"/>
  <c r="K168"/>
  <c r="AA167"/>
  <c r="U167"/>
  <c r="K167"/>
  <c r="AA166"/>
  <c r="U166"/>
  <c r="K166"/>
  <c r="AA165"/>
  <c r="U165"/>
  <c r="K165"/>
  <c r="AA164"/>
  <c r="U164"/>
  <c r="K164"/>
  <c r="AA163"/>
  <c r="U163"/>
  <c r="K163"/>
  <c r="AA162"/>
  <c r="U162"/>
  <c r="K162"/>
  <c r="AA161"/>
  <c r="U161"/>
  <c r="K161"/>
  <c r="AA160"/>
  <c r="U160"/>
  <c r="K160"/>
  <c r="AA159"/>
  <c r="U159"/>
  <c r="K159"/>
  <c r="AA158"/>
  <c r="U158"/>
  <c r="K158"/>
  <c r="AA157"/>
  <c r="U157"/>
  <c r="K157"/>
  <c r="AA156"/>
  <c r="U156"/>
  <c r="K156"/>
  <c r="AA155"/>
  <c r="U155"/>
  <c r="K155"/>
  <c r="AA154"/>
  <c r="U154"/>
  <c r="K154"/>
  <c r="AA153"/>
  <c r="U153"/>
  <c r="K153"/>
  <c r="AA152"/>
  <c r="U152"/>
  <c r="K152"/>
  <c r="AA151"/>
  <c r="U151"/>
  <c r="K151"/>
  <c r="U150"/>
  <c r="K150"/>
  <c r="U149"/>
  <c r="K149"/>
  <c r="U148"/>
  <c r="K148"/>
  <c r="U147"/>
  <c r="K147"/>
  <c r="U146"/>
  <c r="K146"/>
  <c r="U145"/>
  <c r="K145"/>
  <c r="U144"/>
  <c r="K144"/>
  <c r="U143"/>
  <c r="K143"/>
  <c r="U142"/>
  <c r="K142"/>
  <c r="U141"/>
  <c r="K141"/>
  <c r="U140"/>
  <c r="K140"/>
  <c r="U139"/>
  <c r="K139"/>
  <c r="U138"/>
  <c r="K138"/>
  <c r="U137"/>
  <c r="K137"/>
  <c r="U136"/>
  <c r="K136"/>
  <c r="U135"/>
  <c r="K135"/>
  <c r="U134"/>
  <c r="K134"/>
  <c r="U133"/>
  <c r="K133"/>
  <c r="U132"/>
  <c r="K132"/>
  <c r="U131"/>
  <c r="K131"/>
  <c r="U130"/>
  <c r="K130"/>
  <c r="U129"/>
  <c r="K129"/>
  <c r="U128"/>
  <c r="K128"/>
  <c r="U127"/>
  <c r="K127"/>
  <c r="U126"/>
  <c r="K126"/>
  <c r="U125"/>
  <c r="K125"/>
  <c r="U124"/>
  <c r="K124"/>
  <c r="U123"/>
  <c r="K123"/>
  <c r="U120"/>
  <c r="K120"/>
  <c r="U119"/>
  <c r="K119"/>
  <c r="U118"/>
  <c r="K118"/>
  <c r="U117"/>
  <c r="K117"/>
  <c r="U116"/>
  <c r="K116"/>
  <c r="U115"/>
  <c r="K115"/>
  <c r="U114"/>
  <c r="K114"/>
  <c r="U113"/>
  <c r="K113"/>
  <c r="U112"/>
  <c r="K112"/>
  <c r="U111"/>
  <c r="K111"/>
  <c r="U110"/>
  <c r="K110"/>
  <c r="U109"/>
  <c r="K109"/>
  <c r="U108"/>
  <c r="K108"/>
  <c r="U107"/>
  <c r="K107"/>
  <c r="U106"/>
  <c r="K106"/>
  <c r="U105"/>
  <c r="K105"/>
  <c r="U104"/>
  <c r="K104"/>
  <c r="U103"/>
  <c r="K103"/>
  <c r="U102"/>
  <c r="K102"/>
  <c r="U101"/>
  <c r="K101"/>
  <c r="U100"/>
  <c r="K100"/>
  <c r="U99"/>
  <c r="K99"/>
  <c r="U98"/>
  <c r="K98"/>
  <c r="U97"/>
  <c r="K97"/>
  <c r="U96"/>
  <c r="K96"/>
  <c r="U95"/>
  <c r="K95"/>
  <c r="U94"/>
  <c r="K94"/>
  <c r="U93"/>
  <c r="K93"/>
  <c r="U92"/>
  <c r="K92"/>
  <c r="U91"/>
  <c r="K91"/>
  <c r="U90"/>
  <c r="K90"/>
  <c r="U89"/>
  <c r="K89"/>
  <c r="U88"/>
  <c r="K88"/>
  <c r="U87"/>
  <c r="K87"/>
  <c r="U86"/>
  <c r="K86"/>
  <c r="U85"/>
  <c r="K85"/>
  <c r="U84"/>
  <c r="K84"/>
  <c r="U83"/>
  <c r="K83"/>
  <c r="U82"/>
  <c r="K82"/>
  <c r="U81"/>
  <c r="K81"/>
  <c r="U80"/>
  <c r="K80"/>
  <c r="U79"/>
  <c r="K79"/>
  <c r="U78"/>
  <c r="K78"/>
  <c r="U77"/>
  <c r="K77"/>
  <c r="U76"/>
  <c r="K76"/>
  <c r="U75"/>
  <c r="K75"/>
  <c r="U74"/>
  <c r="K74"/>
  <c r="U73"/>
  <c r="K73"/>
  <c r="U72"/>
  <c r="K72"/>
  <c r="U71"/>
  <c r="K71"/>
  <c r="K70"/>
  <c r="U69"/>
  <c r="K69"/>
  <c r="U68"/>
  <c r="K68"/>
  <c r="U67"/>
  <c r="K67"/>
  <c r="U66"/>
  <c r="K66"/>
  <c r="U65"/>
  <c r="U64"/>
  <c r="U63"/>
  <c r="U62"/>
  <c r="U59"/>
  <c r="K59"/>
  <c r="U58"/>
  <c r="K58"/>
  <c r="U57"/>
  <c r="K57"/>
  <c r="U56"/>
  <c r="K56"/>
  <c r="U55"/>
  <c r="K55"/>
  <c r="U54"/>
  <c r="K54"/>
  <c r="U53"/>
  <c r="K53"/>
  <c r="U52"/>
  <c r="K52"/>
  <c r="U51"/>
  <c r="K51"/>
  <c r="U50"/>
  <c r="K50"/>
  <c r="U49"/>
  <c r="K49"/>
  <c r="U48"/>
  <c r="K48"/>
  <c r="U47"/>
  <c r="K47"/>
  <c r="U46"/>
  <c r="K46"/>
  <c r="U45"/>
  <c r="K45"/>
  <c r="U44"/>
  <c r="K44"/>
  <c r="U43"/>
  <c r="K43"/>
  <c r="U42"/>
  <c r="K42"/>
  <c r="U41"/>
  <c r="K41"/>
  <c r="U40"/>
  <c r="K40"/>
  <c r="U39"/>
  <c r="K39"/>
  <c r="U38"/>
  <c r="K38"/>
  <c r="U37"/>
  <c r="K37"/>
  <c r="U36"/>
  <c r="K36"/>
  <c r="U35"/>
  <c r="K35"/>
  <c r="U34"/>
  <c r="K34"/>
  <c r="U28"/>
  <c r="K28"/>
  <c r="U26"/>
  <c r="K26"/>
  <c r="U24"/>
  <c r="K24"/>
  <c r="U33"/>
  <c r="K33"/>
  <c r="U32"/>
  <c r="K32"/>
  <c r="U20"/>
  <c r="K20"/>
  <c r="U31"/>
  <c r="K31"/>
  <c r="U30"/>
  <c r="K30"/>
  <c r="U29"/>
  <c r="K29"/>
  <c r="U27"/>
  <c r="K27"/>
  <c r="U25"/>
  <c r="K25"/>
  <c r="U23"/>
  <c r="K23"/>
  <c r="U21"/>
  <c r="K21"/>
  <c r="U19"/>
  <c r="K19"/>
  <c r="U18"/>
  <c r="K18"/>
  <c r="U17"/>
  <c r="K17"/>
  <c r="U16"/>
  <c r="K16"/>
  <c r="U15"/>
  <c r="K15"/>
  <c r="U14"/>
  <c r="K14"/>
  <c r="U13"/>
  <c r="K13"/>
  <c r="U12"/>
  <c r="K12"/>
  <c r="U11"/>
  <c r="K11"/>
  <c r="AG69" i="5" l="1"/>
  <c r="AG53"/>
  <c r="AK53" s="1"/>
  <c r="AG64"/>
  <c r="AG82"/>
  <c r="AK82" s="1"/>
  <c r="AG67"/>
  <c r="AK67" s="1"/>
  <c r="AK14"/>
  <c r="AE45"/>
  <c r="AG45" s="1"/>
  <c r="AK45" s="1"/>
  <c r="AG84"/>
  <c r="AK84" s="1"/>
  <c r="AG46"/>
  <c r="AK46" s="1"/>
  <c r="AG123"/>
  <c r="AK123" s="1"/>
  <c r="AG34"/>
  <c r="AK34" s="1"/>
  <c r="AG24"/>
  <c r="AK24" s="1"/>
  <c r="AG37"/>
  <c r="AK37" s="1"/>
  <c r="AG20"/>
  <c r="AK20" s="1"/>
  <c r="AG19"/>
  <c r="AK19" s="1"/>
  <c r="AE117"/>
  <c r="AG117" s="1"/>
  <c r="AK117" s="1"/>
  <c r="AG29"/>
  <c r="AK29" s="1"/>
  <c r="AG21"/>
  <c r="AK21" s="1"/>
  <c r="AG73"/>
  <c r="AK73" s="1"/>
  <c r="AG27"/>
  <c r="AK27" s="1"/>
  <c r="AG22"/>
  <c r="AK22" s="1"/>
  <c r="AE32"/>
  <c r="AG32" s="1"/>
  <c r="AK32" s="1"/>
  <c r="AG112"/>
  <c r="AK112" s="1"/>
  <c r="AG57"/>
  <c r="AK57" s="1"/>
  <c r="AG70"/>
  <c r="AK70" s="1"/>
  <c r="AG43"/>
  <c r="AK43" s="1"/>
  <c r="AG41"/>
  <c r="AK41" s="1"/>
  <c r="AG39"/>
  <c r="AK39" s="1"/>
  <c r="AK15"/>
  <c r="AG18"/>
  <c r="AK18" s="1"/>
  <c r="AG87"/>
  <c r="AK87" s="1"/>
  <c r="AG127"/>
  <c r="AK127" s="1"/>
  <c r="AG92"/>
  <c r="AK92" s="1"/>
  <c r="AG93"/>
  <c r="AK93" s="1"/>
  <c r="AG108"/>
  <c r="AK108" s="1"/>
  <c r="AG111"/>
  <c r="AK111" s="1"/>
  <c r="AG113"/>
  <c r="AK113" s="1"/>
  <c r="AG115"/>
  <c r="AK115" s="1"/>
  <c r="AG120"/>
  <c r="AK120" s="1"/>
  <c r="AG122"/>
  <c r="AK122" s="1"/>
  <c r="AG86"/>
  <c r="AK86" s="1"/>
  <c r="AG88"/>
  <c r="AK88" s="1"/>
  <c r="AG90"/>
  <c r="AK90" s="1"/>
  <c r="AG107"/>
  <c r="AK107" s="1"/>
  <c r="AG109"/>
  <c r="AK109" s="1"/>
  <c r="AG114"/>
  <c r="AK114" s="1"/>
  <c r="AG116"/>
  <c r="AK116" s="1"/>
  <c r="AG119"/>
  <c r="AK119" s="1"/>
  <c r="AG121"/>
  <c r="AK121" s="1"/>
  <c r="AG16"/>
  <c r="AK16" s="1"/>
  <c r="AG23"/>
  <c r="AK23" s="1"/>
  <c r="AG38"/>
  <c r="AK38" s="1"/>
  <c r="AG25"/>
  <c r="AK25" s="1"/>
  <c r="AK28"/>
  <c r="AG30"/>
  <c r="AK30" s="1"/>
  <c r="AG33"/>
  <c r="AK33" s="1"/>
  <c r="AG35"/>
  <c r="AK35" s="1"/>
  <c r="AG40"/>
  <c r="AK40" s="1"/>
  <c r="AG42"/>
  <c r="AK42" s="1"/>
  <c r="AG44"/>
  <c r="AK44" s="1"/>
  <c r="AG66"/>
  <c r="AK66" s="1"/>
  <c r="AG81"/>
  <c r="AK81" s="1"/>
  <c r="AG47"/>
  <c r="AK47" s="1"/>
  <c r="AG51"/>
  <c r="AK51" s="1"/>
  <c r="AG52"/>
  <c r="AK52" s="1"/>
  <c r="AG55"/>
  <c r="AK55" s="1"/>
  <c r="AG59"/>
  <c r="AK59" s="1"/>
  <c r="AG61"/>
  <c r="AK61" s="1"/>
  <c r="AG68"/>
  <c r="AK68" s="1"/>
  <c r="AG72"/>
  <c r="AK72" s="1"/>
  <c r="AG74"/>
  <c r="AK74" s="1"/>
  <c r="AG77"/>
  <c r="AK77" s="1"/>
  <c r="AG83"/>
  <c r="AK83" s="1"/>
  <c r="AK78"/>
  <c r="AK75"/>
  <c r="AK71"/>
  <c r="AK69"/>
  <c r="AK65"/>
  <c r="AK64"/>
  <c r="AK60"/>
  <c r="AK50"/>
  <c r="AK56"/>
  <c r="AC380" i="6"/>
  <c r="AC408"/>
  <c r="AC414"/>
  <c r="AC444"/>
  <c r="AC446"/>
  <c r="AC459"/>
  <c r="AC461"/>
  <c r="AC519"/>
  <c r="AC194"/>
  <c r="AC379"/>
  <c r="AC381"/>
  <c r="AC413"/>
  <c r="AC415"/>
  <c r="AC445"/>
  <c r="AC456"/>
  <c r="AC460"/>
  <c r="AC506"/>
  <c r="AC531"/>
  <c r="AC159"/>
  <c r="AC165"/>
  <c r="AC175"/>
  <c r="AC177"/>
  <c r="AC179"/>
  <c r="AC181"/>
  <c r="AC183"/>
  <c r="AC210"/>
  <c r="AC212"/>
  <c r="AC214"/>
  <c r="AC216"/>
  <c r="AC239"/>
  <c r="AC361"/>
  <c r="AC363"/>
  <c r="AC369"/>
  <c r="AC371"/>
  <c r="AC398"/>
  <c r="AC426"/>
  <c r="AC432"/>
  <c r="AC472"/>
  <c r="AC474"/>
  <c r="AC476"/>
  <c r="AC478"/>
  <c r="AC480"/>
  <c r="AC490"/>
  <c r="AC496"/>
  <c r="AC498"/>
  <c r="AC542"/>
  <c r="AC560"/>
  <c r="AC550"/>
  <c r="AC554"/>
  <c r="AC556"/>
  <c r="AC575"/>
  <c r="AC238"/>
  <c r="AC240"/>
  <c r="AC253"/>
  <c r="AC255"/>
  <c r="AC304"/>
  <c r="AC350"/>
  <c r="AC352"/>
  <c r="AC362"/>
  <c r="AC489"/>
  <c r="AC574"/>
  <c r="AC576"/>
  <c r="AC176"/>
  <c r="AC178"/>
  <c r="AC180"/>
  <c r="AC182"/>
  <c r="AC209"/>
  <c r="AC211"/>
  <c r="AC213"/>
  <c r="AC215"/>
  <c r="AC217"/>
  <c r="AC254"/>
  <c r="AC267"/>
  <c r="AC341"/>
  <c r="AC351"/>
  <c r="AC353"/>
  <c r="AC370"/>
  <c r="AC397"/>
  <c r="AC425"/>
  <c r="AC427"/>
  <c r="AC471"/>
  <c r="AC473"/>
  <c r="AC475"/>
  <c r="AC477"/>
  <c r="AC479"/>
  <c r="AC481"/>
  <c r="AC497"/>
  <c r="AC541"/>
  <c r="AC543"/>
  <c r="AC568"/>
  <c r="AC205"/>
  <c r="AC244"/>
  <c r="AC251"/>
  <c r="AC399"/>
  <c r="AC423"/>
  <c r="AC435"/>
  <c r="AC467"/>
  <c r="AC494"/>
  <c r="AC508"/>
  <c r="AC523"/>
  <c r="AC527"/>
  <c r="AC229"/>
  <c r="AC262"/>
  <c r="AC269"/>
  <c r="AC271"/>
  <c r="AC291"/>
  <c r="AC293"/>
  <c r="AC295"/>
  <c r="AC316"/>
  <c r="AC318"/>
  <c r="AC320"/>
  <c r="AC357"/>
  <c r="AC377"/>
  <c r="AC534"/>
  <c r="AC563"/>
  <c r="AC572"/>
  <c r="AC263"/>
  <c r="AC270"/>
  <c r="AC276"/>
  <c r="AC292"/>
  <c r="AC294"/>
  <c r="AC302"/>
  <c r="AC317"/>
  <c r="AC319"/>
  <c r="AC337"/>
  <c r="AC367"/>
  <c r="AC395"/>
  <c r="AC434"/>
  <c r="AC436"/>
  <c r="AC485"/>
  <c r="AC504"/>
  <c r="AC509"/>
  <c r="AC526"/>
  <c r="AC533"/>
  <c r="AC539"/>
  <c r="AC555"/>
  <c r="AC562"/>
  <c r="AC564"/>
  <c r="AC187"/>
  <c r="AC248"/>
  <c r="AC154"/>
  <c r="AC155"/>
  <c r="AC156"/>
  <c r="AC157"/>
  <c r="AC158"/>
  <c r="AC185"/>
  <c r="AC186"/>
  <c r="AC201"/>
  <c r="AC204"/>
  <c r="AC223"/>
  <c r="AC224"/>
  <c r="AC225"/>
  <c r="AC226"/>
  <c r="AC227"/>
  <c r="AC228"/>
  <c r="AC242"/>
  <c r="AC243"/>
  <c r="AC250"/>
  <c r="AC265"/>
  <c r="AC266"/>
  <c r="AC274"/>
  <c r="AC275"/>
  <c r="AC300"/>
  <c r="AC301"/>
  <c r="AC335"/>
  <c r="AC336"/>
  <c r="AC355"/>
  <c r="AC356"/>
  <c r="AC365"/>
  <c r="AC366"/>
  <c r="AC373"/>
  <c r="AC376"/>
  <c r="AC389"/>
  <c r="AC392"/>
  <c r="AC393"/>
  <c r="AC394"/>
  <c r="AC406"/>
  <c r="AC407"/>
  <c r="AC417"/>
  <c r="AC422"/>
  <c r="AC430"/>
  <c r="AC431"/>
  <c r="AC440"/>
  <c r="AC441"/>
  <c r="AC442"/>
  <c r="AC453"/>
  <c r="AC454"/>
  <c r="U455"/>
  <c r="AC455" s="1"/>
  <c r="AC465"/>
  <c r="AC466"/>
  <c r="AC483"/>
  <c r="AC484"/>
  <c r="AC492"/>
  <c r="AC493"/>
  <c r="AC502"/>
  <c r="AC503"/>
  <c r="AC517"/>
  <c r="AC518"/>
  <c r="AC529"/>
  <c r="AC530"/>
  <c r="AC557"/>
  <c r="AC558"/>
  <c r="AC559"/>
  <c r="AC569"/>
  <c r="AC570"/>
  <c r="AC571"/>
  <c r="AC535"/>
  <c r="AC536"/>
  <c r="AC537"/>
  <c r="AC538"/>
  <c r="AC547"/>
  <c r="AC549"/>
  <c r="AC151"/>
  <c r="AC152"/>
  <c r="AC153"/>
  <c r="AC164"/>
  <c r="AC184"/>
  <c r="AC188"/>
  <c r="AC198"/>
  <c r="AC199"/>
  <c r="AC200"/>
  <c r="AC208"/>
  <c r="AC218"/>
  <c r="AC219"/>
  <c r="AC220"/>
  <c r="AC221"/>
  <c r="AC222"/>
  <c r="AC234"/>
  <c r="AC235"/>
  <c r="AC236"/>
  <c r="AC237"/>
  <c r="AC241"/>
  <c r="AC252"/>
  <c r="AC258"/>
  <c r="AC261"/>
  <c r="AC264"/>
  <c r="AC268"/>
  <c r="AC272"/>
  <c r="AC273"/>
  <c r="AC279"/>
  <c r="AC280"/>
  <c r="AC281"/>
  <c r="AC282"/>
  <c r="AC283"/>
  <c r="AC284"/>
  <c r="AC285"/>
  <c r="AC286"/>
  <c r="AC287"/>
  <c r="AC288"/>
  <c r="AC289"/>
  <c r="AC290"/>
  <c r="AC296"/>
  <c r="AC297"/>
  <c r="AC298"/>
  <c r="AC299"/>
  <c r="AC303"/>
  <c r="AC321"/>
  <c r="AC322"/>
  <c r="AC323"/>
  <c r="AC324"/>
  <c r="AC325"/>
  <c r="AC326"/>
  <c r="AC329"/>
  <c r="AC330"/>
  <c r="AC331"/>
  <c r="AC332"/>
  <c r="AC333"/>
  <c r="AC334"/>
  <c r="AC340"/>
  <c r="AC354"/>
  <c r="AC360"/>
  <c r="AC364"/>
  <c r="AC368"/>
  <c r="AC372"/>
  <c r="AC378"/>
  <c r="AC383"/>
  <c r="AC384"/>
  <c r="AC385"/>
  <c r="AC386"/>
  <c r="AC387"/>
  <c r="AC388"/>
  <c r="AC396"/>
  <c r="AC401"/>
  <c r="AC404"/>
  <c r="AC405"/>
  <c r="AC409"/>
  <c r="AC410"/>
  <c r="AC411"/>
  <c r="AC412"/>
  <c r="AC416"/>
  <c r="AC424"/>
  <c r="AC428"/>
  <c r="AC429"/>
  <c r="AC433"/>
  <c r="AC439"/>
  <c r="AC443"/>
  <c r="AC450"/>
  <c r="AC451"/>
  <c r="AC452"/>
  <c r="AC458"/>
  <c r="AC464"/>
  <c r="AC468"/>
  <c r="AC482"/>
  <c r="AC486"/>
  <c r="AC487"/>
  <c r="AC488"/>
  <c r="AC491"/>
  <c r="AC495"/>
  <c r="AC499"/>
  <c r="AC500"/>
  <c r="AC501"/>
  <c r="AC505"/>
  <c r="AC510"/>
  <c r="AC511"/>
  <c r="AC512"/>
  <c r="AC513"/>
  <c r="AC514"/>
  <c r="AC515"/>
  <c r="AC516"/>
  <c r="AC520"/>
  <c r="AC521"/>
  <c r="AC522"/>
  <c r="AC528"/>
  <c r="AC532"/>
  <c r="AC540"/>
  <c r="AC546"/>
  <c r="AC553"/>
  <c r="AC561"/>
  <c r="AC565"/>
  <c r="AC566"/>
  <c r="AC567"/>
  <c r="AC573"/>
  <c r="AC160"/>
  <c r="AC161"/>
  <c r="AC162"/>
  <c r="AC163"/>
  <c r="AC166"/>
  <c r="AC167"/>
  <c r="AC168"/>
  <c r="AC169"/>
  <c r="AC170"/>
  <c r="AC171"/>
  <c r="AC173"/>
  <c r="AC174"/>
  <c r="AC192"/>
  <c r="AC193"/>
  <c r="AC196"/>
  <c r="AC197"/>
  <c r="AC202"/>
  <c r="AC203"/>
  <c r="AC206"/>
  <c r="AC207"/>
  <c r="AC230"/>
  <c r="AC231"/>
  <c r="AC232"/>
  <c r="AC233"/>
  <c r="AC245"/>
  <c r="AC246"/>
  <c r="AC247"/>
  <c r="AC256"/>
  <c r="AC257"/>
  <c r="AC277"/>
  <c r="AC278"/>
  <c r="AC305"/>
  <c r="AC306"/>
  <c r="AC307"/>
  <c r="AC308"/>
  <c r="AC309"/>
  <c r="AC310"/>
  <c r="AC311"/>
  <c r="AC312"/>
  <c r="AC313"/>
  <c r="AC314"/>
  <c r="AC315"/>
  <c r="AC338"/>
  <c r="AC339"/>
  <c r="AC342"/>
  <c r="AC343"/>
  <c r="AC344"/>
  <c r="AC345"/>
  <c r="AC346"/>
  <c r="AC347"/>
  <c r="AC348"/>
  <c r="AC349"/>
  <c r="AC358"/>
  <c r="AC359"/>
  <c r="AC374"/>
  <c r="AC375"/>
  <c r="AC382"/>
  <c r="AC390"/>
  <c r="AC391"/>
  <c r="AC400"/>
  <c r="AC418"/>
  <c r="AC419"/>
  <c r="AC420"/>
  <c r="AC421"/>
  <c r="AC437"/>
  <c r="AC438"/>
  <c r="AC447"/>
  <c r="AC448"/>
  <c r="AC449"/>
  <c r="AC457"/>
  <c r="AC462"/>
  <c r="AC463"/>
  <c r="AC507"/>
  <c r="AC524"/>
  <c r="AC525"/>
  <c r="AC548"/>
  <c r="AC551"/>
  <c r="AC552"/>
  <c r="AC172"/>
  <c r="AA233"/>
  <c r="K249"/>
  <c r="AF265" i="3"/>
  <c r="AF186"/>
  <c r="AF59"/>
  <c r="AF293"/>
  <c r="AF210"/>
  <c r="AF178"/>
  <c r="AF175"/>
  <c r="AF147"/>
  <c r="AF207"/>
  <c r="AF62"/>
  <c r="AF132"/>
  <c r="AF47"/>
  <c r="AF158"/>
  <c r="AF66"/>
  <c r="AF174"/>
  <c r="AF161"/>
  <c r="AF141"/>
  <c r="AF225"/>
  <c r="AF206"/>
  <c r="AF52"/>
  <c r="AF139"/>
  <c r="AF308"/>
  <c r="AF112"/>
  <c r="AF192"/>
  <c r="AF189"/>
  <c r="AF137"/>
  <c r="AF45"/>
  <c r="AF67"/>
  <c r="AF184"/>
  <c r="AF197"/>
  <c r="AF217"/>
  <c r="AF127"/>
  <c r="AF24"/>
  <c r="AF219"/>
  <c r="AF131"/>
  <c r="AF22"/>
  <c r="AF299"/>
  <c r="AF226"/>
  <c r="AF275"/>
  <c r="AF237"/>
  <c r="AF176"/>
  <c r="AF23"/>
  <c r="AF51"/>
  <c r="AF292"/>
  <c r="AF209"/>
  <c r="AF80"/>
  <c r="AF228"/>
  <c r="AF253"/>
  <c r="AF70"/>
  <c r="AF305"/>
  <c r="AF120"/>
  <c r="AF109"/>
  <c r="AF73"/>
  <c r="AF296"/>
  <c r="AF68"/>
  <c r="AF303"/>
  <c r="AF259"/>
  <c r="AF203"/>
  <c r="AF182"/>
  <c r="AF56"/>
  <c r="AF48"/>
  <c r="AF269"/>
  <c r="AF173"/>
  <c r="AF35"/>
  <c r="AF270"/>
  <c r="AF31"/>
  <c r="AF201"/>
  <c r="AF254"/>
  <c r="AF142"/>
  <c r="AF125"/>
  <c r="AF122"/>
  <c r="AF116"/>
  <c r="AF79"/>
  <c r="AH267" i="4"/>
  <c r="AH222"/>
  <c r="AH188"/>
  <c r="AH84"/>
  <c r="AH60"/>
  <c r="AH193"/>
  <c r="AH212"/>
  <c r="AH180"/>
  <c r="AH177"/>
  <c r="AH63"/>
  <c r="AH34"/>
  <c r="AH192"/>
  <c r="AH181"/>
  <c r="AH226"/>
  <c r="AH208"/>
  <c r="AH53"/>
  <c r="AH310"/>
  <c r="AH194"/>
  <c r="AH191"/>
  <c r="AH257"/>
  <c r="AH68"/>
  <c r="AH186"/>
  <c r="AH232"/>
  <c r="AH219"/>
  <c r="AH25"/>
  <c r="AH221"/>
  <c r="AH23"/>
  <c r="AH301"/>
  <c r="AH228"/>
  <c r="AH277"/>
  <c r="AH254"/>
  <c r="AH52"/>
  <c r="AH294"/>
  <c r="AH211"/>
  <c r="AH81"/>
  <c r="AH230"/>
  <c r="AH255"/>
  <c r="AH308"/>
  <c r="AH307"/>
  <c r="AH74"/>
  <c r="AH298"/>
  <c r="AH305"/>
  <c r="AH261"/>
  <c r="AH205"/>
  <c r="AH262"/>
  <c r="AH184"/>
  <c r="AH57"/>
  <c r="AH49"/>
  <c r="AH271"/>
  <c r="AH175"/>
  <c r="AH36"/>
  <c r="AH272"/>
  <c r="AH32"/>
  <c r="AH203"/>
  <c r="AH256"/>
  <c r="AH31"/>
  <c r="AH80"/>
  <c r="AH44"/>
  <c r="AF164" i="2"/>
  <c r="AF16"/>
  <c r="AF111"/>
  <c r="AF136"/>
  <c r="AF108"/>
  <c r="AF147"/>
  <c r="AF162"/>
  <c r="AF141"/>
  <c r="AF124"/>
  <c r="AF121"/>
  <c r="AF115"/>
  <c r="AH10" i="1"/>
  <c r="AH12"/>
  <c r="AH14"/>
  <c r="AH15"/>
  <c r="AH11"/>
  <c r="AH13"/>
  <c r="AH18"/>
  <c r="AH17"/>
  <c r="AH9"/>
  <c r="AH216" i="4"/>
  <c r="AF15" i="2"/>
  <c r="AH16" i="1"/>
  <c r="AF283" i="3"/>
  <c r="AH285" i="4"/>
  <c r="AF282" i="3"/>
  <c r="AH284" i="4"/>
  <c r="AF280" i="3"/>
  <c r="AF271"/>
  <c r="AF267"/>
  <c r="AH269" i="4"/>
  <c r="AH268"/>
  <c r="AH264"/>
  <c r="AF257" i="3"/>
  <c r="AH236" i="4"/>
  <c r="AH235"/>
  <c r="AF234" i="3"/>
  <c r="AF233"/>
  <c r="AF16"/>
  <c r="AH220" i="4"/>
  <c r="AH215"/>
  <c r="AF204" i="3"/>
  <c r="AF12"/>
  <c r="AF202"/>
  <c r="AH204" i="4"/>
  <c r="AF200" i="3"/>
  <c r="AH202" i="4"/>
  <c r="AF199" i="3"/>
  <c r="AH201" i="4"/>
  <c r="AF196" i="3"/>
  <c r="AH198" i="4"/>
  <c r="AF194" i="3"/>
  <c r="AH196" i="4"/>
  <c r="AF187" i="3"/>
  <c r="AF181"/>
  <c r="AH183" i="4"/>
  <c r="AF145" i="3"/>
  <c r="AF144" i="2"/>
  <c r="AF140" i="3"/>
  <c r="AF124"/>
  <c r="AF118" i="2"/>
  <c r="AH299" i="4"/>
  <c r="AO109" i="2"/>
  <c r="AH10" i="4"/>
  <c r="AF9" i="3"/>
  <c r="AF8" i="2"/>
  <c r="AH66" i="4"/>
  <c r="AF63" i="3"/>
  <c r="AH64" i="4"/>
  <c r="AF50" i="3"/>
  <c r="AF21"/>
  <c r="AH71" i="4"/>
  <c r="AF33" i="3"/>
  <c r="AF198"/>
  <c r="AF195"/>
  <c r="AF193"/>
  <c r="AF18"/>
  <c r="AF191"/>
  <c r="AF190"/>
  <c r="AF188"/>
  <c r="AF183"/>
  <c r="AF180"/>
  <c r="AF179"/>
  <c r="AH200" i="4"/>
  <c r="AH199"/>
  <c r="AH197"/>
  <c r="AH195"/>
  <c r="AH19"/>
  <c r="AH190"/>
  <c r="AH189"/>
  <c r="AH185"/>
  <c r="AH182"/>
  <c r="AF17" i="2"/>
  <c r="AF177" i="3"/>
  <c r="AF172"/>
  <c r="AF160"/>
  <c r="AF159"/>
  <c r="AF157"/>
  <c r="AF156"/>
  <c r="AF155"/>
  <c r="AF154"/>
  <c r="AF153"/>
  <c r="AF152"/>
  <c r="AF150"/>
  <c r="AF149"/>
  <c r="AF148"/>
  <c r="AF146"/>
  <c r="AF144"/>
  <c r="AF143"/>
  <c r="AF138"/>
  <c r="AF136"/>
  <c r="AF135"/>
  <c r="AF134"/>
  <c r="AF133"/>
  <c r="AF130"/>
  <c r="AF129"/>
  <c r="AF128"/>
  <c r="AF126"/>
  <c r="AF123"/>
  <c r="AH179" i="4"/>
  <c r="AH178"/>
  <c r="AH176"/>
  <c r="AF175" i="2"/>
  <c r="AF165"/>
  <c r="AF163"/>
  <c r="AF161"/>
  <c r="AF160"/>
  <c r="AF159"/>
  <c r="AF158"/>
  <c r="AF157"/>
  <c r="AF156"/>
  <c r="AF154"/>
  <c r="AF153"/>
  <c r="AF152"/>
  <c r="AF151"/>
  <c r="AF149"/>
  <c r="AF148"/>
  <c r="AF146"/>
  <c r="AF145"/>
  <c r="AF143"/>
  <c r="AF142"/>
  <c r="AF140"/>
  <c r="AF138"/>
  <c r="AF137"/>
  <c r="AF135"/>
  <c r="AF134"/>
  <c r="AF133"/>
  <c r="AF132"/>
  <c r="AF131"/>
  <c r="AF130"/>
  <c r="AF129"/>
  <c r="AF128"/>
  <c r="AF127"/>
  <c r="AF126"/>
  <c r="AF125"/>
  <c r="AF123"/>
  <c r="AF122"/>
  <c r="AF121" i="3"/>
  <c r="AF119"/>
  <c r="AF118"/>
  <c r="AF115"/>
  <c r="AF17"/>
  <c r="AF114"/>
  <c r="AF111"/>
  <c r="AF110"/>
  <c r="AF108"/>
  <c r="AF107"/>
  <c r="AF106"/>
  <c r="AF229"/>
  <c r="AF103"/>
  <c r="AF278"/>
  <c r="AF100"/>
  <c r="AF99"/>
  <c r="AF98"/>
  <c r="AF97"/>
  <c r="AF96"/>
  <c r="AF84"/>
  <c r="AF83"/>
  <c r="AF82"/>
  <c r="AF81"/>
  <c r="AF78"/>
  <c r="AF77"/>
  <c r="AF76"/>
  <c r="AF74"/>
  <c r="AF72"/>
  <c r="AF71"/>
  <c r="AF69"/>
  <c r="AF65"/>
  <c r="AF64"/>
  <c r="AF61"/>
  <c r="AF58"/>
  <c r="AF57"/>
  <c r="AF55"/>
  <c r="AF54"/>
  <c r="AF53"/>
  <c r="AF49"/>
  <c r="AF44"/>
  <c r="AF43"/>
  <c r="AF42"/>
  <c r="AF41"/>
  <c r="AF40"/>
  <c r="AF39"/>
  <c r="AF38"/>
  <c r="AF37"/>
  <c r="AF36"/>
  <c r="AF34"/>
  <c r="AF32"/>
  <c r="AF30"/>
  <c r="AF29"/>
  <c r="AF28"/>
  <c r="AF27"/>
  <c r="AF26"/>
  <c r="AF25"/>
  <c r="AF20"/>
  <c r="AF19"/>
  <c r="AH18" i="4"/>
  <c r="AH231"/>
  <c r="AH280"/>
  <c r="AH85"/>
  <c r="AH83"/>
  <c r="AH82"/>
  <c r="AH79"/>
  <c r="AH78"/>
  <c r="AH77"/>
  <c r="AH75"/>
  <c r="AH73"/>
  <c r="AH72"/>
  <c r="AH70"/>
  <c r="AH67"/>
  <c r="AH65"/>
  <c r="AH62"/>
  <c r="AH59"/>
  <c r="AH58"/>
  <c r="AH55"/>
  <c r="AH54"/>
  <c r="AH50"/>
  <c r="AH48"/>
  <c r="AH46"/>
  <c r="AH45"/>
  <c r="AH43"/>
  <c r="AH42"/>
  <c r="AH41"/>
  <c r="AH40"/>
  <c r="AH39"/>
  <c r="AH38"/>
  <c r="AH37"/>
  <c r="AH35"/>
  <c r="AH33"/>
  <c r="AH30"/>
  <c r="AH29"/>
  <c r="AH28"/>
  <c r="AH27"/>
  <c r="AH26"/>
  <c r="AH24"/>
  <c r="AH21"/>
  <c r="AH20"/>
  <c r="AF120" i="2"/>
  <c r="AF119"/>
  <c r="AF117"/>
  <c r="AF114"/>
  <c r="AF113"/>
  <c r="AF110"/>
  <c r="AF109"/>
  <c r="AF107"/>
  <c r="AF106"/>
  <c r="AF105"/>
  <c r="AF103"/>
  <c r="AF102"/>
  <c r="AF99"/>
  <c r="AF98"/>
  <c r="AF97"/>
  <c r="AF307" i="3"/>
  <c r="AF306"/>
  <c r="AF304"/>
  <c r="AF302"/>
  <c r="AF301"/>
  <c r="AF300"/>
  <c r="AF298"/>
  <c r="AF295"/>
  <c r="AF294"/>
  <c r="AF291"/>
  <c r="AF290"/>
  <c r="AF289"/>
  <c r="AF287"/>
  <c r="AF10"/>
  <c r="AF285"/>
  <c r="AF284"/>
  <c r="AF281"/>
  <c r="AF279"/>
  <c r="AF276"/>
  <c r="AF274"/>
  <c r="AF273"/>
  <c r="AF272"/>
  <c r="AF268"/>
  <c r="AF14"/>
  <c r="AF266"/>
  <c r="AF264"/>
  <c r="AF263"/>
  <c r="AF262"/>
  <c r="AF261"/>
  <c r="AF260"/>
  <c r="AF258"/>
  <c r="AF256"/>
  <c r="AF255"/>
  <c r="AF252"/>
  <c r="AF251"/>
  <c r="AF250"/>
  <c r="AF235"/>
  <c r="AF231"/>
  <c r="AF230"/>
  <c r="AF224"/>
  <c r="AF223"/>
  <c r="AF222"/>
  <c r="AF15"/>
  <c r="AF221"/>
  <c r="AF220"/>
  <c r="AF218"/>
  <c r="AF11"/>
  <c r="AF216"/>
  <c r="AF215"/>
  <c r="AF214"/>
  <c r="AF213"/>
  <c r="AF211"/>
  <c r="AF13"/>
  <c r="AF208"/>
  <c r="AF205"/>
  <c r="AH309" i="4"/>
  <c r="AH306"/>
  <c r="AH304"/>
  <c r="AH303"/>
  <c r="AH302"/>
  <c r="AH300"/>
  <c r="AH297"/>
  <c r="AH296"/>
  <c r="AH295"/>
  <c r="AH293"/>
  <c r="AH292"/>
  <c r="AH291"/>
  <c r="AH289"/>
  <c r="AH11"/>
  <c r="AH287"/>
  <c r="AH286"/>
  <c r="AH282"/>
  <c r="AH283"/>
  <c r="AH281"/>
  <c r="AH278"/>
  <c r="AH276"/>
  <c r="AH275"/>
  <c r="AH274"/>
  <c r="AH273"/>
  <c r="AH270"/>
  <c r="AH15"/>
  <c r="AH266"/>
  <c r="AH265"/>
  <c r="AH263"/>
  <c r="AH260"/>
  <c r="AH259"/>
  <c r="AH258"/>
  <c r="AH253"/>
  <c r="AH242"/>
  <c r="AH241"/>
  <c r="AH233"/>
  <c r="AH17"/>
  <c r="AH227"/>
  <c r="AH225"/>
  <c r="AH224"/>
  <c r="AH16"/>
  <c r="AH223"/>
  <c r="AH12"/>
  <c r="AH218"/>
  <c r="AH217"/>
  <c r="AH213"/>
  <c r="AH14"/>
  <c r="AH210"/>
  <c r="AH209"/>
  <c r="AH13"/>
  <c r="AH207"/>
  <c r="AF9" i="2"/>
  <c r="AF13"/>
  <c r="AF253"/>
  <c r="AF14"/>
  <c r="AF10"/>
  <c r="AF12"/>
  <c r="AF11"/>
  <c r="AF297" i="3"/>
  <c r="AH51" i="4"/>
  <c r="AH22"/>
  <c r="AH206"/>
  <c r="AF139" i="2"/>
  <c r="AA249" i="6" l="1"/>
  <c r="AC249"/>
</calcChain>
</file>

<file path=xl/sharedStrings.xml><?xml version="1.0" encoding="utf-8"?>
<sst xmlns="http://schemas.openxmlformats.org/spreadsheetml/2006/main" count="3384" uniqueCount="640">
  <si>
    <t>Other</t>
  </si>
  <si>
    <t>Miscellaneous</t>
  </si>
  <si>
    <t>Salaries</t>
  </si>
  <si>
    <t>Employee Fringe Benefits</t>
  </si>
  <si>
    <t>Supplies</t>
  </si>
  <si>
    <t>Entity Name</t>
  </si>
  <si>
    <t>County</t>
  </si>
  <si>
    <t>(Continued)</t>
  </si>
  <si>
    <t>Library</t>
  </si>
  <si>
    <t>Lane Public Library</t>
  </si>
  <si>
    <t>Butler</t>
  </si>
  <si>
    <t>London Public Library</t>
  </si>
  <si>
    <t>Madison</t>
  </si>
  <si>
    <t>Belmont</t>
  </si>
  <si>
    <t>Mentor Public Library</t>
  </si>
  <si>
    <t>Lake</t>
  </si>
  <si>
    <t>Knox</t>
  </si>
  <si>
    <t>Geauga</t>
  </si>
  <si>
    <t>Euclid Public Library</t>
  </si>
  <si>
    <t>Cuyahoga</t>
  </si>
  <si>
    <t>Medina</t>
  </si>
  <si>
    <t>Barnesville Public Library</t>
  </si>
  <si>
    <t>Summit</t>
  </si>
  <si>
    <t>Portsmouth Public Library</t>
  </si>
  <si>
    <t>Scioto</t>
  </si>
  <si>
    <t>Stark</t>
  </si>
  <si>
    <t>Tuscarawas</t>
  </si>
  <si>
    <t>Washington</t>
  </si>
  <si>
    <t>Total</t>
  </si>
  <si>
    <t>Services</t>
  </si>
  <si>
    <t>Capital</t>
  </si>
  <si>
    <t>Property and</t>
  </si>
  <si>
    <t>Assets</t>
  </si>
  <si>
    <t>Brown County Public Library</t>
  </si>
  <si>
    <t>Girard Free Library</t>
  </si>
  <si>
    <t>Gnadenhutten Public Library</t>
  </si>
  <si>
    <t>Herrick Memorial Library</t>
  </si>
  <si>
    <t>Hurt Battelle Memorial Library</t>
  </si>
  <si>
    <t>Wauseon Public Library</t>
  </si>
  <si>
    <t>Wickliffe Public Library</t>
  </si>
  <si>
    <t>Adams</t>
  </si>
  <si>
    <t>Licking</t>
  </si>
  <si>
    <t>Fulton</t>
  </si>
  <si>
    <t>Ashtabula</t>
  </si>
  <si>
    <t>Auglaize</t>
  </si>
  <si>
    <t>Seneca</t>
  </si>
  <si>
    <t>Harrison</t>
  </si>
  <si>
    <t>Brown</t>
  </si>
  <si>
    <t>Carroll</t>
  </si>
  <si>
    <t>Ross</t>
  </si>
  <si>
    <t>Mercer</t>
  </si>
  <si>
    <t>Columbiana</t>
  </si>
  <si>
    <t>Crawford</t>
  </si>
  <si>
    <t>Miami</t>
  </si>
  <si>
    <t>Warren</t>
  </si>
  <si>
    <t>Montgomery</t>
  </si>
  <si>
    <t>Trumbull</t>
  </si>
  <si>
    <t>Lorain</t>
  </si>
  <si>
    <t>Highland</t>
  </si>
  <si>
    <t>Morgan</t>
  </si>
  <si>
    <t>Henry</t>
  </si>
  <si>
    <t>Hardin</t>
  </si>
  <si>
    <t>Champaign</t>
  </si>
  <si>
    <t>Wyandot</t>
  </si>
  <si>
    <t>Monroe</t>
  </si>
  <si>
    <t>Wood</t>
  </si>
  <si>
    <t>Perry</t>
  </si>
  <si>
    <t>Fairfield</t>
  </si>
  <si>
    <t>Morrow</t>
  </si>
  <si>
    <t>Clinton</t>
  </si>
  <si>
    <t>Delaware</t>
  </si>
  <si>
    <t>Alexandria Public Library</t>
  </si>
  <si>
    <t>Coldwater Public Library</t>
  </si>
  <si>
    <t xml:space="preserve">Ada Public Library </t>
  </si>
  <si>
    <t xml:space="preserve">Adams County Public Library </t>
  </si>
  <si>
    <t xml:space="preserve">Alger Public Library </t>
  </si>
  <si>
    <t>Amherst Public Library</t>
  </si>
  <si>
    <t>Amos Memorial Public Library</t>
  </si>
  <si>
    <t>Shelby</t>
  </si>
  <si>
    <t>Andover Public Library</t>
  </si>
  <si>
    <t xml:space="preserve">Arcanum Public Library </t>
  </si>
  <si>
    <t>Darke</t>
  </si>
  <si>
    <t>Ashland Public Library</t>
  </si>
  <si>
    <t>Ashland</t>
  </si>
  <si>
    <t>Avon Lake Public Library</t>
  </si>
  <si>
    <t xml:space="preserve">Bellaire Public Library </t>
  </si>
  <si>
    <t>Belle Center Free Public Library</t>
  </si>
  <si>
    <t>Logan</t>
  </si>
  <si>
    <t>Bellevue Public Library</t>
  </si>
  <si>
    <t>Huron</t>
  </si>
  <si>
    <t>Bettsville Public Library</t>
  </si>
  <si>
    <t>Bexley Pubilce Library</t>
  </si>
  <si>
    <t>Franklin</t>
  </si>
  <si>
    <t>Birchard Public Library</t>
  </si>
  <si>
    <t>Sandusky</t>
  </si>
  <si>
    <t>Blanchester Public Library</t>
  </si>
  <si>
    <t xml:space="preserve">Bliss Memorial Public Library </t>
  </si>
  <si>
    <t>Allen</t>
  </si>
  <si>
    <t xml:space="preserve">Bowerston Library </t>
  </si>
  <si>
    <t xml:space="preserve">Bradford Public Library </t>
  </si>
  <si>
    <t>Bristol Public Library</t>
  </si>
  <si>
    <t>Brown Memorial Public Library</t>
  </si>
  <si>
    <t>Preble</t>
  </si>
  <si>
    <t>Bucyrus Public Library</t>
  </si>
  <si>
    <t xml:space="preserve">Burton Public Library </t>
  </si>
  <si>
    <t xml:space="preserve">Caldwell Public Library </t>
  </si>
  <si>
    <t>Noble</t>
  </si>
  <si>
    <t xml:space="preserve">Canal Fulton Public Library </t>
  </si>
  <si>
    <t>Cardington-Lincoln Village Public</t>
  </si>
  <si>
    <t>Carnegie Public Library</t>
  </si>
  <si>
    <t>Fayette</t>
  </si>
  <si>
    <t>Centerburg Public Library</t>
  </si>
  <si>
    <t xml:space="preserve">Chillicothe &amp; Ross Cty. Public Library </t>
  </si>
  <si>
    <t>Clark County Public Library</t>
  </si>
  <si>
    <t>Clark</t>
  </si>
  <si>
    <t>Clermont County Public Library</t>
  </si>
  <si>
    <t>Clermont</t>
  </si>
  <si>
    <t>Clyde Public Library</t>
  </si>
  <si>
    <t>Columbus Metropolitan Public Library</t>
  </si>
  <si>
    <t>Conneaut Public Library</t>
  </si>
  <si>
    <t>Coshocton Public Library</t>
  </si>
  <si>
    <t>Coshocton</t>
  </si>
  <si>
    <t xml:space="preserve">Crestline Public Library </t>
  </si>
  <si>
    <t>Cuyahoga Co. Public Library</t>
  </si>
  <si>
    <t xml:space="preserve">Dayton Metro Library </t>
  </si>
  <si>
    <t>Defiance Public Library</t>
  </si>
  <si>
    <t>Defiance</t>
  </si>
  <si>
    <t>Delaware County District Library</t>
  </si>
  <si>
    <t xml:space="preserve">Delphos Public Library </t>
  </si>
  <si>
    <t xml:space="preserve">Delta Public Library </t>
  </si>
  <si>
    <t>Dorcas Carey Public Library</t>
  </si>
  <si>
    <t>Dover Public Library</t>
  </si>
  <si>
    <t>Gallia</t>
  </si>
  <si>
    <t>Dr. Sloan Library</t>
  </si>
  <si>
    <t>East Palestine Memorial Public Library</t>
  </si>
  <si>
    <t>Elyria Public Library</t>
  </si>
  <si>
    <t xml:space="preserve">Evergreen Community Library </t>
  </si>
  <si>
    <t>Fairport Harbor Public Library</t>
  </si>
  <si>
    <t>Findlay-Hancock Co. Public Library</t>
  </si>
  <si>
    <t>Hancock</t>
  </si>
  <si>
    <t xml:space="preserve">Forest-Jackson Public Library </t>
  </si>
  <si>
    <t>Fort Recovery Public Library</t>
  </si>
  <si>
    <t xml:space="preserve">Franklin Public Library </t>
  </si>
  <si>
    <t xml:space="preserve">Galion Public Library </t>
  </si>
  <si>
    <t>Garnet A.Wilson Public Library</t>
  </si>
  <si>
    <t>Pike</t>
  </si>
  <si>
    <t>Geauga County Public Library</t>
  </si>
  <si>
    <t xml:space="preserve">Germantown Public Library </t>
  </si>
  <si>
    <t xml:space="preserve">Grafton-Midview Public Library </t>
  </si>
  <si>
    <t>Grandview Heights Public Library</t>
  </si>
  <si>
    <t>Granville Public Library</t>
  </si>
  <si>
    <t>Greene Co. Public Library</t>
  </si>
  <si>
    <t>Greene</t>
  </si>
  <si>
    <t xml:space="preserve">Greenville Public Library </t>
  </si>
  <si>
    <t>Guernsey</t>
  </si>
  <si>
    <t xml:space="preserve">Harbor-Topky Memorial Library </t>
  </si>
  <si>
    <t>Hardin Northern Public Library</t>
  </si>
  <si>
    <t>Harris Elmore Public Library</t>
  </si>
  <si>
    <t>Ottawa</t>
  </si>
  <si>
    <t>Herbert Wescoat Memorial Library</t>
  </si>
  <si>
    <t>Vinton</t>
  </si>
  <si>
    <t xml:space="preserve">Highland Co Library </t>
  </si>
  <si>
    <t>Holgate Community Library</t>
  </si>
  <si>
    <t>Holmes</t>
  </si>
  <si>
    <t>Hubbard Library</t>
  </si>
  <si>
    <t>Hudson Library &amp; Historic Society</t>
  </si>
  <si>
    <t>Huron Public Library</t>
  </si>
  <si>
    <t>Erie</t>
  </si>
  <si>
    <t>Ida Rupp Public Library</t>
  </si>
  <si>
    <t xml:space="preserve">Jackson City Library </t>
  </si>
  <si>
    <t>Jackson</t>
  </si>
  <si>
    <t>Kaubish Memorial Public Library</t>
  </si>
  <si>
    <t xml:space="preserve">Kent Free Library </t>
  </si>
  <si>
    <t>Portage</t>
  </si>
  <si>
    <t xml:space="preserve">Kingsville Library </t>
  </si>
  <si>
    <t xml:space="preserve">Kinsman Free Public Library </t>
  </si>
  <si>
    <t xml:space="preserve">Kirtland Public Library </t>
  </si>
  <si>
    <t xml:space="preserve">Lebanon Public Library </t>
  </si>
  <si>
    <t xml:space="preserve">Lepper Library </t>
  </si>
  <si>
    <t xml:space="preserve">Liberty Center Library </t>
  </si>
  <si>
    <t>Lima Public Library</t>
  </si>
  <si>
    <t>Hocking</t>
  </si>
  <si>
    <t>Lorain Public Library</t>
  </si>
  <si>
    <t>Loudonville Public Library</t>
  </si>
  <si>
    <t>Madison Public Library</t>
  </si>
  <si>
    <t>Richland</t>
  </si>
  <si>
    <t xml:space="preserve">Marion Lawrence Memorial Library </t>
  </si>
  <si>
    <t>Marion Public Library</t>
  </si>
  <si>
    <t>Marion</t>
  </si>
  <si>
    <t xml:space="preserve">Marvin Memorial Library </t>
  </si>
  <si>
    <t xml:space="preserve">Mary L. Cook Public Library </t>
  </si>
  <si>
    <t xml:space="preserve">Mary Lou Johnson-Hardin Library </t>
  </si>
  <si>
    <t>Marysville Public Library</t>
  </si>
  <si>
    <t>Union</t>
  </si>
  <si>
    <t xml:space="preserve">Mason Public Library </t>
  </si>
  <si>
    <t>Massillon Public Library</t>
  </si>
  <si>
    <t xml:space="preserve">Mechanicsburg Library </t>
  </si>
  <si>
    <t>Middletown Public Library</t>
  </si>
  <si>
    <t xml:space="preserve">Milan-Berlin Library </t>
  </si>
  <si>
    <t xml:space="preserve">Milton Union Library </t>
  </si>
  <si>
    <t xml:space="preserve">Minerva Public Library </t>
  </si>
  <si>
    <t>Molo Regional Library System</t>
  </si>
  <si>
    <t>Monroeville Public Library</t>
  </si>
  <si>
    <t>Montpelier Public Library</t>
  </si>
  <si>
    <t>Williams</t>
  </si>
  <si>
    <t>Morely Library</t>
  </si>
  <si>
    <t>Mount Gilead Public Library</t>
  </si>
  <si>
    <t xml:space="preserve">Mount Sterling Public Library </t>
  </si>
  <si>
    <t>Muskingum Co. Library</t>
  </si>
  <si>
    <t>Muskingum</t>
  </si>
  <si>
    <t>Athens</t>
  </si>
  <si>
    <t xml:space="preserve">New Madison Library </t>
  </si>
  <si>
    <t xml:space="preserve">Newcomerstown Library </t>
  </si>
  <si>
    <t>Newton Falls Public Library</t>
  </si>
  <si>
    <t>Nola Regional Library</t>
  </si>
  <si>
    <t>Mahoning</t>
  </si>
  <si>
    <t xml:space="preserve">Normal Memorial Library </t>
  </si>
  <si>
    <t xml:space="preserve">North Baltimore Library </t>
  </si>
  <si>
    <t>North Canton Public Library</t>
  </si>
  <si>
    <t xml:space="preserve">Norwalk Public Library </t>
  </si>
  <si>
    <t>Oak Harbor Public Library</t>
  </si>
  <si>
    <t>Oak Hill Public Library</t>
  </si>
  <si>
    <t>Oberlin Public Library</t>
  </si>
  <si>
    <t>Ohio Vally Area Libraris</t>
  </si>
  <si>
    <t>Orrville Public Library</t>
  </si>
  <si>
    <t>Wayne</t>
  </si>
  <si>
    <t xml:space="preserve">Pataskala Public Library </t>
  </si>
  <si>
    <t>Patrick Henry School District Library</t>
  </si>
  <si>
    <t>Paulding County Carnegie Library</t>
  </si>
  <si>
    <t>Paulding</t>
  </si>
  <si>
    <t>Paulding County Law Library</t>
  </si>
  <si>
    <t>Pemberville Public Library</t>
  </si>
  <si>
    <t xml:space="preserve">Peninsula Library </t>
  </si>
  <si>
    <t>Perry Cook Memorial Public Library</t>
  </si>
  <si>
    <t xml:space="preserve">Perry Public Library </t>
  </si>
  <si>
    <t>Pickaway County Public Library</t>
  </si>
  <si>
    <t>Pickaway</t>
  </si>
  <si>
    <t xml:space="preserve">Plain City Public Library </t>
  </si>
  <si>
    <t xml:space="preserve">Puskarich Public Library </t>
  </si>
  <si>
    <t xml:space="preserve">Reed Memorial Library </t>
  </si>
  <si>
    <t>Reuben Mcmillan Free Library</t>
  </si>
  <si>
    <t>Richwood-North Union Public Library</t>
  </si>
  <si>
    <t>Ritter Public Library</t>
  </si>
  <si>
    <t xml:space="preserve">Rock Creek Library </t>
  </si>
  <si>
    <t>Rocky River Public Library</t>
  </si>
  <si>
    <t>Rodman Public Library</t>
  </si>
  <si>
    <t>Rossford Public Library</t>
  </si>
  <si>
    <t xml:space="preserve">Sabina Library </t>
  </si>
  <si>
    <t>Salem Public Library</t>
  </si>
  <si>
    <t>Salem Township Public Library</t>
  </si>
  <si>
    <t xml:space="preserve">Selover Public Library </t>
  </si>
  <si>
    <t xml:space="preserve">Seneca East Public Library </t>
  </si>
  <si>
    <t xml:space="preserve">Shaker Heights Public Library </t>
  </si>
  <si>
    <t>Solo Regional Library</t>
  </si>
  <si>
    <t>Southwest Public Library</t>
  </si>
  <si>
    <t>Stark Co. District Library</t>
  </si>
  <si>
    <t>Steubenville Public Library</t>
  </si>
  <si>
    <t>Jefferson</t>
  </si>
  <si>
    <t>Stow-Munroe Falls Public Library</t>
  </si>
  <si>
    <t xml:space="preserve">Swanton Public Library </t>
  </si>
  <si>
    <t xml:space="preserve">Sylvester Memor Library </t>
  </si>
  <si>
    <t>Taylor Memorial Library</t>
  </si>
  <si>
    <t>Tiffin-Seneca Public Library</t>
  </si>
  <si>
    <t>Toledo-Lucas Co. Public Library</t>
  </si>
  <si>
    <t>Lucus</t>
  </si>
  <si>
    <t>Tuscarawas Co. Public Library</t>
  </si>
  <si>
    <t>Union Township Public Library</t>
  </si>
  <si>
    <t>Upper Arlington Public Library</t>
  </si>
  <si>
    <t>Upper Sandusky Comm. Library</t>
  </si>
  <si>
    <t>Washington-Centerville Public Library</t>
  </si>
  <si>
    <t>Wayne Co. Public Library</t>
  </si>
  <si>
    <t>Wayne Public Library</t>
  </si>
  <si>
    <t>Way-Perrysburg Public Library</t>
  </si>
  <si>
    <t xml:space="preserve">Wellsville Carnegie Library </t>
  </si>
  <si>
    <t xml:space="preserve">Weston Public Library </t>
  </si>
  <si>
    <t>Willard Memorial Library</t>
  </si>
  <si>
    <t>Willoughby-Eastlake Public Library</t>
  </si>
  <si>
    <t xml:space="preserve">Wilmington Public Library </t>
  </si>
  <si>
    <t xml:space="preserve">Worch Memorial Public Library </t>
  </si>
  <si>
    <t>Worthington Public Library</t>
  </si>
  <si>
    <t>Wright Memorial Public Library</t>
  </si>
  <si>
    <t>Local Taxes</t>
  </si>
  <si>
    <t>Library and</t>
  </si>
  <si>
    <t>Local</t>
  </si>
  <si>
    <t>Government</t>
  </si>
  <si>
    <t>Support</t>
  </si>
  <si>
    <t>Patrons Fines</t>
  </si>
  <si>
    <t>and Fees</t>
  </si>
  <si>
    <t>Provided to</t>
  </si>
  <si>
    <t>Contributions,</t>
  </si>
  <si>
    <t>Gifts, and</t>
  </si>
  <si>
    <t>Donations</t>
  </si>
  <si>
    <t>Earnings on</t>
  </si>
  <si>
    <t>Investments</t>
  </si>
  <si>
    <t xml:space="preserve">Sale of </t>
  </si>
  <si>
    <t>Fixed</t>
  </si>
  <si>
    <t>Financing</t>
  </si>
  <si>
    <t>Sources</t>
  </si>
  <si>
    <t xml:space="preserve">Archbold Community Library </t>
  </si>
  <si>
    <t>Bexley Public Library</t>
  </si>
  <si>
    <t xml:space="preserve">Bluffton-Richland Library </t>
  </si>
  <si>
    <t xml:space="preserve">Claymont School District Public Library </t>
  </si>
  <si>
    <t xml:space="preserve">Dr. Samuel Bossard Memorial. Library </t>
  </si>
  <si>
    <t>Garnet A. Wilson Public Library</t>
  </si>
  <si>
    <t xml:space="preserve">Grand Valley Public Library </t>
  </si>
  <si>
    <t xml:space="preserve">Henderson Memorial Library </t>
  </si>
  <si>
    <t xml:space="preserve">Homer-Burlington Library </t>
  </si>
  <si>
    <t xml:space="preserve">Leetonia Community Library </t>
  </si>
  <si>
    <t xml:space="preserve">Louisville Public Library </t>
  </si>
  <si>
    <t xml:space="preserve">Mohawk Community Library </t>
  </si>
  <si>
    <t>Napoleon Area School Public</t>
  </si>
  <si>
    <t>Ohio Valley Area Library</t>
  </si>
  <si>
    <t xml:space="preserve">Pickerington Public Library </t>
  </si>
  <si>
    <t>Reuben McMillan Free Library</t>
  </si>
  <si>
    <t xml:space="preserve">Ridgemont Public Library </t>
  </si>
  <si>
    <t>Sandusky Library</t>
  </si>
  <si>
    <t xml:space="preserve">St. Clairsville Library </t>
  </si>
  <si>
    <t xml:space="preserve">Sylvester Memorial Library </t>
  </si>
  <si>
    <t>Lucas</t>
  </si>
  <si>
    <t>Twinsburg Public Library</t>
  </si>
  <si>
    <t xml:space="preserve">Wornstaff Memorial Library </t>
  </si>
  <si>
    <t>Employee</t>
  </si>
  <si>
    <t>Fringe</t>
  </si>
  <si>
    <t>Purchased and</t>
  </si>
  <si>
    <t>Contracted</t>
  </si>
  <si>
    <t>Materials and</t>
  </si>
  <si>
    <t>Information</t>
  </si>
  <si>
    <t>Outlay</t>
  </si>
  <si>
    <t xml:space="preserve">Redemption of </t>
  </si>
  <si>
    <t>Principal</t>
  </si>
  <si>
    <t>Interest and</t>
  </si>
  <si>
    <t>Other Fiscal</t>
  </si>
  <si>
    <t>Charges</t>
  </si>
  <si>
    <t>Uses</t>
  </si>
  <si>
    <t xml:space="preserve">Napoleon Area School </t>
  </si>
  <si>
    <t xml:space="preserve">Ashtabula Co District Library </t>
  </si>
  <si>
    <t xml:space="preserve">Dr. Samuel Bossard Memorial Library </t>
  </si>
  <si>
    <t>Hudson Library &amp; Historical Society</t>
  </si>
  <si>
    <t xml:space="preserve">Kate Love Simpson Library </t>
  </si>
  <si>
    <t xml:space="preserve">J.R. Clarke Public Library </t>
  </si>
  <si>
    <t xml:space="preserve">McComb Public Library </t>
  </si>
  <si>
    <t>New London Library</t>
  </si>
  <si>
    <t>Ohio Valley Area Libraries</t>
  </si>
  <si>
    <t xml:space="preserve">Rockford Carnegie Library </t>
  </si>
  <si>
    <t xml:space="preserve">St. Marys Community Public Library </t>
  </si>
  <si>
    <t>Upper Sandusky Community Library</t>
  </si>
  <si>
    <t>Washington Co. Public Library</t>
  </si>
  <si>
    <t xml:space="preserve">Saint Paris Public Library </t>
  </si>
  <si>
    <t>Intergovern-</t>
  </si>
  <si>
    <t>mental</t>
  </si>
  <si>
    <t>Program Receipts</t>
  </si>
  <si>
    <t>General Receipts</t>
  </si>
  <si>
    <t>Monrow</t>
  </si>
  <si>
    <t>Adams County Public Library</t>
  </si>
  <si>
    <t>Archbold Community Library</t>
  </si>
  <si>
    <t>Ashtabula Co. District Library</t>
  </si>
  <si>
    <t>Auglaize Co. District Library</t>
  </si>
  <si>
    <t>Barberton Public Library</t>
  </si>
  <si>
    <t>Bellaire Public Library</t>
  </si>
  <si>
    <t>Bowerston Library</t>
  </si>
  <si>
    <t>Carroll Co. District Library</t>
  </si>
  <si>
    <t>Chillicothe &amp; Ross Co.. Public Library</t>
  </si>
  <si>
    <t>Claymont School District Public Library</t>
  </si>
  <si>
    <t>Community Library</t>
  </si>
  <si>
    <t>Crestline Public Library</t>
  </si>
  <si>
    <t>Flesh Public Library</t>
  </si>
  <si>
    <t>Evergreen Community Library</t>
  </si>
  <si>
    <t>Franklin Public Library</t>
  </si>
  <si>
    <t>Galion Public Library</t>
  </si>
  <si>
    <t>Germantown Public Library</t>
  </si>
  <si>
    <t>Highland Co. Library</t>
  </si>
  <si>
    <t>Kate Love Simps Library</t>
  </si>
  <si>
    <t>Lebanon Public Library</t>
  </si>
  <si>
    <t>Leetonia Common Library</t>
  </si>
  <si>
    <t>Jackson City Library</t>
  </si>
  <si>
    <t>Grafton-Midview Public Library</t>
  </si>
  <si>
    <t>Mary L. Cook Public Library</t>
  </si>
  <si>
    <t>Mary Lou Johnson-Hardin Library</t>
  </si>
  <si>
    <t>Mason Public Library</t>
  </si>
  <si>
    <t>Mechanicsburg Library</t>
  </si>
  <si>
    <t>Minerva Public Library</t>
  </si>
  <si>
    <t>Monroe County D Library</t>
  </si>
  <si>
    <t>North Baltimore Library</t>
  </si>
  <si>
    <t>Peninsula Library</t>
  </si>
  <si>
    <t>Perry Co Dist Library</t>
  </si>
  <si>
    <t>Plain City Public Library</t>
  </si>
  <si>
    <t>Marvin Memorial Library</t>
  </si>
  <si>
    <t>Mount Sterling Public Library</t>
  </si>
  <si>
    <t>Puskarich Public Library</t>
  </si>
  <si>
    <t>Ridgemont Public Library</t>
  </si>
  <si>
    <t>Rock Creek Library</t>
  </si>
  <si>
    <t>Rockford Carneg Library</t>
  </si>
  <si>
    <t>Saint Paris Pub Library</t>
  </si>
  <si>
    <t>Selover Public Library</t>
  </si>
  <si>
    <t>Seneca East Public Library</t>
  </si>
  <si>
    <t>St Marys Community Public Library</t>
  </si>
  <si>
    <t>St.Clairsville Library</t>
  </si>
  <si>
    <t>Swanton Public Library</t>
  </si>
  <si>
    <t>Wilmington Public Library</t>
  </si>
  <si>
    <t>Wornstaff Memorial Library</t>
  </si>
  <si>
    <t>Governmental Activities</t>
  </si>
  <si>
    <t>All Libraries Reporting Using GASB 34 Format</t>
  </si>
  <si>
    <t>Operating</t>
  </si>
  <si>
    <t>Grants</t>
  </si>
  <si>
    <t>Cash</t>
  </si>
  <si>
    <t>Charges for</t>
  </si>
  <si>
    <t>Contributions</t>
  </si>
  <si>
    <t>and Interest</t>
  </si>
  <si>
    <t>Net</t>
  </si>
  <si>
    <t>Special and</t>
  </si>
  <si>
    <t>Changes</t>
  </si>
  <si>
    <t>Net Assets</t>
  </si>
  <si>
    <t>Other Local</t>
  </si>
  <si>
    <t>Unrestricted</t>
  </si>
  <si>
    <t>Investment</t>
  </si>
  <si>
    <t>Debt</t>
  </si>
  <si>
    <t>Transfers and</t>
  </si>
  <si>
    <t>Extraordinary</t>
  </si>
  <si>
    <t>In Net</t>
  </si>
  <si>
    <t>Beginning</t>
  </si>
  <si>
    <t>(Disbursements)</t>
  </si>
  <si>
    <t>Taxes</t>
  </si>
  <si>
    <t>Earnings</t>
  </si>
  <si>
    <t>Proceeds</t>
  </si>
  <si>
    <t>Items</t>
  </si>
  <si>
    <t>of Year</t>
  </si>
  <si>
    <t>End of Year</t>
  </si>
  <si>
    <t>Cleveland Heights University Public Library</t>
  </si>
  <si>
    <t>Cleveland Public Library</t>
  </si>
  <si>
    <t>Ella M. Everhard Public Library</t>
  </si>
  <si>
    <t xml:space="preserve">Martins Ferry Public Library </t>
  </si>
  <si>
    <t xml:space="preserve">Mount Vernon &amp; Knox Public Library </t>
  </si>
  <si>
    <t>Summint</t>
  </si>
  <si>
    <t>Meigs</t>
  </si>
  <si>
    <t>Akron Summit County Public Library</t>
  </si>
  <si>
    <t>Allen County Law Library</t>
  </si>
  <si>
    <t>Columbus Law Library</t>
  </si>
  <si>
    <t>Fairfield County District Library</t>
  </si>
  <si>
    <t>Lakewood Public Library</t>
  </si>
  <si>
    <t>Martins Ferry Public Library</t>
  </si>
  <si>
    <t>McKinley Memorial Library</t>
  </si>
  <si>
    <t>NEO Regional Library</t>
  </si>
  <si>
    <t>Newark Public Library</t>
  </si>
  <si>
    <t>Northwest Regional Library</t>
  </si>
  <si>
    <t>Pickaway Public Library</t>
  </si>
  <si>
    <t>Porter Public Library</t>
  </si>
  <si>
    <t>Cincinnati</t>
  </si>
  <si>
    <t>Southeast Regional Library</t>
  </si>
  <si>
    <t>Tipp-City Public Library</t>
  </si>
  <si>
    <t>Troy-Miami Co. Public Library</t>
  </si>
  <si>
    <t>William Ammer Memorial Law Library</t>
  </si>
  <si>
    <t xml:space="preserve">Amherst Public Library </t>
  </si>
  <si>
    <t xml:space="preserve">Barberton Public Library </t>
  </si>
  <si>
    <t xml:space="preserve">Clyde Public Library </t>
  </si>
  <si>
    <t xml:space="preserve">Columbiana Library </t>
  </si>
  <si>
    <t xml:space="preserve">Community Library </t>
  </si>
  <si>
    <t xml:space="preserve">East Cleveland Public Library </t>
  </si>
  <si>
    <t xml:space="preserve">Gnadenhutten Public Library </t>
  </si>
  <si>
    <t xml:space="preserve">Herrick Memorial Library </t>
  </si>
  <si>
    <t xml:space="preserve">Hubbard Library </t>
  </si>
  <si>
    <t xml:space="preserve">Massillon Public Library </t>
  </si>
  <si>
    <t xml:space="preserve">Nelsonville Public Library </t>
  </si>
  <si>
    <t xml:space="preserve">New Carlisle Public Library </t>
  </si>
  <si>
    <t xml:space="preserve">New Straitsville Public Library </t>
  </si>
  <si>
    <t xml:space="preserve">Oberlin Public Library </t>
  </si>
  <si>
    <t xml:space="preserve">Patrick Henry School District Library </t>
  </si>
  <si>
    <t xml:space="preserve">Pemberville Public Library </t>
  </si>
  <si>
    <t xml:space="preserve">Ritter Public Library </t>
  </si>
  <si>
    <t xml:space="preserve">Wauseon Public Library </t>
  </si>
  <si>
    <t xml:space="preserve">Wickliffe Public Library </t>
  </si>
  <si>
    <t xml:space="preserve">Wright Memorial Public Library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</si>
  <si>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</si>
  <si>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</si>
  <si>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</si>
  <si>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</si>
  <si>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County Public Library </t>
  </si>
  <si>
    <t xml:space="preserve">Brown </t>
  </si>
  <si>
    <t xml:space="preserve">Carroll </t>
  </si>
  <si>
    <t xml:space="preserve">Champaign </t>
  </si>
  <si>
    <t xml:space="preserve">Clark </t>
  </si>
  <si>
    <t xml:space="preserve">Clinton </t>
  </si>
  <si>
    <t xml:space="preserve">Columbiana </t>
  </si>
  <si>
    <t xml:space="preserve">Crawford </t>
  </si>
  <si>
    <t xml:space="preserve">Cuyahoga </t>
  </si>
  <si>
    <t xml:space="preserve">Fairfield </t>
  </si>
  <si>
    <t xml:space="preserve">Harrison </t>
  </si>
  <si>
    <t xml:space="preserve">Jackson </t>
  </si>
  <si>
    <t xml:space="preserve">Lake </t>
  </si>
  <si>
    <t xml:space="preserve">Licking </t>
  </si>
  <si>
    <t xml:space="preserve">Madison </t>
  </si>
  <si>
    <t xml:space="preserve">Meigs County Public Library </t>
  </si>
  <si>
    <t xml:space="preserve">Meigs </t>
  </si>
  <si>
    <t xml:space="preserve">Coldwater Public Library </t>
  </si>
  <si>
    <t xml:space="preserve">Mercer </t>
  </si>
  <si>
    <t xml:space="preserve">Miami </t>
  </si>
  <si>
    <t xml:space="preserve">Monroe County Library </t>
  </si>
  <si>
    <t xml:space="preserve">Monroe </t>
  </si>
  <si>
    <t xml:space="preserve">Montgomery </t>
  </si>
  <si>
    <t xml:space="preserve">Perry </t>
  </si>
  <si>
    <t xml:space="preserve">Stark </t>
  </si>
  <si>
    <t xml:space="preserve">Bristol Public Library </t>
  </si>
  <si>
    <t xml:space="preserve">Tuscarawas </t>
  </si>
  <si>
    <t xml:space="preserve">Warren </t>
  </si>
  <si>
    <t xml:space="preserve">Wood </t>
  </si>
  <si>
    <t xml:space="preserve">Ross </t>
  </si>
  <si>
    <t/>
  </si>
  <si>
    <t>Transfers Out</t>
  </si>
  <si>
    <t xml:space="preserve">Advances Out </t>
  </si>
  <si>
    <t xml:space="preserve">Monroe County District Library </t>
  </si>
  <si>
    <t>Transfers In</t>
  </si>
  <si>
    <t xml:space="preserve">Advances In </t>
  </si>
  <si>
    <t xml:space="preserve">Alexandria Public Library </t>
  </si>
  <si>
    <t>Ashtabula Co District Library</t>
  </si>
  <si>
    <t>East Cleveland Public Library</t>
  </si>
  <si>
    <t>Findlay-Hancock Public Library</t>
  </si>
  <si>
    <t>Highland Co Library</t>
  </si>
  <si>
    <t>Leetonia Community Library</t>
  </si>
  <si>
    <t>Rockford Carnegie Library</t>
  </si>
  <si>
    <t>Monroe County District Library</t>
  </si>
  <si>
    <t>Perry Co District Library</t>
  </si>
  <si>
    <t>Louisville Public Library</t>
  </si>
  <si>
    <t>Saint Paris Public Library</t>
  </si>
  <si>
    <t>Receipts /</t>
  </si>
  <si>
    <t>General Fund Revenues</t>
  </si>
  <si>
    <t>General Fund Expenditures</t>
  </si>
  <si>
    <t>Governmental Fund Revenues</t>
  </si>
  <si>
    <t>Governmental Fund Expenditures</t>
  </si>
  <si>
    <t>Summary Information from the Statement of Activities</t>
  </si>
  <si>
    <t>Summary Data from the Statement of Net Assets - Governmental Activities</t>
  </si>
  <si>
    <t>All Schools Reporting Under GAAP</t>
  </si>
  <si>
    <t xml:space="preserve">                     Liabilities</t>
  </si>
  <si>
    <t>Statement</t>
  </si>
  <si>
    <t>Current</t>
  </si>
  <si>
    <t>Long-term Liabilities</t>
  </si>
  <si>
    <t>Invested in</t>
  </si>
  <si>
    <t>Balances if</t>
  </si>
  <si>
    <t>Liabilities</t>
  </si>
  <si>
    <t>Within 1 Year</t>
  </si>
  <si>
    <t>More Than 1 Yr</t>
  </si>
  <si>
    <t>Capital Assets</t>
  </si>
  <si>
    <t>Restricted</t>
  </si>
  <si>
    <t>Value is "0"</t>
  </si>
  <si>
    <t xml:space="preserve">             </t>
  </si>
  <si>
    <t>Cash Basis</t>
  </si>
  <si>
    <t>Is now Riverside LSD</t>
  </si>
  <si>
    <t xml:space="preserve">** Bowling Green CSD's Financial Statements are broad-based and are not broken out into specific accounts. </t>
  </si>
  <si>
    <t xml:space="preserve">     Therefore, the full amount has been placed into the first column of each group of accounts.</t>
  </si>
  <si>
    <t>Public Library of Cincinnati &amp; Hamilton Co.</t>
  </si>
  <si>
    <t>St. Marys Community Public Library</t>
  </si>
  <si>
    <t>Gifts and</t>
  </si>
  <si>
    <t>and</t>
  </si>
  <si>
    <t>Entitlements</t>
  </si>
  <si>
    <t>Operation and</t>
  </si>
  <si>
    <t>Maintenance</t>
  </si>
  <si>
    <t>Facilities</t>
  </si>
  <si>
    <t>Programs/</t>
  </si>
  <si>
    <t>Tax</t>
  </si>
  <si>
    <t>Rollback</t>
  </si>
  <si>
    <t>Rentals</t>
  </si>
  <si>
    <t>Revenues</t>
  </si>
  <si>
    <t>Others</t>
  </si>
  <si>
    <t>Fringes</t>
  </si>
  <si>
    <t xml:space="preserve">Special </t>
  </si>
  <si>
    <t>Londonville Public Library</t>
  </si>
  <si>
    <t>Perry Co. District Library</t>
  </si>
  <si>
    <t>St. Clairsville Library</t>
  </si>
  <si>
    <t>`</t>
  </si>
  <si>
    <t>East Liverpool Carnegie Public Library</t>
  </si>
  <si>
    <t xml:space="preserve">Rockford Carnege Library </t>
  </si>
  <si>
    <t>Kate Love Simpson Library</t>
  </si>
  <si>
    <t>Chillicothe &amp; Ross County Public Library</t>
  </si>
  <si>
    <t xml:space="preserve">Chillicothe &amp; Ross County Public Library </t>
  </si>
  <si>
    <t>Licking County Public Library</t>
  </si>
  <si>
    <t>Logan County District Library</t>
  </si>
  <si>
    <t>Logan Hocking County District</t>
  </si>
  <si>
    <t>Westerville Public Library</t>
  </si>
  <si>
    <t>The Wagnalls Memorial Library</t>
  </si>
  <si>
    <t xml:space="preserve">Hardin  </t>
  </si>
  <si>
    <t>Sorting Number</t>
  </si>
  <si>
    <t>The Public Library of Cincinnati and Hamilton County</t>
  </si>
  <si>
    <t>Hamilton</t>
  </si>
  <si>
    <t>Briggs Library</t>
  </si>
  <si>
    <t>Lawrence</t>
  </si>
  <si>
    <t>Putnam County Library</t>
  </si>
  <si>
    <t>Putnam</t>
  </si>
  <si>
    <t>Piqua Public Library</t>
  </si>
  <si>
    <t>Grand Valley Public Library</t>
  </si>
  <si>
    <t>Weston Public Library</t>
  </si>
  <si>
    <t>Advances</t>
  </si>
  <si>
    <t>In/(Out)</t>
  </si>
  <si>
    <t>Disbursements</t>
  </si>
  <si>
    <t>(continued)</t>
  </si>
  <si>
    <t>Stark County District Library</t>
  </si>
  <si>
    <t xml:space="preserve">Auglaize County District Library </t>
  </si>
  <si>
    <t xml:space="preserve">Carroll County District Library </t>
  </si>
  <si>
    <t>Champaign County Public Library</t>
  </si>
  <si>
    <t>Cuyahoga County Public Library</t>
  </si>
  <si>
    <t>Findlay-Hancock County Public Library</t>
  </si>
  <si>
    <t>Greene County Public Library</t>
  </si>
  <si>
    <t>Guernsey County Library</t>
  </si>
  <si>
    <t xml:space="preserve">Holmes County Public Library </t>
  </si>
  <si>
    <t>Mansfield - Richland County Public Library</t>
  </si>
  <si>
    <t>Medina County District Library</t>
  </si>
  <si>
    <t xml:space="preserve">Mercer County District Public Library </t>
  </si>
  <si>
    <t>Muskingum County Library</t>
  </si>
  <si>
    <t xml:space="preserve">Perry County District Library </t>
  </si>
  <si>
    <t>Portage County Library</t>
  </si>
  <si>
    <t>Preble County Library</t>
  </si>
  <si>
    <t>Toledo-Lucas County Public Library</t>
  </si>
  <si>
    <t>Troy-Miami County Public Library</t>
  </si>
  <si>
    <t>Tuscarawas County Public Library</t>
  </si>
  <si>
    <t>Warren Trumbull County Library</t>
  </si>
  <si>
    <t>Washington County Public Library</t>
  </si>
  <si>
    <t>Wayne County Public Library</t>
  </si>
  <si>
    <t>Williams County Public Library</t>
  </si>
  <si>
    <t>Wood County District Public Library</t>
  </si>
  <si>
    <t xml:space="preserve">Ashtabula County District Library </t>
  </si>
  <si>
    <t xml:space="preserve">Highland County Library </t>
  </si>
  <si>
    <t>Cuyahoga Falls Public Library</t>
  </si>
  <si>
    <t>Northeast Regional Library</t>
  </si>
  <si>
    <t>Port Clinton School District</t>
  </si>
  <si>
    <t xml:space="preserve">Public Library of Cincinnati &amp; Hamilton County </t>
  </si>
  <si>
    <t>Wagnalls Memorial Library</t>
  </si>
  <si>
    <t>Gnadenhuttem Public Library</t>
  </si>
  <si>
    <t>Cinncinnati and Hamilton County Public Library</t>
  </si>
  <si>
    <t>Cincinnati and Hamilton County Library</t>
  </si>
  <si>
    <t>Cincinnati and Hamilton County Public Library</t>
  </si>
  <si>
    <t>Cleveland Heights University Public Library*</t>
  </si>
  <si>
    <t>Cleveland Public Library*</t>
  </si>
  <si>
    <t>Columbus Metropolitan Public Library*</t>
  </si>
  <si>
    <t>Cincinnati and Hamilton Public Library*</t>
  </si>
  <si>
    <t>Toledo-Lucas Co. Public Library*</t>
  </si>
  <si>
    <t>Worthington Public Library*</t>
  </si>
  <si>
    <t>Cuyahoga Co. Public Library*</t>
  </si>
  <si>
    <t>* Reports in Accordance with Generally Accepted Accounting Principles</t>
  </si>
  <si>
    <t>For the Year Ended December 31, 2010</t>
  </si>
  <si>
    <t>As of December 31, 2010</t>
  </si>
  <si>
    <t>Extension Library District</t>
  </si>
  <si>
    <t>Nelsonville Public Library</t>
  </si>
  <si>
    <t>Girard Public Library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</si>
</sst>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#,##0.0_);\(#,##0.0\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5" fontId="1" fillId="0" borderId="0" applyFont="0" applyFill="0" applyBorder="0" applyAlignment="0" applyProtection="0"/>
  </cellStyleXfs>
  <cellXfs count="80">
    <xf numFmtId="0" fontId="0" fillId="0" borderId="0" xfId="0"/>
    <xf numFmtId="37" fontId="3" fillId="0" borderId="0" xfId="0" applyNumberFormat="1" applyFont="1"/>
    <xf numFmtId="5" fontId="3" fillId="0" borderId="0" xfId="0" applyNumberFormat="1" applyFont="1"/>
    <xf numFmtId="0" fontId="3" fillId="0" borderId="0" xfId="0" applyFont="1" applyFill="1"/>
    <xf numFmtId="37" fontId="3" fillId="0" borderId="0" xfId="0" applyNumberFormat="1" applyFont="1" applyFill="1"/>
    <xf numFmtId="0" fontId="3" fillId="0" borderId="0" xfId="0" applyFont="1" applyBorder="1"/>
    <xf numFmtId="37" fontId="3" fillId="0" borderId="0" xfId="0" applyNumberFormat="1" applyFont="1" applyBorder="1"/>
    <xf numFmtId="5" fontId="3" fillId="0" borderId="0" xfId="0" applyNumberFormat="1" applyFont="1" applyFill="1"/>
    <xf numFmtId="37" fontId="3" fillId="0" borderId="0" xfId="0" applyNumberFormat="1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/>
    <xf numFmtId="37" fontId="4" fillId="0" borderId="0" xfId="0" applyNumberFormat="1" applyFont="1" applyFill="1" applyBorder="1"/>
    <xf numFmtId="37" fontId="4" fillId="0" borderId="0" xfId="0" applyNumberFormat="1" applyFont="1" applyFill="1"/>
    <xf numFmtId="37" fontId="3" fillId="0" borderId="0" xfId="0" applyNumberFormat="1" applyFont="1" applyFill="1" applyBorder="1"/>
    <xf numFmtId="37" fontId="0" fillId="0" borderId="0" xfId="0" applyNumberFormat="1" applyBorder="1"/>
    <xf numFmtId="37" fontId="3" fillId="0" borderId="0" xfId="0" applyNumberFormat="1" applyFont="1" applyFill="1" applyAlignment="1"/>
    <xf numFmtId="37" fontId="6" fillId="0" borderId="0" xfId="0" applyNumberFormat="1" applyFont="1" applyFill="1" applyAlignment="1"/>
    <xf numFmtId="0" fontId="0" fillId="0" borderId="0" xfId="0" applyFill="1" applyAlignment="1"/>
    <xf numFmtId="0" fontId="6" fillId="0" borderId="0" xfId="0" applyFont="1" applyFill="1" applyAlignment="1"/>
    <xf numFmtId="37" fontId="7" fillId="0" borderId="0" xfId="0" applyNumberFormat="1" applyFont="1" applyFill="1" applyAlignment="1"/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/>
    <xf numFmtId="37" fontId="6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centerContinuous"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 vertical="top"/>
    </xf>
    <xf numFmtId="5" fontId="3" fillId="0" borderId="0" xfId="0" applyNumberFormat="1" applyFont="1" applyFill="1" applyAlignment="1">
      <alignment vertical="top"/>
    </xf>
    <xf numFmtId="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Alignment="1"/>
    <xf numFmtId="0" fontId="3" fillId="0" borderId="0" xfId="0" applyFont="1" applyFill="1" applyAlignment="1">
      <alignment vertical="top"/>
    </xf>
    <xf numFmtId="37" fontId="5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5" fontId="5" fillId="0" borderId="0" xfId="0" applyNumberFormat="1" applyFont="1" applyFill="1"/>
    <xf numFmtId="164" fontId="3" fillId="0" borderId="0" xfId="0" applyNumberFormat="1" applyFont="1" applyFill="1"/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left"/>
    </xf>
    <xf numFmtId="5" fontId="3" fillId="0" borderId="0" xfId="0" applyNumberFormat="1" applyFont="1" applyFill="1" applyBorder="1"/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/>
    <xf numFmtId="37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3" fillId="0" borderId="0" xfId="0" applyFont="1" applyFill="1" applyBorder="1" applyAlignment="1">
      <alignment wrapText="1"/>
    </xf>
    <xf numFmtId="37" fontId="3" fillId="0" borderId="1" xfId="0" applyNumberFormat="1" applyFont="1" applyFill="1" applyBorder="1" applyAlignment="1">
      <alignment horizontal="center" wrapText="1"/>
    </xf>
    <xf numFmtId="37" fontId="0" fillId="0" borderId="0" xfId="0" applyNumberFormat="1" applyFill="1"/>
    <xf numFmtId="0" fontId="0" fillId="0" borderId="0" xfId="0" applyFill="1" applyBorder="1"/>
    <xf numFmtId="39" fontId="0" fillId="0" borderId="0" xfId="0" applyNumberFormat="1" applyFill="1" applyBorder="1" applyAlignment="1"/>
    <xf numFmtId="39" fontId="3" fillId="0" borderId="0" xfId="0" applyNumberFormat="1" applyFont="1" applyFill="1" applyBorder="1" applyAlignment="1"/>
    <xf numFmtId="3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 wrapText="1"/>
    </xf>
    <xf numFmtId="5" fontId="0" fillId="0" borderId="0" xfId="0" applyNumberFormat="1" applyFill="1" applyBorder="1"/>
    <xf numFmtId="37" fontId="0" fillId="0" borderId="0" xfId="0" applyNumberFormat="1" applyFill="1" applyBorder="1"/>
    <xf numFmtId="37" fontId="0" fillId="0" borderId="0" xfId="0" applyNumberFormat="1" applyFill="1" applyBorder="1" applyAlignment="1"/>
    <xf numFmtId="0" fontId="0" fillId="0" borderId="0" xfId="0" applyFill="1" applyBorder="1" applyAlignment="1"/>
    <xf numFmtId="0" fontId="3" fillId="0" borderId="0" xfId="0" applyFont="1"/>
    <xf numFmtId="39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/>
    <xf numFmtId="5" fontId="3" fillId="0" borderId="0" xfId="0" applyNumberFormat="1" applyFont="1" applyAlignment="1"/>
    <xf numFmtId="5" fontId="3" fillId="0" borderId="0" xfId="0" applyNumberFormat="1" applyFont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9" fontId="3" fillId="0" borderId="1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left"/>
    </xf>
  </cellXfs>
  <cellStyles count="2">
    <cellStyle name="Currency0" xfId="1"/>
    <cellStyle name="Normal" xfId="0" builtinId="0"/>
  </cellStyles>
  <dxfs count="0"/>
  <tableStyles count="0" defaultTableStyle="TableStyleMedium9" defaultPivotStyle="PivotStyleLight16"/>
  <colors>
    <mruColors>
      <color rgb="FFFF66CC"/>
      <color rgb="FFFF3399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8"/>
  <sheetViews>
    <sheetView zoomScaleNormal="100" zoomScaleSheetLayoutView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14" sqref="A14"/>
    </sheetView>
  </sheetViews>
  <sheetFormatPr defaultColWidth="9.140625" defaultRowHeight="12.75"/>
  <cols>
    <col min="1" max="1" width="35.5703125" style="55" customWidth="1"/>
    <col min="2" max="2" width="1.28515625" style="55" customWidth="1"/>
    <col min="3" max="3" width="10.7109375" style="55" customWidth="1"/>
    <col min="4" max="4" width="1.28515625" style="55" customWidth="1"/>
    <col min="5" max="5" width="11.28515625" style="56" customWidth="1"/>
    <col min="6" max="6" width="1.28515625" style="65" customWidth="1"/>
    <col min="7" max="7" width="10.85546875" style="56" customWidth="1"/>
    <col min="8" max="8" width="1.28515625" style="65" customWidth="1"/>
    <col min="9" max="9" width="10.85546875" style="56" customWidth="1"/>
    <col min="10" max="10" width="1.28515625" style="65" customWidth="1"/>
    <col min="11" max="11" width="10.28515625" style="56" customWidth="1"/>
    <col min="12" max="12" width="1.28515625" style="65" customWidth="1"/>
    <col min="13" max="13" width="13.140625" style="56" customWidth="1"/>
    <col min="14" max="14" width="1.28515625" style="65" customWidth="1"/>
    <col min="15" max="15" width="10.28515625" style="56" customWidth="1"/>
    <col min="16" max="16" width="1.28515625" style="65" customWidth="1"/>
    <col min="17" max="17" width="10.7109375" style="65" customWidth="1"/>
    <col min="18" max="18" width="1.28515625" style="65" customWidth="1"/>
    <col min="19" max="19" width="11.42578125" style="56" bestFit="1" customWidth="1"/>
    <col min="20" max="20" width="1.28515625" style="65" customWidth="1"/>
    <col min="21" max="21" width="11" style="56" customWidth="1"/>
    <col min="22" max="22" width="1.28515625" style="65" customWidth="1"/>
    <col min="23" max="23" width="10.7109375" style="56" customWidth="1"/>
    <col min="24" max="24" width="1.28515625" style="65" customWidth="1"/>
    <col min="25" max="25" width="10.140625" style="56" hidden="1" customWidth="1"/>
    <col min="26" max="26" width="1.28515625" style="65" hidden="1" customWidth="1"/>
    <col min="27" max="27" width="10.85546875" style="56" customWidth="1"/>
    <col min="28" max="28" width="1.28515625" style="65" customWidth="1"/>
    <col min="29" max="29" width="10.42578125" style="56" customWidth="1"/>
    <col min="30" max="30" width="1.28515625" style="65" customWidth="1"/>
    <col min="31" max="31" width="10.7109375" style="56" customWidth="1"/>
    <col min="32" max="32" width="1.28515625" style="65" customWidth="1"/>
    <col min="33" max="33" width="10.7109375" style="56" customWidth="1"/>
    <col min="34" max="34" width="1.28515625" style="65" customWidth="1"/>
    <col min="35" max="35" width="10.7109375" style="56" customWidth="1"/>
    <col min="36" max="36" width="1.28515625" style="65" customWidth="1"/>
    <col min="37" max="37" width="10.7109375" style="56" customWidth="1"/>
    <col min="38" max="16384" width="9.140625" style="55"/>
  </cols>
  <sheetData>
    <row r="1" spans="1:37" ht="12" customHeight="1">
      <c r="A1" s="75" t="s">
        <v>527</v>
      </c>
      <c r="B1" s="75"/>
      <c r="C1" s="75"/>
      <c r="D1" s="75"/>
      <c r="E1" s="75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2" customHeight="1">
      <c r="A2" s="15" t="s">
        <v>400</v>
      </c>
      <c r="B2" s="15"/>
      <c r="C2" s="15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2" customHeight="1">
      <c r="A3" s="15" t="s">
        <v>635</v>
      </c>
      <c r="B3" s="15"/>
      <c r="C3" s="15"/>
      <c r="D3" s="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2" customHeight="1">
      <c r="A4" s="15" t="s">
        <v>7</v>
      </c>
      <c r="B4" s="15"/>
      <c r="C4" s="15"/>
      <c r="D4" s="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2" customHeight="1">
      <c r="B5" s="15"/>
      <c r="C5" s="15"/>
      <c r="D5" s="1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2" customHeight="1">
      <c r="A6" s="12" t="s">
        <v>401</v>
      </c>
      <c r="B6" s="15"/>
      <c r="C6" s="15"/>
      <c r="D6" s="1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2" customHeight="1">
      <c r="A7" s="15"/>
      <c r="B7" s="15"/>
      <c r="C7" s="15"/>
      <c r="D7" s="15"/>
      <c r="E7" s="57"/>
      <c r="F7" s="57"/>
      <c r="G7" s="76" t="s">
        <v>350</v>
      </c>
      <c r="H7" s="76"/>
      <c r="I7" s="76"/>
      <c r="J7" s="76"/>
      <c r="K7" s="76"/>
      <c r="L7" s="23"/>
      <c r="M7" s="23"/>
      <c r="N7" s="23"/>
      <c r="O7" s="76" t="s">
        <v>351</v>
      </c>
      <c r="P7" s="76"/>
      <c r="Q7" s="76"/>
      <c r="R7" s="76"/>
      <c r="S7" s="76"/>
      <c r="T7" s="76"/>
      <c r="U7" s="76"/>
      <c r="V7" s="76"/>
      <c r="W7" s="76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12" customHeight="1">
      <c r="A8" s="15"/>
      <c r="B8" s="15"/>
      <c r="C8" s="15"/>
      <c r="D8" s="15"/>
      <c r="E8" s="57"/>
      <c r="F8" s="57"/>
      <c r="G8" s="57"/>
      <c r="H8" s="57"/>
      <c r="I8" s="58" t="s">
        <v>402</v>
      </c>
      <c r="J8" s="57"/>
      <c r="K8" s="57"/>
      <c r="L8" s="23"/>
      <c r="M8" s="23"/>
      <c r="N8" s="23"/>
      <c r="O8" s="23"/>
      <c r="P8" s="23"/>
      <c r="Q8" s="2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2" customHeight="1">
      <c r="D9" s="15"/>
      <c r="E9" s="57"/>
      <c r="F9" s="57"/>
      <c r="G9" s="57"/>
      <c r="H9" s="57"/>
      <c r="I9" s="58" t="s">
        <v>403</v>
      </c>
      <c r="J9" s="57"/>
      <c r="K9" s="57"/>
      <c r="L9" s="23"/>
      <c r="M9" s="58" t="s">
        <v>408</v>
      </c>
      <c r="N9" s="57"/>
      <c r="O9" s="58" t="s">
        <v>31</v>
      </c>
      <c r="P9" s="57"/>
      <c r="Q9" s="58" t="s">
        <v>403</v>
      </c>
      <c r="R9" s="57"/>
      <c r="S9" s="58" t="s">
        <v>413</v>
      </c>
      <c r="T9" s="57"/>
      <c r="U9" s="57"/>
      <c r="V9" s="57"/>
      <c r="W9" s="57"/>
      <c r="X9" s="57"/>
      <c r="Y9" s="57"/>
      <c r="Z9" s="57"/>
      <c r="AA9" s="58" t="s">
        <v>416</v>
      </c>
      <c r="AB9" s="23"/>
      <c r="AC9" s="58" t="s">
        <v>409</v>
      </c>
      <c r="AD9" s="23"/>
      <c r="AE9" s="58"/>
      <c r="AF9" s="57"/>
      <c r="AG9" s="58" t="s">
        <v>410</v>
      </c>
      <c r="AH9" s="57"/>
      <c r="AI9" s="58" t="s">
        <v>411</v>
      </c>
      <c r="AJ9" s="57"/>
      <c r="AK9" s="58" t="s">
        <v>408</v>
      </c>
    </row>
    <row r="10" spans="1:37" ht="12" customHeight="1">
      <c r="A10" s="59"/>
      <c r="B10" s="59"/>
      <c r="C10" s="15"/>
      <c r="D10" s="15"/>
      <c r="E10" s="58" t="s">
        <v>404</v>
      </c>
      <c r="F10" s="57"/>
      <c r="G10" s="58" t="s">
        <v>405</v>
      </c>
      <c r="H10" s="57"/>
      <c r="I10" s="58" t="s">
        <v>406</v>
      </c>
      <c r="J10" s="57"/>
      <c r="K10" s="58" t="s">
        <v>30</v>
      </c>
      <c r="L10" s="23"/>
      <c r="M10" s="58" t="s">
        <v>522</v>
      </c>
      <c r="N10" s="57"/>
      <c r="O10" s="58" t="s">
        <v>412</v>
      </c>
      <c r="P10" s="57"/>
      <c r="Q10" s="58" t="s">
        <v>550</v>
      </c>
      <c r="R10" s="57"/>
      <c r="S10" s="58" t="s">
        <v>549</v>
      </c>
      <c r="T10" s="57"/>
      <c r="U10" s="58" t="s">
        <v>414</v>
      </c>
      <c r="V10" s="57"/>
      <c r="W10" s="57"/>
      <c r="X10" s="57"/>
      <c r="Y10" s="58" t="s">
        <v>415</v>
      </c>
      <c r="Z10" s="57"/>
      <c r="AA10" s="58" t="s">
        <v>588</v>
      </c>
      <c r="AB10" s="23"/>
      <c r="AC10" s="58" t="s">
        <v>417</v>
      </c>
      <c r="AD10" s="23"/>
      <c r="AE10" s="58" t="s">
        <v>28</v>
      </c>
      <c r="AF10" s="57"/>
      <c r="AG10" s="58" t="s">
        <v>418</v>
      </c>
      <c r="AH10" s="57"/>
      <c r="AI10" s="58" t="s">
        <v>419</v>
      </c>
      <c r="AJ10" s="57"/>
      <c r="AK10" s="58" t="s">
        <v>32</v>
      </c>
    </row>
    <row r="11" spans="1:37" s="4" customFormat="1" ht="12">
      <c r="A11" s="46" t="s">
        <v>8</v>
      </c>
      <c r="B11" s="59"/>
      <c r="C11" s="40" t="s">
        <v>6</v>
      </c>
      <c r="D11" s="59"/>
      <c r="E11" s="60" t="s">
        <v>590</v>
      </c>
      <c r="F11" s="59"/>
      <c r="G11" s="61" t="s">
        <v>29</v>
      </c>
      <c r="H11" s="59"/>
      <c r="I11" s="61" t="s">
        <v>407</v>
      </c>
      <c r="J11" s="59"/>
      <c r="K11" s="61" t="s">
        <v>403</v>
      </c>
      <c r="L11" s="59"/>
      <c r="M11" s="61" t="s">
        <v>420</v>
      </c>
      <c r="N11" s="59"/>
      <c r="O11" s="61" t="s">
        <v>421</v>
      </c>
      <c r="P11" s="59"/>
      <c r="Q11" s="61" t="s">
        <v>551</v>
      </c>
      <c r="R11" s="59"/>
      <c r="S11" s="61" t="s">
        <v>406</v>
      </c>
      <c r="T11" s="59"/>
      <c r="U11" s="61" t="s">
        <v>422</v>
      </c>
      <c r="V11" s="59"/>
      <c r="W11" s="61" t="s">
        <v>0</v>
      </c>
      <c r="X11" s="59"/>
      <c r="Y11" s="61" t="s">
        <v>423</v>
      </c>
      <c r="Z11" s="59"/>
      <c r="AA11" s="61" t="s">
        <v>589</v>
      </c>
      <c r="AB11" s="59"/>
      <c r="AC11" s="61" t="s">
        <v>424</v>
      </c>
      <c r="AD11" s="59"/>
      <c r="AE11" s="61" t="s">
        <v>559</v>
      </c>
      <c r="AF11" s="59"/>
      <c r="AG11" s="61" t="s">
        <v>32</v>
      </c>
      <c r="AH11" s="59"/>
      <c r="AI11" s="61" t="s">
        <v>425</v>
      </c>
      <c r="AJ11" s="59"/>
      <c r="AK11" s="61" t="s">
        <v>426</v>
      </c>
    </row>
    <row r="12" spans="1:37" ht="12" hidden="1" customHeight="1">
      <c r="A12" s="12" t="s">
        <v>435</v>
      </c>
      <c r="B12" s="12"/>
      <c r="C12" s="15" t="s">
        <v>97</v>
      </c>
      <c r="D12" s="12"/>
      <c r="E12" s="23"/>
      <c r="F12" s="12"/>
      <c r="G12" s="23"/>
      <c r="H12" s="12"/>
      <c r="I12" s="23"/>
      <c r="J12" s="12"/>
      <c r="K12" s="23"/>
      <c r="L12" s="12"/>
      <c r="M12" s="23"/>
      <c r="N12" s="12"/>
      <c r="O12" s="23"/>
      <c r="P12" s="12"/>
      <c r="Q12" s="23"/>
      <c r="R12" s="12"/>
      <c r="S12" s="23"/>
      <c r="T12" s="12"/>
      <c r="U12" s="23"/>
      <c r="V12" s="12"/>
      <c r="W12" s="23"/>
      <c r="X12" s="12"/>
      <c r="Y12" s="23"/>
      <c r="Z12" s="12"/>
      <c r="AA12" s="23"/>
      <c r="AB12" s="12"/>
      <c r="AC12" s="23"/>
      <c r="AD12" s="12"/>
      <c r="AE12" s="23">
        <f t="shared" ref="AE12:AE45" si="0">SUM(O12:AC12)</f>
        <v>0</v>
      </c>
      <c r="AF12" s="12"/>
      <c r="AG12" s="23">
        <f t="shared" ref="AG12:AG45" si="1">+M12-AE12</f>
        <v>0</v>
      </c>
      <c r="AH12" s="12"/>
      <c r="AI12" s="23"/>
      <c r="AJ12" s="12"/>
      <c r="AK12" s="23">
        <f t="shared" ref="AK12:AK45" si="2">+AI12-AG12</f>
        <v>0</v>
      </c>
    </row>
    <row r="13" spans="1:37" ht="12" hidden="1" customHeight="1">
      <c r="A13" s="12" t="s">
        <v>563</v>
      </c>
      <c r="B13" s="12"/>
      <c r="C13" s="12" t="s">
        <v>83</v>
      </c>
      <c r="D13" s="12"/>
      <c r="E13" s="23">
        <v>0</v>
      </c>
      <c r="F13" s="12"/>
      <c r="G13" s="23">
        <v>0</v>
      </c>
      <c r="H13" s="12"/>
      <c r="I13" s="23">
        <v>0</v>
      </c>
      <c r="J13" s="12"/>
      <c r="K13" s="23">
        <v>0</v>
      </c>
      <c r="L13" s="12"/>
      <c r="M13" s="23">
        <f t="shared" ref="M13:M16" si="3">+E13-G13-I13-K13</f>
        <v>0</v>
      </c>
      <c r="N13" s="12"/>
      <c r="O13" s="23">
        <v>0</v>
      </c>
      <c r="P13" s="12"/>
      <c r="Q13" s="23">
        <v>0</v>
      </c>
      <c r="R13" s="12"/>
      <c r="S13" s="23">
        <v>0</v>
      </c>
      <c r="T13" s="12"/>
      <c r="U13" s="23">
        <v>0</v>
      </c>
      <c r="V13" s="12"/>
      <c r="W13" s="23">
        <v>0</v>
      </c>
      <c r="X13" s="12"/>
      <c r="Y13" s="23">
        <v>0</v>
      </c>
      <c r="Z13" s="12"/>
      <c r="AA13" s="23">
        <v>0</v>
      </c>
      <c r="AB13" s="12"/>
      <c r="AC13" s="23">
        <v>0</v>
      </c>
      <c r="AD13" s="12"/>
      <c r="AE13" s="23">
        <f t="shared" si="0"/>
        <v>0</v>
      </c>
      <c r="AF13" s="12"/>
      <c r="AG13" s="23">
        <f t="shared" si="1"/>
        <v>0</v>
      </c>
      <c r="AH13" s="12"/>
      <c r="AI13" s="23">
        <v>0</v>
      </c>
      <c r="AJ13" s="12"/>
      <c r="AK13" s="23">
        <f t="shared" si="2"/>
        <v>0</v>
      </c>
    </row>
    <row r="14" spans="1:37" s="62" customFormat="1" ht="12" customHeight="1">
      <c r="A14" s="42" t="s">
        <v>353</v>
      </c>
      <c r="B14" s="42"/>
      <c r="C14" s="42" t="s">
        <v>40</v>
      </c>
      <c r="D14" s="42"/>
      <c r="E14" s="73">
        <v>882206.96</v>
      </c>
      <c r="F14" s="73"/>
      <c r="G14" s="73">
        <v>26422.44</v>
      </c>
      <c r="H14" s="73"/>
      <c r="I14" s="73">
        <v>0</v>
      </c>
      <c r="J14" s="73"/>
      <c r="K14" s="73">
        <v>0</v>
      </c>
      <c r="L14" s="73"/>
      <c r="M14" s="74">
        <f>+E14-G14-I14-K14</f>
        <v>855784.52</v>
      </c>
      <c r="N14" s="73"/>
      <c r="O14" s="73">
        <v>0</v>
      </c>
      <c r="P14" s="73"/>
      <c r="Q14" s="73">
        <v>759204.41</v>
      </c>
      <c r="R14" s="73"/>
      <c r="S14" s="73">
        <v>0</v>
      </c>
      <c r="T14" s="73"/>
      <c r="U14" s="73">
        <v>21088.1</v>
      </c>
      <c r="V14" s="73"/>
      <c r="W14" s="73">
        <v>825.44</v>
      </c>
      <c r="X14" s="73"/>
      <c r="Y14" s="73">
        <v>0</v>
      </c>
      <c r="Z14" s="73"/>
      <c r="AA14" s="73">
        <v>0</v>
      </c>
      <c r="AB14" s="73"/>
      <c r="AC14" s="73">
        <v>0</v>
      </c>
      <c r="AD14" s="74"/>
      <c r="AE14" s="74">
        <f t="shared" si="0"/>
        <v>781117.95</v>
      </c>
      <c r="AF14" s="42"/>
      <c r="AG14" s="43">
        <f>+M14-AE14</f>
        <v>74666.570000000065</v>
      </c>
      <c r="AH14" s="42"/>
      <c r="AI14" s="42">
        <v>1562746</v>
      </c>
      <c r="AJ14" s="42"/>
      <c r="AK14" s="43">
        <f t="shared" si="2"/>
        <v>1488079.43</v>
      </c>
    </row>
    <row r="15" spans="1:37" ht="12" hidden="1" customHeight="1">
      <c r="A15" s="7" t="s">
        <v>434</v>
      </c>
      <c r="B15" s="42"/>
      <c r="C15" s="7" t="s">
        <v>22</v>
      </c>
      <c r="D15" s="42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/>
      <c r="M15" s="44">
        <f t="shared" si="3"/>
        <v>0</v>
      </c>
      <c r="N15" s="44"/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/>
      <c r="AE15" s="44">
        <f t="shared" si="0"/>
        <v>0</v>
      </c>
      <c r="AF15" s="23"/>
      <c r="AG15" s="23">
        <f>+M15-AE15</f>
        <v>0</v>
      </c>
      <c r="AH15" s="23"/>
      <c r="AI15" s="42">
        <v>0</v>
      </c>
      <c r="AJ15" s="23"/>
      <c r="AK15" s="23">
        <f t="shared" si="2"/>
        <v>0</v>
      </c>
    </row>
    <row r="16" spans="1:37" ht="12" customHeight="1">
      <c r="A16" s="15" t="s">
        <v>71</v>
      </c>
      <c r="B16" s="4"/>
      <c r="C16" s="15" t="s">
        <v>41</v>
      </c>
      <c r="D16" s="4"/>
      <c r="E16" s="68">
        <v>284111.24</v>
      </c>
      <c r="F16" s="68"/>
      <c r="G16" s="68">
        <v>0</v>
      </c>
      <c r="H16" s="68"/>
      <c r="I16" s="68">
        <v>0</v>
      </c>
      <c r="J16" s="68"/>
      <c r="K16" s="68">
        <v>0</v>
      </c>
      <c r="L16" s="68"/>
      <c r="M16" s="44">
        <f t="shared" si="3"/>
        <v>284111.24</v>
      </c>
      <c r="N16" s="68"/>
      <c r="O16" s="68">
        <v>0</v>
      </c>
      <c r="P16" s="68"/>
      <c r="Q16" s="68">
        <v>239039.74000000002</v>
      </c>
      <c r="R16" s="68"/>
      <c r="S16" s="68">
        <v>0</v>
      </c>
      <c r="T16" s="68"/>
      <c r="U16" s="68">
        <v>538.54999999999995</v>
      </c>
      <c r="V16" s="68"/>
      <c r="W16" s="68">
        <v>7439.6</v>
      </c>
      <c r="X16" s="68"/>
      <c r="Y16" s="68">
        <v>0</v>
      </c>
      <c r="Z16" s="68"/>
      <c r="AA16" s="68">
        <v>0</v>
      </c>
      <c r="AB16" s="68"/>
      <c r="AC16" s="68">
        <v>0</v>
      </c>
      <c r="AD16" s="8"/>
      <c r="AE16" s="44">
        <f t="shared" si="0"/>
        <v>247017.89</v>
      </c>
      <c r="AF16" s="4"/>
      <c r="AG16" s="23">
        <f t="shared" si="1"/>
        <v>37093.349999999977</v>
      </c>
      <c r="AH16" s="4"/>
      <c r="AI16" s="15">
        <v>706396</v>
      </c>
      <c r="AJ16" s="4"/>
      <c r="AK16" s="23">
        <f t="shared" si="2"/>
        <v>669302.65</v>
      </c>
    </row>
    <row r="17" spans="1:37" ht="12" hidden="1" customHeight="1">
      <c r="A17" s="15" t="s">
        <v>76</v>
      </c>
      <c r="B17" s="15"/>
      <c r="C17" s="15" t="s">
        <v>57</v>
      </c>
      <c r="D17" s="15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/>
      <c r="M17" s="44">
        <f>+E17-G17-I17-K17</f>
        <v>0</v>
      </c>
      <c r="N17" s="44"/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/>
      <c r="AE17" s="44">
        <f t="shared" si="0"/>
        <v>0</v>
      </c>
      <c r="AF17" s="23"/>
      <c r="AG17" s="23">
        <f t="shared" si="1"/>
        <v>0</v>
      </c>
      <c r="AH17" s="23"/>
      <c r="AI17" s="15">
        <v>0</v>
      </c>
      <c r="AJ17" s="23"/>
      <c r="AK17" s="23">
        <f t="shared" si="2"/>
        <v>0</v>
      </c>
    </row>
    <row r="18" spans="1:37" ht="12" customHeight="1">
      <c r="A18" s="3" t="s">
        <v>82</v>
      </c>
      <c r="B18" s="12"/>
      <c r="C18" s="3" t="s">
        <v>83</v>
      </c>
      <c r="D18" s="15"/>
      <c r="E18" s="44">
        <v>1372337</v>
      </c>
      <c r="F18" s="44">
        <v>0</v>
      </c>
      <c r="G18" s="44">
        <v>62803</v>
      </c>
      <c r="H18" s="44">
        <v>0</v>
      </c>
      <c r="I18" s="44">
        <v>3864</v>
      </c>
      <c r="J18" s="44">
        <v>0</v>
      </c>
      <c r="K18" s="44">
        <v>0</v>
      </c>
      <c r="L18" s="44"/>
      <c r="M18" s="44">
        <f>+E18-G18-I18-K18</f>
        <v>1305670</v>
      </c>
      <c r="N18" s="44"/>
      <c r="O18" s="44">
        <v>465511</v>
      </c>
      <c r="P18" s="44">
        <v>0</v>
      </c>
      <c r="Q18" s="44">
        <v>0</v>
      </c>
      <c r="R18" s="44">
        <v>0</v>
      </c>
      <c r="S18" s="44">
        <v>953859</v>
      </c>
      <c r="T18" s="44">
        <v>0</v>
      </c>
      <c r="U18" s="44">
        <v>9708</v>
      </c>
      <c r="V18" s="44">
        <v>0</v>
      </c>
      <c r="W18" s="44">
        <v>1568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/>
      <c r="AE18" s="44">
        <f t="shared" si="0"/>
        <v>1430646</v>
      </c>
      <c r="AF18" s="23"/>
      <c r="AG18" s="23">
        <f t="shared" si="1"/>
        <v>-124976</v>
      </c>
      <c r="AH18" s="23"/>
      <c r="AI18" s="15">
        <v>1962988</v>
      </c>
      <c r="AJ18" s="23"/>
      <c r="AK18" s="23">
        <f t="shared" si="2"/>
        <v>2087964</v>
      </c>
    </row>
    <row r="19" spans="1:37" s="63" customFormat="1" ht="12" customHeight="1">
      <c r="A19" s="15" t="s">
        <v>512</v>
      </c>
      <c r="B19" s="4"/>
      <c r="C19" s="15" t="s">
        <v>43</v>
      </c>
      <c r="D19" s="4"/>
      <c r="E19" s="68">
        <v>1406469.47</v>
      </c>
      <c r="F19" s="68"/>
      <c r="G19" s="68">
        <v>44092.97</v>
      </c>
      <c r="H19" s="68"/>
      <c r="I19" s="68">
        <v>58510.25</v>
      </c>
      <c r="J19" s="68"/>
      <c r="K19" s="68">
        <v>0</v>
      </c>
      <c r="L19" s="68"/>
      <c r="M19" s="44">
        <f t="shared" ref="M19:M82" si="4">+E19-G19-I19-K19</f>
        <v>1303866.25</v>
      </c>
      <c r="N19" s="68"/>
      <c r="O19" s="68">
        <v>1197186.1299999999</v>
      </c>
      <c r="P19" s="68"/>
      <c r="Q19" s="68">
        <v>871.99</v>
      </c>
      <c r="R19" s="68"/>
      <c r="S19" s="68">
        <v>0</v>
      </c>
      <c r="T19" s="68"/>
      <c r="U19" s="68">
        <v>0</v>
      </c>
      <c r="V19" s="68"/>
      <c r="W19" s="68">
        <v>3717.37</v>
      </c>
      <c r="X19" s="68"/>
      <c r="Y19" s="68">
        <v>0</v>
      </c>
      <c r="Z19" s="68"/>
      <c r="AA19" s="68">
        <v>0</v>
      </c>
      <c r="AB19" s="68"/>
      <c r="AC19" s="68">
        <v>0</v>
      </c>
      <c r="AD19" s="8"/>
      <c r="AE19" s="44">
        <f t="shared" si="0"/>
        <v>1201775.49</v>
      </c>
      <c r="AF19" s="4"/>
      <c r="AG19" s="23">
        <f t="shared" si="1"/>
        <v>102090.76000000001</v>
      </c>
      <c r="AH19" s="4"/>
      <c r="AI19" s="15">
        <v>2811553</v>
      </c>
      <c r="AJ19" s="4"/>
      <c r="AK19" s="23">
        <f>+AI19-AG19</f>
        <v>2709462.24</v>
      </c>
    </row>
    <row r="20" spans="1:37" ht="12" customHeight="1">
      <c r="A20" s="4" t="s">
        <v>356</v>
      </c>
      <c r="B20" s="4"/>
      <c r="C20" s="4" t="s">
        <v>44</v>
      </c>
      <c r="D20" s="4"/>
      <c r="E20" s="68">
        <v>960535.5</v>
      </c>
      <c r="F20" s="68"/>
      <c r="G20" s="68">
        <v>18351.63</v>
      </c>
      <c r="H20" s="68"/>
      <c r="I20" s="68">
        <v>35482.9</v>
      </c>
      <c r="J20" s="68"/>
      <c r="K20" s="68">
        <v>0</v>
      </c>
      <c r="L20" s="68"/>
      <c r="M20" s="44">
        <f t="shared" si="4"/>
        <v>906700.97</v>
      </c>
      <c r="N20" s="68"/>
      <c r="O20" s="68">
        <v>0</v>
      </c>
      <c r="P20" s="68"/>
      <c r="Q20" s="68">
        <v>943740.02</v>
      </c>
      <c r="R20" s="68"/>
      <c r="S20" s="68">
        <v>0</v>
      </c>
      <c r="T20" s="68"/>
      <c r="U20" s="68">
        <v>31308.62</v>
      </c>
      <c r="V20" s="68"/>
      <c r="W20" s="68">
        <v>5220.3599999999997</v>
      </c>
      <c r="X20" s="68"/>
      <c r="Y20" s="68">
        <v>0</v>
      </c>
      <c r="Z20" s="68"/>
      <c r="AA20" s="68">
        <v>0</v>
      </c>
      <c r="AB20" s="68"/>
      <c r="AC20" s="68">
        <v>0</v>
      </c>
      <c r="AD20" s="8"/>
      <c r="AE20" s="44">
        <f t="shared" si="0"/>
        <v>980269</v>
      </c>
      <c r="AF20" s="4"/>
      <c r="AG20" s="23">
        <f t="shared" si="1"/>
        <v>-73568.030000000028</v>
      </c>
      <c r="AH20" s="4"/>
      <c r="AI20" s="15">
        <v>3330082</v>
      </c>
      <c r="AJ20" s="4"/>
      <c r="AK20" s="23">
        <f t="shared" si="2"/>
        <v>3403650.0300000003</v>
      </c>
    </row>
    <row r="21" spans="1:37" ht="12" customHeight="1">
      <c r="A21" s="3" t="s">
        <v>84</v>
      </c>
      <c r="B21" s="12"/>
      <c r="C21" s="4" t="s">
        <v>57</v>
      </c>
      <c r="D21" s="15"/>
      <c r="E21" s="44">
        <v>2142766</v>
      </c>
      <c r="F21" s="44">
        <v>0</v>
      </c>
      <c r="G21" s="44">
        <v>54555</v>
      </c>
      <c r="H21" s="44">
        <v>0</v>
      </c>
      <c r="I21" s="44">
        <v>0</v>
      </c>
      <c r="J21" s="44">
        <v>0</v>
      </c>
      <c r="K21" s="44">
        <v>0</v>
      </c>
      <c r="L21" s="44"/>
      <c r="M21" s="44">
        <f t="shared" si="4"/>
        <v>2088211</v>
      </c>
      <c r="N21" s="44"/>
      <c r="O21" s="44">
        <v>1304051</v>
      </c>
      <c r="P21" s="44">
        <v>0</v>
      </c>
      <c r="Q21" s="44">
        <v>758539</v>
      </c>
      <c r="R21" s="44">
        <v>0</v>
      </c>
      <c r="S21" s="44">
        <v>938</v>
      </c>
      <c r="T21" s="44">
        <v>0</v>
      </c>
      <c r="U21" s="44">
        <v>505</v>
      </c>
      <c r="V21" s="44">
        <v>0</v>
      </c>
      <c r="W21" s="44">
        <v>20868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/>
      <c r="AE21" s="44">
        <f t="shared" si="0"/>
        <v>2084901</v>
      </c>
      <c r="AF21" s="23"/>
      <c r="AG21" s="23">
        <f t="shared" si="1"/>
        <v>3310</v>
      </c>
      <c r="AH21" s="23"/>
      <c r="AI21" s="15">
        <v>644922</v>
      </c>
      <c r="AJ21" s="23"/>
      <c r="AK21" s="23">
        <f t="shared" si="2"/>
        <v>641612</v>
      </c>
    </row>
    <row r="22" spans="1:37" ht="12" customHeight="1">
      <c r="A22" s="15" t="s">
        <v>357</v>
      </c>
      <c r="B22" s="4"/>
      <c r="C22" s="15" t="s">
        <v>22</v>
      </c>
      <c r="D22" s="4"/>
      <c r="E22" s="68">
        <v>1348185.97</v>
      </c>
      <c r="F22" s="68"/>
      <c r="G22" s="68">
        <v>29451.86</v>
      </c>
      <c r="H22" s="68"/>
      <c r="I22" s="68">
        <v>0</v>
      </c>
      <c r="J22" s="68"/>
      <c r="K22" s="68">
        <v>0</v>
      </c>
      <c r="L22" s="68"/>
      <c r="M22" s="44">
        <f t="shared" si="4"/>
        <v>1318734.1099999999</v>
      </c>
      <c r="N22" s="68"/>
      <c r="O22" s="68">
        <v>502816.82</v>
      </c>
      <c r="P22" s="68"/>
      <c r="Q22" s="68">
        <v>786031.47</v>
      </c>
      <c r="R22" s="68"/>
      <c r="S22" s="68">
        <v>0</v>
      </c>
      <c r="T22" s="68"/>
      <c r="U22" s="68">
        <v>21214.89</v>
      </c>
      <c r="V22" s="68"/>
      <c r="W22" s="68">
        <v>3954.52</v>
      </c>
      <c r="X22" s="68"/>
      <c r="Y22" s="68">
        <v>0</v>
      </c>
      <c r="Z22" s="68"/>
      <c r="AA22" s="68">
        <v>0</v>
      </c>
      <c r="AB22" s="68"/>
      <c r="AC22" s="68">
        <v>0</v>
      </c>
      <c r="AD22" s="8"/>
      <c r="AE22" s="44">
        <f t="shared" si="0"/>
        <v>1314017.7</v>
      </c>
      <c r="AF22" s="4"/>
      <c r="AG22" s="23">
        <f t="shared" si="1"/>
        <v>4716.4099999999162</v>
      </c>
      <c r="AH22" s="4"/>
      <c r="AI22" s="15">
        <v>1328491</v>
      </c>
      <c r="AJ22" s="4"/>
      <c r="AK22" s="23">
        <f t="shared" si="2"/>
        <v>1323774.5900000001</v>
      </c>
    </row>
    <row r="23" spans="1:37" ht="12" hidden="1" customHeight="1">
      <c r="A23" s="3" t="s">
        <v>21</v>
      </c>
      <c r="B23" s="12"/>
      <c r="C23" s="3" t="s">
        <v>13</v>
      </c>
      <c r="D23" s="15"/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/>
      <c r="M23" s="44">
        <f t="shared" si="4"/>
        <v>0</v>
      </c>
      <c r="N23" s="44"/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/>
      <c r="AE23" s="44">
        <f t="shared" si="0"/>
        <v>0</v>
      </c>
      <c r="AF23" s="23"/>
      <c r="AG23" s="23">
        <f t="shared" si="1"/>
        <v>0</v>
      </c>
      <c r="AH23" s="23"/>
      <c r="AI23" s="15">
        <v>0</v>
      </c>
      <c r="AJ23" s="23"/>
      <c r="AK23" s="23">
        <f t="shared" si="2"/>
        <v>0</v>
      </c>
    </row>
    <row r="24" spans="1:37" ht="12" customHeight="1">
      <c r="A24" s="15" t="s">
        <v>358</v>
      </c>
      <c r="B24" s="4"/>
      <c r="C24" s="15" t="s">
        <v>13</v>
      </c>
      <c r="D24" s="4"/>
      <c r="E24" s="68">
        <v>456704.85</v>
      </c>
      <c r="F24" s="68"/>
      <c r="G24" s="68">
        <v>9546.11</v>
      </c>
      <c r="H24" s="68"/>
      <c r="I24" s="68">
        <v>0</v>
      </c>
      <c r="J24" s="68"/>
      <c r="K24" s="68">
        <v>0</v>
      </c>
      <c r="L24" s="68"/>
      <c r="M24" s="44">
        <f t="shared" si="4"/>
        <v>447158.74</v>
      </c>
      <c r="N24" s="68"/>
      <c r="O24" s="68">
        <v>0</v>
      </c>
      <c r="P24" s="68"/>
      <c r="Q24" s="68">
        <v>395959.24</v>
      </c>
      <c r="R24" s="68"/>
      <c r="S24" s="68">
        <v>0</v>
      </c>
      <c r="T24" s="68"/>
      <c r="U24" s="68">
        <v>8092.82</v>
      </c>
      <c r="V24" s="68"/>
      <c r="W24" s="68">
        <v>1680.45</v>
      </c>
      <c r="X24" s="68"/>
      <c r="Y24" s="68">
        <v>0</v>
      </c>
      <c r="Z24" s="68"/>
      <c r="AA24" s="68">
        <v>0</v>
      </c>
      <c r="AB24" s="68"/>
      <c r="AC24" s="68">
        <v>0</v>
      </c>
      <c r="AD24" s="8"/>
      <c r="AE24" s="44">
        <f t="shared" si="0"/>
        <v>405732.51</v>
      </c>
      <c r="AF24" s="4"/>
      <c r="AG24" s="23">
        <f t="shared" si="1"/>
        <v>41426.229999999981</v>
      </c>
      <c r="AH24" s="4"/>
      <c r="AI24" s="15">
        <v>974679</v>
      </c>
      <c r="AJ24" s="4"/>
      <c r="AK24" s="23">
        <f t="shared" si="2"/>
        <v>933252.77</v>
      </c>
    </row>
    <row r="25" spans="1:37" ht="12" customHeight="1">
      <c r="A25" s="3" t="s">
        <v>88</v>
      </c>
      <c r="B25" s="15"/>
      <c r="C25" s="4" t="s">
        <v>89</v>
      </c>
      <c r="D25" s="15"/>
      <c r="E25" s="44">
        <v>871775</v>
      </c>
      <c r="F25" s="44">
        <v>0</v>
      </c>
      <c r="G25" s="44">
        <v>24210</v>
      </c>
      <c r="H25" s="44">
        <v>0</v>
      </c>
      <c r="I25" s="44">
        <v>640</v>
      </c>
      <c r="J25" s="44">
        <v>0</v>
      </c>
      <c r="K25" s="44">
        <v>0</v>
      </c>
      <c r="L25" s="44"/>
      <c r="M25" s="44">
        <f t="shared" si="4"/>
        <v>846925</v>
      </c>
      <c r="N25" s="44"/>
      <c r="O25" s="44">
        <v>281009</v>
      </c>
      <c r="P25" s="44">
        <v>0</v>
      </c>
      <c r="Q25" s="44">
        <v>528730</v>
      </c>
      <c r="R25" s="44">
        <v>0</v>
      </c>
      <c r="S25" s="44">
        <v>17251</v>
      </c>
      <c r="T25" s="44">
        <v>0</v>
      </c>
      <c r="U25" s="44">
        <v>3841</v>
      </c>
      <c r="V25" s="44">
        <v>0</v>
      </c>
      <c r="W25" s="44">
        <v>34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/>
      <c r="AE25" s="44">
        <f t="shared" si="0"/>
        <v>830865</v>
      </c>
      <c r="AF25" s="23"/>
      <c r="AG25" s="23">
        <f t="shared" si="1"/>
        <v>16060</v>
      </c>
      <c r="AH25" s="23"/>
      <c r="AI25" s="15">
        <v>868291</v>
      </c>
      <c r="AJ25" s="23"/>
      <c r="AK25" s="23">
        <f t="shared" si="2"/>
        <v>852231</v>
      </c>
    </row>
    <row r="26" spans="1:37" ht="12" customHeight="1">
      <c r="A26" s="4" t="s">
        <v>95</v>
      </c>
      <c r="B26" s="4"/>
      <c r="C26" s="4" t="s">
        <v>69</v>
      </c>
      <c r="D26" s="4"/>
      <c r="E26" s="44">
        <v>565395</v>
      </c>
      <c r="F26" s="44">
        <v>0</v>
      </c>
      <c r="G26" s="44">
        <v>12086</v>
      </c>
      <c r="H26" s="44">
        <v>0</v>
      </c>
      <c r="I26" s="44">
        <v>0</v>
      </c>
      <c r="J26" s="44">
        <v>0</v>
      </c>
      <c r="K26" s="44">
        <v>0</v>
      </c>
      <c r="L26" s="44"/>
      <c r="M26" s="44">
        <f t="shared" si="4"/>
        <v>553309</v>
      </c>
      <c r="N26" s="44"/>
      <c r="O26" s="44">
        <v>130454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1138</v>
      </c>
      <c r="V26" s="44">
        <v>0</v>
      </c>
      <c r="W26" s="44">
        <f>378763+2645</f>
        <v>381408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8"/>
      <c r="AE26" s="44">
        <f t="shared" si="0"/>
        <v>513000</v>
      </c>
      <c r="AF26" s="4"/>
      <c r="AG26" s="23">
        <f t="shared" si="1"/>
        <v>40309</v>
      </c>
      <c r="AH26" s="4"/>
      <c r="AI26" s="15">
        <v>252471</v>
      </c>
      <c r="AJ26" s="4"/>
      <c r="AK26" s="23">
        <f t="shared" si="2"/>
        <v>212162</v>
      </c>
    </row>
    <row r="27" spans="1:37" ht="12" customHeight="1">
      <c r="A27" s="12" t="s">
        <v>100</v>
      </c>
      <c r="B27" s="15"/>
      <c r="C27" s="15" t="s">
        <v>56</v>
      </c>
      <c r="D27" s="15"/>
      <c r="E27" s="44">
        <v>312412</v>
      </c>
      <c r="F27" s="44">
        <v>0</v>
      </c>
      <c r="G27" s="44">
        <v>15841</v>
      </c>
      <c r="H27" s="44">
        <v>0</v>
      </c>
      <c r="I27" s="44">
        <v>0</v>
      </c>
      <c r="J27" s="44">
        <v>0</v>
      </c>
      <c r="K27" s="44">
        <v>0</v>
      </c>
      <c r="L27" s="44"/>
      <c r="M27" s="44">
        <f t="shared" si="4"/>
        <v>296571</v>
      </c>
      <c r="N27" s="44"/>
      <c r="O27" s="44">
        <v>0</v>
      </c>
      <c r="P27" s="44">
        <v>0</v>
      </c>
      <c r="Q27" s="44">
        <v>324261</v>
      </c>
      <c r="R27" s="44">
        <v>0</v>
      </c>
      <c r="S27" s="44">
        <v>0</v>
      </c>
      <c r="T27" s="44">
        <v>0</v>
      </c>
      <c r="U27" s="44">
        <v>15789</v>
      </c>
      <c r="V27" s="44">
        <v>0</v>
      </c>
      <c r="W27" s="44">
        <v>9278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/>
      <c r="AE27" s="44">
        <f t="shared" si="0"/>
        <v>349328</v>
      </c>
      <c r="AF27" s="23"/>
      <c r="AG27" s="23">
        <f t="shared" si="1"/>
        <v>-52757</v>
      </c>
      <c r="AH27" s="23"/>
      <c r="AI27" s="15">
        <v>863964</v>
      </c>
      <c r="AJ27" s="23"/>
      <c r="AK27" s="23">
        <f t="shared" si="2"/>
        <v>916721</v>
      </c>
    </row>
    <row r="28" spans="1:37" ht="12" customHeight="1">
      <c r="A28" s="12" t="s">
        <v>109</v>
      </c>
      <c r="B28" s="12"/>
      <c r="C28" s="12" t="s">
        <v>110</v>
      </c>
      <c r="D28" s="15"/>
      <c r="E28" s="44">
        <v>814440</v>
      </c>
      <c r="F28" s="44">
        <v>0</v>
      </c>
      <c r="G28" s="44">
        <v>20069</v>
      </c>
      <c r="H28" s="44">
        <v>0</v>
      </c>
      <c r="I28" s="44">
        <v>3566</v>
      </c>
      <c r="J28" s="44">
        <v>0</v>
      </c>
      <c r="K28" s="44">
        <v>0</v>
      </c>
      <c r="L28" s="44"/>
      <c r="M28" s="44">
        <f t="shared" si="4"/>
        <v>790805</v>
      </c>
      <c r="N28" s="44"/>
      <c r="O28" s="44">
        <v>0</v>
      </c>
      <c r="P28" s="44">
        <v>0</v>
      </c>
      <c r="Q28" s="44">
        <v>797721</v>
      </c>
      <c r="R28" s="44">
        <v>0</v>
      </c>
      <c r="S28" s="44">
        <f>302+62000</f>
        <v>62302</v>
      </c>
      <c r="T28" s="44">
        <v>0</v>
      </c>
      <c r="U28" s="44">
        <v>9181</v>
      </c>
      <c r="V28" s="44">
        <v>0</v>
      </c>
      <c r="W28" s="44">
        <v>10383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/>
      <c r="AE28" s="44">
        <f t="shared" si="0"/>
        <v>879587</v>
      </c>
      <c r="AF28" s="23"/>
      <c r="AG28" s="23">
        <f>+M28-AE28</f>
        <v>-88782</v>
      </c>
      <c r="AH28" s="23"/>
      <c r="AI28" s="15">
        <v>1257631</v>
      </c>
      <c r="AJ28" s="23"/>
      <c r="AK28" s="23">
        <f t="shared" si="2"/>
        <v>1346413</v>
      </c>
    </row>
    <row r="29" spans="1:37" ht="12" customHeight="1">
      <c r="A29" s="15" t="s">
        <v>360</v>
      </c>
      <c r="B29" s="4"/>
      <c r="C29" s="15" t="s">
        <v>48</v>
      </c>
      <c r="D29" s="4"/>
      <c r="E29" s="68">
        <v>654717.37</v>
      </c>
      <c r="F29" s="68"/>
      <c r="G29" s="68">
        <v>35304.9</v>
      </c>
      <c r="H29" s="68"/>
      <c r="I29" s="68">
        <v>0</v>
      </c>
      <c r="J29" s="68"/>
      <c r="K29" s="68">
        <v>0</v>
      </c>
      <c r="L29" s="68"/>
      <c r="M29" s="44">
        <f t="shared" si="4"/>
        <v>619412.47</v>
      </c>
      <c r="N29" s="68"/>
      <c r="O29" s="68">
        <v>0</v>
      </c>
      <c r="P29" s="68"/>
      <c r="Q29" s="68">
        <v>579906.5199999999</v>
      </c>
      <c r="R29" s="68"/>
      <c r="S29" s="68">
        <v>0</v>
      </c>
      <c r="T29" s="68"/>
      <c r="U29" s="68">
        <v>2889.51</v>
      </c>
      <c r="V29" s="68"/>
      <c r="W29" s="68">
        <v>1902.84</v>
      </c>
      <c r="X29" s="68"/>
      <c r="Y29" s="68">
        <v>0</v>
      </c>
      <c r="Z29" s="68"/>
      <c r="AA29" s="68">
        <v>0</v>
      </c>
      <c r="AB29" s="68"/>
      <c r="AC29" s="68">
        <v>0</v>
      </c>
      <c r="AD29" s="8"/>
      <c r="AE29" s="44">
        <f t="shared" si="0"/>
        <v>584698.86999999988</v>
      </c>
      <c r="AF29" s="4"/>
      <c r="AG29" s="23">
        <f t="shared" si="1"/>
        <v>34713.600000000093</v>
      </c>
      <c r="AH29" s="4"/>
      <c r="AI29" s="15">
        <v>714079</v>
      </c>
      <c r="AJ29" s="4"/>
      <c r="AK29" s="23">
        <f t="shared" si="2"/>
        <v>679365.39999999991</v>
      </c>
    </row>
    <row r="30" spans="1:37" ht="12" customHeight="1">
      <c r="A30" s="15" t="s">
        <v>570</v>
      </c>
      <c r="B30" s="4"/>
      <c r="C30" s="15" t="s">
        <v>49</v>
      </c>
      <c r="D30" s="4"/>
      <c r="E30" s="68">
        <v>2159616.08</v>
      </c>
      <c r="F30" s="68"/>
      <c r="G30" s="68">
        <v>46656.5</v>
      </c>
      <c r="H30" s="68"/>
      <c r="I30" s="68">
        <v>10081.799999999999</v>
      </c>
      <c r="J30" s="68"/>
      <c r="K30" s="68">
        <v>0</v>
      </c>
      <c r="L30" s="68"/>
      <c r="M30" s="44">
        <f t="shared" si="4"/>
        <v>2102877.7800000003</v>
      </c>
      <c r="N30" s="68"/>
      <c r="O30" s="68">
        <v>0</v>
      </c>
      <c r="P30" s="68"/>
      <c r="Q30" s="68">
        <v>2059302.4000000001</v>
      </c>
      <c r="R30" s="68"/>
      <c r="S30" s="68">
        <v>0</v>
      </c>
      <c r="T30" s="68"/>
      <c r="U30" s="68">
        <v>3204.93</v>
      </c>
      <c r="V30" s="68"/>
      <c r="W30" s="68">
        <v>22420.2</v>
      </c>
      <c r="X30" s="68"/>
      <c r="Y30" s="68">
        <v>0</v>
      </c>
      <c r="Z30" s="68"/>
      <c r="AA30" s="68">
        <v>0</v>
      </c>
      <c r="AB30" s="68"/>
      <c r="AC30" s="68">
        <v>0</v>
      </c>
      <c r="AD30" s="8"/>
      <c r="AE30" s="44">
        <f t="shared" si="0"/>
        <v>2084927.53</v>
      </c>
      <c r="AF30" s="4"/>
      <c r="AG30" s="23">
        <f t="shared" si="1"/>
        <v>17950.250000000233</v>
      </c>
      <c r="AH30" s="4"/>
      <c r="AI30" s="15">
        <v>583323</v>
      </c>
      <c r="AJ30" s="4"/>
      <c r="AK30" s="23">
        <f t="shared" si="2"/>
        <v>565372.74999999977</v>
      </c>
    </row>
    <row r="31" spans="1:37" ht="12" customHeight="1">
      <c r="A31" s="15" t="s">
        <v>630</v>
      </c>
      <c r="B31" s="4"/>
      <c r="C31" s="15" t="s">
        <v>580</v>
      </c>
      <c r="D31" s="4"/>
      <c r="E31" s="44">
        <v>56936665</v>
      </c>
      <c r="F31" s="44">
        <v>0</v>
      </c>
      <c r="G31" s="44">
        <v>1983512</v>
      </c>
      <c r="H31" s="44">
        <v>0</v>
      </c>
      <c r="I31" s="44">
        <v>457780</v>
      </c>
      <c r="J31" s="44">
        <v>0</v>
      </c>
      <c r="K31" s="44">
        <v>0</v>
      </c>
      <c r="L31" s="44"/>
      <c r="M31" s="44">
        <f t="shared" si="4"/>
        <v>54495373</v>
      </c>
      <c r="N31" s="44"/>
      <c r="O31" s="44">
        <v>19618860</v>
      </c>
      <c r="P31" s="44">
        <v>0</v>
      </c>
      <c r="Q31" s="44">
        <v>38213450</v>
      </c>
      <c r="R31" s="44">
        <v>0</v>
      </c>
      <c r="S31" s="44">
        <v>0</v>
      </c>
      <c r="T31" s="44">
        <v>0</v>
      </c>
      <c r="U31" s="44">
        <v>22673</v>
      </c>
      <c r="V31" s="44">
        <v>0</v>
      </c>
      <c r="W31" s="44">
        <f>48375+701110+3911</f>
        <v>753396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8"/>
      <c r="AE31" s="44">
        <f t="shared" ref="AE31" si="5">SUM(O31:AC31)</f>
        <v>58608379</v>
      </c>
      <c r="AF31" s="4"/>
      <c r="AG31" s="23">
        <f t="shared" ref="AG31" si="6">+M31-AE31</f>
        <v>-4113006</v>
      </c>
      <c r="AH31" s="4"/>
      <c r="AI31" s="15">
        <v>120352021</v>
      </c>
      <c r="AJ31" s="4"/>
      <c r="AK31" s="23">
        <f t="shared" ref="AK31" si="7">+AI31-AG31</f>
        <v>124465027</v>
      </c>
    </row>
    <row r="32" spans="1:37" ht="12" customHeight="1">
      <c r="A32" s="4" t="s">
        <v>115</v>
      </c>
      <c r="B32" s="4"/>
      <c r="C32" s="4" t="s">
        <v>116</v>
      </c>
      <c r="D32" s="4"/>
      <c r="E32" s="44">
        <v>8171407</v>
      </c>
      <c r="F32" s="44">
        <v>0</v>
      </c>
      <c r="G32" s="44">
        <v>235652</v>
      </c>
      <c r="H32" s="44">
        <v>0</v>
      </c>
      <c r="I32" s="44">
        <v>0</v>
      </c>
      <c r="J32" s="44">
        <v>0</v>
      </c>
      <c r="K32" s="44">
        <v>0</v>
      </c>
      <c r="L32" s="44"/>
      <c r="M32" s="44">
        <f t="shared" si="4"/>
        <v>7935755</v>
      </c>
      <c r="N32" s="44"/>
      <c r="O32" s="44">
        <v>3435300</v>
      </c>
      <c r="P32" s="44">
        <v>0</v>
      </c>
      <c r="Q32" s="44">
        <v>4551707</v>
      </c>
      <c r="R32" s="44">
        <v>0</v>
      </c>
      <c r="S32" s="44">
        <v>34895</v>
      </c>
      <c r="T32" s="44">
        <v>0</v>
      </c>
      <c r="U32" s="44">
        <v>9666</v>
      </c>
      <c r="V32" s="44">
        <v>0</v>
      </c>
      <c r="W32" s="44">
        <f>52772+58398+662247</f>
        <v>773417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82500</v>
      </c>
      <c r="AD32" s="8"/>
      <c r="AE32" s="44">
        <f t="shared" si="0"/>
        <v>8887485</v>
      </c>
      <c r="AF32" s="4"/>
      <c r="AG32" s="23">
        <f t="shared" si="1"/>
        <v>-951730</v>
      </c>
      <c r="AH32" s="4"/>
      <c r="AI32" s="15">
        <v>8302584</v>
      </c>
      <c r="AJ32" s="4"/>
      <c r="AK32" s="23">
        <f t="shared" si="2"/>
        <v>9254314</v>
      </c>
    </row>
    <row r="33" spans="1:37" ht="12" customHeight="1">
      <c r="A33" s="12" t="s">
        <v>627</v>
      </c>
      <c r="B33" s="15"/>
      <c r="C33" s="15" t="s">
        <v>19</v>
      </c>
      <c r="D33" s="15"/>
      <c r="E33" s="44">
        <v>7743624</v>
      </c>
      <c r="F33" s="44">
        <v>0</v>
      </c>
      <c r="G33" s="44">
        <v>146343</v>
      </c>
      <c r="H33" s="44">
        <v>0</v>
      </c>
      <c r="I33" s="44">
        <v>46143</v>
      </c>
      <c r="J33" s="44">
        <v>0</v>
      </c>
      <c r="K33" s="44">
        <v>0</v>
      </c>
      <c r="L33" s="44"/>
      <c r="M33" s="44">
        <f t="shared" si="4"/>
        <v>7551138</v>
      </c>
      <c r="N33" s="44"/>
      <c r="O33" s="44">
        <v>5619186</v>
      </c>
      <c r="P33" s="44">
        <v>0</v>
      </c>
      <c r="Q33" s="44">
        <v>3575503</v>
      </c>
      <c r="R33" s="44">
        <v>0</v>
      </c>
      <c r="S33" s="44">
        <v>0</v>
      </c>
      <c r="T33" s="44">
        <v>0</v>
      </c>
      <c r="U33" s="44">
        <v>21094</v>
      </c>
      <c r="V33" s="44">
        <v>0</v>
      </c>
      <c r="W33" s="44">
        <v>22689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/>
      <c r="AE33" s="44">
        <f t="shared" si="0"/>
        <v>9238472</v>
      </c>
      <c r="AF33" s="23"/>
      <c r="AG33" s="23">
        <f t="shared" si="1"/>
        <v>-1687334</v>
      </c>
      <c r="AH33" s="23"/>
      <c r="AI33" s="15">
        <v>21573286</v>
      </c>
      <c r="AJ33" s="23"/>
      <c r="AK33" s="23">
        <f t="shared" si="2"/>
        <v>23260620</v>
      </c>
    </row>
    <row r="34" spans="1:37" ht="12" customHeight="1">
      <c r="A34" s="12" t="s">
        <v>628</v>
      </c>
      <c r="B34" s="12"/>
      <c r="C34" s="12" t="s">
        <v>19</v>
      </c>
      <c r="D34" s="15"/>
      <c r="E34" s="44">
        <v>63697403</v>
      </c>
      <c r="F34" s="44">
        <v>0</v>
      </c>
      <c r="G34" s="44">
        <v>3076636</v>
      </c>
      <c r="H34" s="44">
        <v>0</v>
      </c>
      <c r="I34" s="44">
        <v>3348774</v>
      </c>
      <c r="J34" s="44">
        <v>0</v>
      </c>
      <c r="K34" s="44">
        <v>0</v>
      </c>
      <c r="L34" s="44"/>
      <c r="M34" s="44">
        <f t="shared" si="4"/>
        <v>57271993</v>
      </c>
      <c r="N34" s="44"/>
      <c r="O34" s="44">
        <v>33678372</v>
      </c>
      <c r="P34" s="44">
        <v>0</v>
      </c>
      <c r="Q34" s="44">
        <v>30665636</v>
      </c>
      <c r="R34" s="44">
        <v>0</v>
      </c>
      <c r="S34" s="44">
        <v>0</v>
      </c>
      <c r="T34" s="44">
        <v>0</v>
      </c>
      <c r="U34" s="44">
        <v>418177</v>
      </c>
      <c r="V34" s="44">
        <v>0</v>
      </c>
      <c r="W34" s="44">
        <v>522163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/>
      <c r="AE34" s="44">
        <f t="shared" si="0"/>
        <v>65284348</v>
      </c>
      <c r="AF34" s="23"/>
      <c r="AG34" s="23">
        <f t="shared" si="1"/>
        <v>-8012355</v>
      </c>
      <c r="AH34" s="23"/>
      <c r="AI34" s="15">
        <v>175954819</v>
      </c>
      <c r="AJ34" s="23"/>
      <c r="AK34" s="23">
        <f t="shared" si="2"/>
        <v>183967174</v>
      </c>
    </row>
    <row r="35" spans="1:37" ht="12" customHeight="1">
      <c r="A35" s="4" t="s">
        <v>72</v>
      </c>
      <c r="B35" s="4"/>
      <c r="C35" s="4" t="s">
        <v>50</v>
      </c>
      <c r="D35" s="4"/>
      <c r="E35" s="68">
        <v>176618.79</v>
      </c>
      <c r="F35" s="68"/>
      <c r="G35" s="68">
        <v>7161.92</v>
      </c>
      <c r="H35" s="68"/>
      <c r="I35" s="68">
        <v>0</v>
      </c>
      <c r="J35" s="68"/>
      <c r="K35" s="68">
        <v>0</v>
      </c>
      <c r="L35" s="68"/>
      <c r="M35" s="44">
        <f t="shared" si="4"/>
        <v>169456.87</v>
      </c>
      <c r="N35" s="68"/>
      <c r="O35" s="68">
        <v>0</v>
      </c>
      <c r="P35" s="68"/>
      <c r="Q35" s="68">
        <v>199174.37999999998</v>
      </c>
      <c r="R35" s="68"/>
      <c r="S35" s="68">
        <v>0</v>
      </c>
      <c r="T35" s="68"/>
      <c r="U35" s="68">
        <v>555.49</v>
      </c>
      <c r="V35" s="68"/>
      <c r="W35" s="68">
        <v>1106.83</v>
      </c>
      <c r="X35" s="68"/>
      <c r="Y35" s="68">
        <v>0</v>
      </c>
      <c r="Z35" s="68"/>
      <c r="AA35" s="68">
        <v>0</v>
      </c>
      <c r="AB35" s="68"/>
      <c r="AC35" s="68">
        <v>0</v>
      </c>
      <c r="AD35" s="8"/>
      <c r="AE35" s="44">
        <f t="shared" si="0"/>
        <v>200836.69999999995</v>
      </c>
      <c r="AF35" s="4"/>
      <c r="AG35" s="23">
        <f t="shared" si="1"/>
        <v>-31379.829999999958</v>
      </c>
      <c r="AH35" s="4"/>
      <c r="AI35" s="15">
        <v>104774</v>
      </c>
      <c r="AJ35" s="4"/>
      <c r="AK35" s="23">
        <f t="shared" si="2"/>
        <v>136153.82999999996</v>
      </c>
    </row>
    <row r="36" spans="1:37" ht="12" customHeight="1">
      <c r="A36" s="4" t="s">
        <v>629</v>
      </c>
      <c r="B36" s="4"/>
      <c r="C36" s="4" t="s">
        <v>92</v>
      </c>
      <c r="D36" s="4"/>
      <c r="E36" s="44">
        <v>46783818</v>
      </c>
      <c r="F36" s="44">
        <v>0</v>
      </c>
      <c r="G36" s="44">
        <v>3256482</v>
      </c>
      <c r="H36" s="44">
        <v>0</v>
      </c>
      <c r="I36" s="44">
        <v>1389960</v>
      </c>
      <c r="J36" s="44">
        <v>0</v>
      </c>
      <c r="K36" s="44">
        <v>0</v>
      </c>
      <c r="L36" s="44"/>
      <c r="M36" s="44">
        <f t="shared" si="4"/>
        <v>42137376</v>
      </c>
      <c r="N36" s="44"/>
      <c r="O36" s="44">
        <v>15669459</v>
      </c>
      <c r="P36" s="44">
        <v>0</v>
      </c>
      <c r="Q36" s="44">
        <v>24101422</v>
      </c>
      <c r="R36" s="44">
        <v>0</v>
      </c>
      <c r="S36" s="44">
        <v>167129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8"/>
      <c r="AE36" s="44">
        <f t="shared" ref="AE36" si="8">SUM(O36:AC36)</f>
        <v>39938010</v>
      </c>
      <c r="AF36" s="4"/>
      <c r="AG36" s="23">
        <f t="shared" ref="AG36" si="9">+M36-AE36</f>
        <v>2199366</v>
      </c>
      <c r="AH36" s="4"/>
      <c r="AI36" s="15">
        <v>83638295</v>
      </c>
      <c r="AJ36" s="4"/>
      <c r="AK36" s="23">
        <f t="shared" ref="AK36" si="10">+AI36-AG36</f>
        <v>81438929</v>
      </c>
    </row>
    <row r="37" spans="1:37" ht="12" customHeight="1">
      <c r="A37" s="15" t="s">
        <v>363</v>
      </c>
      <c r="B37" s="15"/>
      <c r="C37" s="15" t="s">
        <v>70</v>
      </c>
      <c r="D37" s="15"/>
      <c r="E37" s="68">
        <v>947395.43</v>
      </c>
      <c r="F37" s="68"/>
      <c r="G37" s="68">
        <v>23209.03</v>
      </c>
      <c r="H37" s="68"/>
      <c r="I37" s="68">
        <v>23577.11</v>
      </c>
      <c r="J37" s="68"/>
      <c r="K37" s="68">
        <v>0</v>
      </c>
      <c r="L37" s="68"/>
      <c r="M37" s="44">
        <f t="shared" si="4"/>
        <v>900609.29</v>
      </c>
      <c r="N37" s="68"/>
      <c r="O37" s="68">
        <v>656282.57999999996</v>
      </c>
      <c r="P37" s="68"/>
      <c r="Q37" s="68">
        <v>494296.76</v>
      </c>
      <c r="R37" s="68"/>
      <c r="S37" s="68">
        <v>0</v>
      </c>
      <c r="T37" s="68"/>
      <c r="U37" s="68">
        <v>3896.52</v>
      </c>
      <c r="V37" s="68"/>
      <c r="W37" s="68">
        <v>58.93</v>
      </c>
      <c r="X37" s="68"/>
      <c r="Y37" s="68">
        <v>0</v>
      </c>
      <c r="Z37" s="68"/>
      <c r="AA37" s="68">
        <v>0</v>
      </c>
      <c r="AB37" s="68"/>
      <c r="AC37" s="68">
        <v>0</v>
      </c>
      <c r="AD37" s="44"/>
      <c r="AE37" s="44">
        <f t="shared" si="0"/>
        <v>1154534.7899999998</v>
      </c>
      <c r="AF37" s="23"/>
      <c r="AG37" s="23">
        <f t="shared" si="1"/>
        <v>-253925.49999999977</v>
      </c>
      <c r="AH37" s="23"/>
      <c r="AI37" s="15">
        <v>403114</v>
      </c>
      <c r="AJ37" s="23"/>
      <c r="AK37" s="23">
        <f t="shared" si="2"/>
        <v>657039.49999999977</v>
      </c>
    </row>
    <row r="38" spans="1:37" ht="12" hidden="1" customHeight="1">
      <c r="A38" s="12" t="s">
        <v>364</v>
      </c>
      <c r="B38" s="15"/>
      <c r="C38" s="15" t="s">
        <v>52</v>
      </c>
      <c r="D38" s="15"/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/>
      <c r="M38" s="44">
        <f t="shared" si="4"/>
        <v>0</v>
      </c>
      <c r="N38" s="44"/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/>
      <c r="AE38" s="44">
        <f t="shared" si="0"/>
        <v>0</v>
      </c>
      <c r="AF38" s="23"/>
      <c r="AG38" s="23">
        <f t="shared" si="1"/>
        <v>0</v>
      </c>
      <c r="AH38" s="23"/>
      <c r="AI38" s="15">
        <v>0</v>
      </c>
      <c r="AJ38" s="23"/>
      <c r="AK38" s="23">
        <f t="shared" si="2"/>
        <v>0</v>
      </c>
    </row>
    <row r="39" spans="1:37" ht="12" customHeight="1">
      <c r="A39" s="12" t="s">
        <v>633</v>
      </c>
      <c r="B39" s="15"/>
      <c r="C39" s="15" t="s">
        <v>19</v>
      </c>
      <c r="D39" s="15"/>
      <c r="E39" s="44">
        <v>62964698</v>
      </c>
      <c r="F39" s="44">
        <v>0</v>
      </c>
      <c r="G39" s="44">
        <v>1744726</v>
      </c>
      <c r="H39" s="44">
        <v>0</v>
      </c>
      <c r="I39" s="44">
        <v>828922</v>
      </c>
      <c r="J39" s="44">
        <v>0</v>
      </c>
      <c r="K39" s="44">
        <v>50000</v>
      </c>
      <c r="L39" s="44"/>
      <c r="M39" s="44">
        <f t="shared" si="4"/>
        <v>60341050</v>
      </c>
      <c r="N39" s="44"/>
      <c r="O39" s="44">
        <v>39715710</v>
      </c>
      <c r="P39" s="44">
        <v>0</v>
      </c>
      <c r="Q39" s="44">
        <v>27986781</v>
      </c>
      <c r="R39" s="44">
        <v>0</v>
      </c>
      <c r="S39" s="44">
        <v>0</v>
      </c>
      <c r="T39" s="44">
        <v>0</v>
      </c>
      <c r="U39" s="44">
        <v>178952</v>
      </c>
      <c r="V39" s="44">
        <v>0</v>
      </c>
      <c r="W39" s="44">
        <v>20952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/>
      <c r="AE39" s="44">
        <f t="shared" si="0"/>
        <v>67902395</v>
      </c>
      <c r="AF39" s="23"/>
      <c r="AG39" s="23">
        <f t="shared" si="1"/>
        <v>-7561345</v>
      </c>
      <c r="AH39" s="23"/>
      <c r="AI39" s="15">
        <v>90824884</v>
      </c>
      <c r="AJ39" s="23"/>
      <c r="AK39" s="23">
        <f t="shared" si="2"/>
        <v>98386229</v>
      </c>
    </row>
    <row r="40" spans="1:37" ht="12" customHeight="1">
      <c r="A40" s="3" t="s">
        <v>124</v>
      </c>
      <c r="B40" s="12"/>
      <c r="C40" s="3" t="s">
        <v>55</v>
      </c>
      <c r="D40" s="15"/>
      <c r="E40" s="44">
        <v>26347770</v>
      </c>
      <c r="F40" s="44">
        <v>0</v>
      </c>
      <c r="G40" s="44">
        <v>764951</v>
      </c>
      <c r="H40" s="44">
        <v>0</v>
      </c>
      <c r="I40" s="44">
        <v>42992</v>
      </c>
      <c r="J40" s="44">
        <v>0</v>
      </c>
      <c r="K40" s="44">
        <v>0</v>
      </c>
      <c r="L40" s="44"/>
      <c r="M40" s="44">
        <f t="shared" si="4"/>
        <v>25539827</v>
      </c>
      <c r="N40" s="44"/>
      <c r="O40" s="44">
        <v>11772448</v>
      </c>
      <c r="P40" s="44">
        <v>0</v>
      </c>
      <c r="Q40" s="44">
        <v>17464464</v>
      </c>
      <c r="R40" s="44">
        <v>0</v>
      </c>
      <c r="S40" s="44">
        <v>33385</v>
      </c>
      <c r="T40" s="44">
        <v>0</v>
      </c>
      <c r="U40" s="44">
        <v>180228</v>
      </c>
      <c r="V40" s="44">
        <v>0</v>
      </c>
      <c r="W40" s="44">
        <f>29844+1948</f>
        <v>31792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/>
      <c r="AE40" s="44">
        <f t="shared" si="0"/>
        <v>29482317</v>
      </c>
      <c r="AF40" s="23"/>
      <c r="AG40" s="23">
        <f t="shared" si="1"/>
        <v>-3942490</v>
      </c>
      <c r="AH40" s="23"/>
      <c r="AI40" s="15">
        <v>21488928</v>
      </c>
      <c r="AJ40" s="23"/>
      <c r="AK40" s="23">
        <f t="shared" si="2"/>
        <v>25431418</v>
      </c>
    </row>
    <row r="41" spans="1:37" ht="12" customHeight="1">
      <c r="A41" s="12" t="s">
        <v>127</v>
      </c>
      <c r="B41" s="12"/>
      <c r="C41" s="12" t="s">
        <v>70</v>
      </c>
      <c r="D41" s="15"/>
      <c r="E41" s="44">
        <v>8571727</v>
      </c>
      <c r="F41" s="44">
        <v>0</v>
      </c>
      <c r="G41" s="44">
        <v>58828</v>
      </c>
      <c r="H41" s="44">
        <v>0</v>
      </c>
      <c r="I41" s="44">
        <v>14604</v>
      </c>
      <c r="J41" s="44">
        <v>0</v>
      </c>
      <c r="K41" s="44">
        <v>0</v>
      </c>
      <c r="L41" s="44"/>
      <c r="M41" s="44">
        <f t="shared" si="4"/>
        <v>8498295</v>
      </c>
      <c r="N41" s="44"/>
      <c r="O41" s="44">
        <f>4231876+126996</f>
        <v>4358872</v>
      </c>
      <c r="P41" s="44">
        <v>0</v>
      </c>
      <c r="Q41" s="44">
        <v>578050</v>
      </c>
      <c r="R41" s="44">
        <v>0</v>
      </c>
      <c r="S41" s="44">
        <v>1565875</v>
      </c>
      <c r="T41" s="44">
        <v>0</v>
      </c>
      <c r="U41" s="44">
        <v>3285</v>
      </c>
      <c r="V41" s="44">
        <v>0</v>
      </c>
      <c r="W41" s="44">
        <v>46712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/>
      <c r="AE41" s="44">
        <f t="shared" si="0"/>
        <v>6552794</v>
      </c>
      <c r="AF41" s="23"/>
      <c r="AG41" s="23">
        <f t="shared" si="1"/>
        <v>1945501</v>
      </c>
      <c r="AH41" s="23"/>
      <c r="AI41" s="15">
        <v>9240293</v>
      </c>
      <c r="AJ41" s="23"/>
      <c r="AK41" s="23">
        <f t="shared" si="2"/>
        <v>7294792</v>
      </c>
    </row>
    <row r="42" spans="1:37" ht="12" hidden="1" customHeight="1">
      <c r="A42" s="15" t="s">
        <v>513</v>
      </c>
      <c r="B42" s="4"/>
      <c r="C42" s="15" t="s">
        <v>19</v>
      </c>
      <c r="D42" s="4"/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/>
      <c r="M42" s="44">
        <f t="shared" si="4"/>
        <v>0</v>
      </c>
      <c r="N42" s="44"/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8"/>
      <c r="AE42" s="44">
        <f t="shared" si="0"/>
        <v>0</v>
      </c>
      <c r="AF42" s="4"/>
      <c r="AG42" s="23">
        <f t="shared" si="1"/>
        <v>0</v>
      </c>
      <c r="AH42" s="4"/>
      <c r="AI42" s="15">
        <v>0</v>
      </c>
      <c r="AJ42" s="4"/>
      <c r="AK42" s="23">
        <f t="shared" si="2"/>
        <v>0</v>
      </c>
    </row>
    <row r="43" spans="1:37" ht="12" customHeight="1">
      <c r="A43" s="12" t="s">
        <v>429</v>
      </c>
      <c r="B43" s="12"/>
      <c r="C43" s="12" t="s">
        <v>20</v>
      </c>
      <c r="D43" s="15"/>
      <c r="E43" s="44">
        <v>1879219</v>
      </c>
      <c r="F43" s="44">
        <v>0</v>
      </c>
      <c r="G43" s="44">
        <v>67099</v>
      </c>
      <c r="H43" s="44">
        <v>0</v>
      </c>
      <c r="I43" s="44">
        <v>2905</v>
      </c>
      <c r="J43" s="44">
        <v>0</v>
      </c>
      <c r="K43" s="44">
        <v>0</v>
      </c>
      <c r="L43" s="44"/>
      <c r="M43" s="44">
        <f t="shared" si="4"/>
        <v>1809215</v>
      </c>
      <c r="N43" s="44"/>
      <c r="O43" s="44">
        <v>931960</v>
      </c>
      <c r="P43" s="44">
        <v>0</v>
      </c>
      <c r="Q43" s="44">
        <v>818576</v>
      </c>
      <c r="R43" s="44">
        <v>0</v>
      </c>
      <c r="S43" s="44">
        <v>1332</v>
      </c>
      <c r="T43" s="44">
        <v>0</v>
      </c>
      <c r="U43" s="44">
        <v>13658</v>
      </c>
      <c r="V43" s="44">
        <v>0</v>
      </c>
      <c r="W43" s="44">
        <f>5184+143693</f>
        <v>148877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/>
      <c r="AE43" s="44">
        <f t="shared" si="0"/>
        <v>1914403</v>
      </c>
      <c r="AF43" s="23"/>
      <c r="AG43" s="23">
        <f t="shared" si="1"/>
        <v>-105188</v>
      </c>
      <c r="AH43" s="23"/>
      <c r="AI43" s="15">
        <v>1809086</v>
      </c>
      <c r="AJ43" s="23"/>
      <c r="AK43" s="23">
        <f t="shared" si="2"/>
        <v>1914274</v>
      </c>
    </row>
    <row r="44" spans="1:37" s="4" customFormat="1" ht="12">
      <c r="A44" s="12" t="s">
        <v>18</v>
      </c>
      <c r="B44" s="12"/>
      <c r="C44" s="12" t="s">
        <v>19</v>
      </c>
      <c r="D44" s="15"/>
      <c r="E44" s="44">
        <v>4507716</v>
      </c>
      <c r="F44" s="44">
        <v>0</v>
      </c>
      <c r="G44" s="44">
        <v>112491</v>
      </c>
      <c r="H44" s="44">
        <v>0</v>
      </c>
      <c r="I44" s="44">
        <v>0</v>
      </c>
      <c r="J44" s="44">
        <v>0</v>
      </c>
      <c r="K44" s="44">
        <v>0</v>
      </c>
      <c r="L44" s="44"/>
      <c r="M44" s="44">
        <f t="shared" si="4"/>
        <v>4395225</v>
      </c>
      <c r="N44" s="44"/>
      <c r="O44" s="44">
        <v>2328438</v>
      </c>
      <c r="P44" s="44">
        <v>0</v>
      </c>
      <c r="Q44" s="44">
        <v>0</v>
      </c>
      <c r="R44" s="44">
        <v>0</v>
      </c>
      <c r="S44" s="44">
        <v>680</v>
      </c>
      <c r="T44" s="44">
        <v>0</v>
      </c>
      <c r="U44" s="44">
        <v>67198</v>
      </c>
      <c r="V44" s="44">
        <v>0</v>
      </c>
      <c r="W44" s="44">
        <f>29221+22285280</f>
        <v>22314501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/>
      <c r="AE44" s="44">
        <f t="shared" si="0"/>
        <v>24710817</v>
      </c>
      <c r="AF44" s="23"/>
      <c r="AG44" s="23">
        <f t="shared" si="1"/>
        <v>-20315592</v>
      </c>
      <c r="AH44" s="23"/>
      <c r="AI44" s="15">
        <v>2964625</v>
      </c>
      <c r="AJ44" s="23"/>
      <c r="AK44" s="23">
        <f t="shared" si="2"/>
        <v>23280217</v>
      </c>
    </row>
    <row r="45" spans="1:37" s="4" customFormat="1" ht="12">
      <c r="A45" s="4" t="s">
        <v>138</v>
      </c>
      <c r="C45" s="4" t="s">
        <v>139</v>
      </c>
      <c r="E45" s="68">
        <v>2451493.44</v>
      </c>
      <c r="F45" s="68"/>
      <c r="G45" s="68">
        <v>72195.25</v>
      </c>
      <c r="H45" s="68"/>
      <c r="I45" s="68">
        <v>6800</v>
      </c>
      <c r="J45" s="68"/>
      <c r="K45" s="68">
        <v>0</v>
      </c>
      <c r="L45" s="68"/>
      <c r="M45" s="44">
        <f t="shared" si="4"/>
        <v>2372498.19</v>
      </c>
      <c r="N45" s="68"/>
      <c r="O45" s="68">
        <v>0</v>
      </c>
      <c r="P45" s="68"/>
      <c r="Q45" s="68">
        <v>1921579.46</v>
      </c>
      <c r="R45" s="68"/>
      <c r="S45" s="68">
        <v>0</v>
      </c>
      <c r="T45" s="68"/>
      <c r="U45" s="68">
        <v>13661.23</v>
      </c>
      <c r="V45" s="68"/>
      <c r="W45" s="68">
        <v>212953.12</v>
      </c>
      <c r="X45" s="68"/>
      <c r="Y45" s="68">
        <v>0</v>
      </c>
      <c r="Z45" s="68"/>
      <c r="AA45" s="68">
        <v>0</v>
      </c>
      <c r="AB45" s="68"/>
      <c r="AC45" s="68">
        <v>0</v>
      </c>
      <c r="AD45" s="8"/>
      <c r="AE45" s="44">
        <f t="shared" si="0"/>
        <v>2148193.81</v>
      </c>
      <c r="AG45" s="23">
        <f t="shared" si="1"/>
        <v>224304.37999999989</v>
      </c>
      <c r="AI45" s="15">
        <v>2115257</v>
      </c>
      <c r="AK45" s="23">
        <f t="shared" si="2"/>
        <v>1890952.62</v>
      </c>
    </row>
    <row r="46" spans="1:37" s="4" customFormat="1" ht="12">
      <c r="A46" s="12" t="s">
        <v>367</v>
      </c>
      <c r="B46" s="15"/>
      <c r="C46" s="15" t="s">
        <v>54</v>
      </c>
      <c r="D46" s="15"/>
      <c r="E46" s="68">
        <v>1477764.72</v>
      </c>
      <c r="F46" s="68"/>
      <c r="G46" s="68">
        <v>42422.13</v>
      </c>
      <c r="H46" s="68"/>
      <c r="I46" s="68">
        <v>13904.73</v>
      </c>
      <c r="J46" s="68"/>
      <c r="K46" s="68">
        <v>0</v>
      </c>
      <c r="L46" s="68"/>
      <c r="M46" s="44">
        <f t="shared" si="4"/>
        <v>1421437.86</v>
      </c>
      <c r="N46" s="68"/>
      <c r="O46" s="68">
        <v>1136727.8400000001</v>
      </c>
      <c r="P46" s="68"/>
      <c r="Q46" s="68">
        <v>979806.08000000007</v>
      </c>
      <c r="R46" s="68"/>
      <c r="S46" s="68">
        <v>0</v>
      </c>
      <c r="T46" s="68"/>
      <c r="U46" s="68">
        <v>2179.34</v>
      </c>
      <c r="V46" s="68"/>
      <c r="W46" s="68">
        <v>189.22</v>
      </c>
      <c r="X46" s="68"/>
      <c r="Y46" s="68">
        <v>0</v>
      </c>
      <c r="Z46" s="68"/>
      <c r="AA46" s="68">
        <v>0</v>
      </c>
      <c r="AB46" s="68"/>
      <c r="AC46" s="68">
        <v>0</v>
      </c>
      <c r="AD46" s="44"/>
      <c r="AE46" s="44">
        <f t="shared" ref="AE46:AE81" si="11">SUM(O46:AC46)</f>
        <v>2118902.48</v>
      </c>
      <c r="AF46" s="23"/>
      <c r="AG46" s="23">
        <f t="shared" ref="AG46:AG81" si="12">+M46-AE46</f>
        <v>-697464.61999999988</v>
      </c>
      <c r="AH46" s="23"/>
      <c r="AI46" s="15">
        <v>1653698</v>
      </c>
      <c r="AJ46" s="23"/>
      <c r="AK46" s="23">
        <f t="shared" ref="AK46:AK81" si="13">+AI46-AG46</f>
        <v>2351162.62</v>
      </c>
    </row>
    <row r="47" spans="1:37" s="4" customFormat="1" ht="12">
      <c r="A47" s="12" t="s">
        <v>369</v>
      </c>
      <c r="B47" s="15"/>
      <c r="C47" s="15" t="s">
        <v>55</v>
      </c>
      <c r="D47" s="15"/>
      <c r="E47" s="68">
        <v>624192.4</v>
      </c>
      <c r="F47" s="68"/>
      <c r="G47" s="68">
        <v>16417.330000000002</v>
      </c>
      <c r="H47" s="68"/>
      <c r="I47" s="68">
        <v>560726.59</v>
      </c>
      <c r="J47" s="68"/>
      <c r="K47" s="68">
        <v>2448</v>
      </c>
      <c r="L47" s="68"/>
      <c r="M47" s="44">
        <f t="shared" si="4"/>
        <v>44600.480000000098</v>
      </c>
      <c r="N47" s="68"/>
      <c r="O47" s="68">
        <v>0</v>
      </c>
      <c r="P47" s="68"/>
      <c r="Q47" s="68">
        <v>91681</v>
      </c>
      <c r="R47" s="68"/>
      <c r="S47" s="68">
        <v>0</v>
      </c>
      <c r="T47" s="68"/>
      <c r="U47" s="68">
        <v>9232.68</v>
      </c>
      <c r="V47" s="68"/>
      <c r="W47" s="68">
        <v>791.43</v>
      </c>
      <c r="X47" s="68"/>
      <c r="Y47" s="68">
        <v>0</v>
      </c>
      <c r="Z47" s="68"/>
      <c r="AA47" s="68">
        <v>0</v>
      </c>
      <c r="AB47" s="68"/>
      <c r="AC47" s="68">
        <v>0</v>
      </c>
      <c r="AD47" s="44"/>
      <c r="AE47" s="44">
        <f t="shared" si="11"/>
        <v>101705.10999999999</v>
      </c>
      <c r="AF47" s="23"/>
      <c r="AG47" s="23">
        <f t="shared" si="12"/>
        <v>-57104.629999999888</v>
      </c>
      <c r="AH47" s="23"/>
      <c r="AI47" s="15">
        <v>448199</v>
      </c>
      <c r="AJ47" s="23"/>
      <c r="AK47" s="23">
        <f t="shared" si="13"/>
        <v>505303.62999999989</v>
      </c>
    </row>
    <row r="48" spans="1:37" s="4" customFormat="1" ht="12" hidden="1">
      <c r="A48" s="4" t="s">
        <v>34</v>
      </c>
      <c r="B48" s="15"/>
      <c r="C48" s="4" t="s">
        <v>56</v>
      </c>
      <c r="D48" s="15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/>
      <c r="M48" s="44">
        <f t="shared" si="4"/>
        <v>0</v>
      </c>
      <c r="N48" s="44"/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/>
      <c r="AE48" s="44">
        <f t="shared" si="11"/>
        <v>0</v>
      </c>
      <c r="AF48" s="23"/>
      <c r="AG48" s="23">
        <f t="shared" si="12"/>
        <v>0</v>
      </c>
      <c r="AH48" s="23"/>
      <c r="AI48" s="15">
        <v>0</v>
      </c>
      <c r="AJ48" s="23"/>
      <c r="AK48" s="23">
        <f t="shared" si="13"/>
        <v>0</v>
      </c>
    </row>
    <row r="49" spans="1:37" s="4" customFormat="1" ht="12" hidden="1">
      <c r="A49" s="4" t="s">
        <v>586</v>
      </c>
      <c r="C49" s="15" t="s">
        <v>43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/>
      <c r="M49" s="44">
        <f t="shared" si="4"/>
        <v>0</v>
      </c>
      <c r="N49" s="44"/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8"/>
      <c r="AE49" s="44">
        <f t="shared" si="11"/>
        <v>0</v>
      </c>
      <c r="AG49" s="23">
        <f t="shared" si="12"/>
        <v>0</v>
      </c>
      <c r="AI49" s="15">
        <v>0</v>
      </c>
      <c r="AK49" s="23">
        <f t="shared" si="13"/>
        <v>0</v>
      </c>
    </row>
    <row r="50" spans="1:37" s="4" customFormat="1" ht="12">
      <c r="A50" s="12" t="s">
        <v>151</v>
      </c>
      <c r="B50" s="12"/>
      <c r="C50" s="12" t="s">
        <v>152</v>
      </c>
      <c r="D50" s="15"/>
      <c r="E50" s="44">
        <v>8091347</v>
      </c>
      <c r="F50" s="44">
        <v>0</v>
      </c>
      <c r="G50" s="44">
        <v>191570</v>
      </c>
      <c r="H50" s="44">
        <v>0</v>
      </c>
      <c r="I50" s="44">
        <v>0</v>
      </c>
      <c r="J50" s="44">
        <v>0</v>
      </c>
      <c r="K50" s="44">
        <v>0</v>
      </c>
      <c r="L50" s="44"/>
      <c r="M50" s="44">
        <f t="shared" si="4"/>
        <v>7899777</v>
      </c>
      <c r="N50" s="44"/>
      <c r="O50" s="44">
        <v>3439914</v>
      </c>
      <c r="P50" s="44">
        <v>0</v>
      </c>
      <c r="Q50" s="44">
        <v>4083354</v>
      </c>
      <c r="R50" s="44">
        <v>0</v>
      </c>
      <c r="S50" s="44">
        <v>0</v>
      </c>
      <c r="T50" s="44">
        <v>0</v>
      </c>
      <c r="U50" s="44">
        <v>83144</v>
      </c>
      <c r="V50" s="44">
        <v>0</v>
      </c>
      <c r="W50" s="44">
        <v>62457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/>
      <c r="AE50" s="44">
        <f t="shared" si="11"/>
        <v>7668869</v>
      </c>
      <c r="AF50" s="23"/>
      <c r="AG50" s="23">
        <f t="shared" si="12"/>
        <v>230908</v>
      </c>
      <c r="AH50" s="23"/>
      <c r="AI50" s="15">
        <v>9220598</v>
      </c>
      <c r="AJ50" s="23"/>
      <c r="AK50" s="23">
        <f t="shared" si="13"/>
        <v>8989690</v>
      </c>
    </row>
    <row r="51" spans="1:37" s="4" customFormat="1" ht="12">
      <c r="A51" s="3" t="s">
        <v>36</v>
      </c>
      <c r="B51" s="15"/>
      <c r="C51" s="4" t="s">
        <v>57</v>
      </c>
      <c r="D51" s="15"/>
      <c r="E51" s="68">
        <v>509805.89</v>
      </c>
      <c r="F51" s="68"/>
      <c r="G51" s="68">
        <v>11574.97</v>
      </c>
      <c r="H51" s="68"/>
      <c r="I51" s="68">
        <v>0</v>
      </c>
      <c r="J51" s="68"/>
      <c r="K51" s="68">
        <v>0</v>
      </c>
      <c r="L51" s="68"/>
      <c r="M51" s="44">
        <f t="shared" si="4"/>
        <v>498230.92000000004</v>
      </c>
      <c r="N51" s="68"/>
      <c r="O51" s="68">
        <v>173423.82</v>
      </c>
      <c r="P51" s="68"/>
      <c r="Q51" s="68">
        <v>316820.37</v>
      </c>
      <c r="R51" s="68"/>
      <c r="S51" s="68">
        <v>0</v>
      </c>
      <c r="T51" s="68"/>
      <c r="U51" s="68">
        <v>6511.81</v>
      </c>
      <c r="V51" s="68"/>
      <c r="W51" s="68">
        <v>0</v>
      </c>
      <c r="X51" s="68"/>
      <c r="Y51" s="68">
        <v>0</v>
      </c>
      <c r="Z51" s="68"/>
      <c r="AA51" s="68">
        <v>0</v>
      </c>
      <c r="AB51" s="68"/>
      <c r="AC51" s="68">
        <v>0</v>
      </c>
      <c r="AD51" s="44"/>
      <c r="AE51" s="44">
        <f t="shared" si="11"/>
        <v>496756</v>
      </c>
      <c r="AF51" s="23"/>
      <c r="AG51" s="23">
        <f t="shared" si="12"/>
        <v>1474.9200000000419</v>
      </c>
      <c r="AH51" s="23"/>
      <c r="AI51" s="15">
        <v>1288046</v>
      </c>
      <c r="AJ51" s="23"/>
      <c r="AK51" s="23">
        <f t="shared" si="13"/>
        <v>1286571.08</v>
      </c>
    </row>
    <row r="52" spans="1:37" s="4" customFormat="1" ht="12">
      <c r="A52" s="4" t="s">
        <v>515</v>
      </c>
      <c r="C52" s="4" t="s">
        <v>58</v>
      </c>
      <c r="E52" s="68">
        <v>1165062.96</v>
      </c>
      <c r="F52" s="68"/>
      <c r="G52" s="68">
        <v>61612.54</v>
      </c>
      <c r="H52" s="68"/>
      <c r="I52" s="68">
        <v>106653.01</v>
      </c>
      <c r="J52" s="68"/>
      <c r="K52" s="68">
        <v>0</v>
      </c>
      <c r="L52" s="68"/>
      <c r="M52" s="44">
        <f t="shared" si="4"/>
        <v>996797.40999999992</v>
      </c>
      <c r="N52" s="68"/>
      <c r="O52" s="68">
        <v>1073532.4099999999</v>
      </c>
      <c r="P52" s="68"/>
      <c r="Q52" s="68">
        <v>62423.33</v>
      </c>
      <c r="R52" s="68"/>
      <c r="S52" s="68">
        <v>0</v>
      </c>
      <c r="T52" s="68"/>
      <c r="U52" s="68">
        <v>0</v>
      </c>
      <c r="V52" s="68"/>
      <c r="W52" s="68">
        <v>212.59</v>
      </c>
      <c r="X52" s="68"/>
      <c r="Y52" s="68">
        <v>0</v>
      </c>
      <c r="Z52" s="68"/>
      <c r="AA52" s="68">
        <v>0</v>
      </c>
      <c r="AB52" s="68"/>
      <c r="AC52" s="68">
        <v>0</v>
      </c>
      <c r="AD52" s="8"/>
      <c r="AE52" s="44">
        <f t="shared" si="11"/>
        <v>1136168.33</v>
      </c>
      <c r="AG52" s="23">
        <f t="shared" si="12"/>
        <v>-139370.92000000016</v>
      </c>
      <c r="AI52" s="15">
        <v>2965425</v>
      </c>
      <c r="AK52" s="23">
        <f t="shared" si="13"/>
        <v>3104795.92</v>
      </c>
    </row>
    <row r="53" spans="1:37" s="4" customFormat="1" ht="12" hidden="1">
      <c r="A53" s="4" t="s">
        <v>164</v>
      </c>
      <c r="B53" s="15"/>
      <c r="C53" s="4" t="s">
        <v>56</v>
      </c>
      <c r="D53" s="15"/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/>
      <c r="M53" s="44">
        <f t="shared" si="4"/>
        <v>0</v>
      </c>
      <c r="N53" s="44"/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/>
      <c r="AE53" s="44">
        <f t="shared" si="11"/>
        <v>0</v>
      </c>
      <c r="AF53" s="23"/>
      <c r="AG53" s="23">
        <f t="shared" si="12"/>
        <v>0</v>
      </c>
      <c r="AH53" s="23"/>
      <c r="AI53" s="15">
        <v>0</v>
      </c>
      <c r="AJ53" s="23"/>
      <c r="AK53" s="23">
        <f t="shared" si="13"/>
        <v>0</v>
      </c>
    </row>
    <row r="54" spans="1:37" s="4" customFormat="1" ht="12">
      <c r="A54" s="4" t="s">
        <v>166</v>
      </c>
      <c r="B54" s="15"/>
      <c r="C54" s="4" t="s">
        <v>167</v>
      </c>
      <c r="D54" s="15"/>
      <c r="E54" s="68">
        <v>573594.9</v>
      </c>
      <c r="F54" s="68"/>
      <c r="G54" s="68">
        <v>33038.720000000001</v>
      </c>
      <c r="H54" s="68"/>
      <c r="I54" s="68">
        <v>0</v>
      </c>
      <c r="J54" s="68"/>
      <c r="K54" s="68">
        <v>0</v>
      </c>
      <c r="L54" s="68"/>
      <c r="M54" s="44">
        <f t="shared" si="4"/>
        <v>540556.18000000005</v>
      </c>
      <c r="N54" s="68"/>
      <c r="O54" s="68">
        <v>355633.58999999997</v>
      </c>
      <c r="P54" s="68"/>
      <c r="Q54" s="68">
        <v>313261.52</v>
      </c>
      <c r="R54" s="68"/>
      <c r="S54" s="68">
        <v>0</v>
      </c>
      <c r="T54" s="68"/>
      <c r="U54" s="68">
        <v>722.84</v>
      </c>
      <c r="V54" s="68"/>
      <c r="W54" s="68">
        <v>3895.71</v>
      </c>
      <c r="X54" s="68"/>
      <c r="Y54" s="68">
        <v>0</v>
      </c>
      <c r="Z54" s="68"/>
      <c r="AA54" s="68">
        <v>0</v>
      </c>
      <c r="AB54" s="68"/>
      <c r="AC54" s="68">
        <v>0</v>
      </c>
      <c r="AD54" s="44"/>
      <c r="AE54" s="44">
        <f t="shared" ref="AE54" si="14">SUM(O54:AC54)</f>
        <v>673513.65999999992</v>
      </c>
      <c r="AF54" s="23"/>
      <c r="AG54" s="23">
        <f t="shared" ref="AG54" si="15">+M54-AE54</f>
        <v>-132957.47999999986</v>
      </c>
      <c r="AH54" s="23"/>
      <c r="AI54" s="15">
        <v>332239</v>
      </c>
      <c r="AJ54" s="23"/>
      <c r="AK54" s="23">
        <f t="shared" ref="AK54" si="16">+AI54-AG54</f>
        <v>465196.47999999986</v>
      </c>
    </row>
    <row r="55" spans="1:37" s="4" customFormat="1" ht="12">
      <c r="A55" s="12" t="s">
        <v>37</v>
      </c>
      <c r="B55" s="15"/>
      <c r="C55" s="15" t="s">
        <v>12</v>
      </c>
      <c r="D55" s="15"/>
      <c r="E55" s="68">
        <v>453688.17</v>
      </c>
      <c r="F55" s="68"/>
      <c r="G55" s="68">
        <v>11554.2</v>
      </c>
      <c r="H55" s="68"/>
      <c r="I55" s="68">
        <v>10432.5</v>
      </c>
      <c r="J55" s="68"/>
      <c r="K55" s="68">
        <v>0</v>
      </c>
      <c r="L55" s="68"/>
      <c r="M55" s="44">
        <f t="shared" si="4"/>
        <v>431701.47</v>
      </c>
      <c r="N55" s="68"/>
      <c r="O55" s="68">
        <v>220144.43</v>
      </c>
      <c r="P55" s="68"/>
      <c r="Q55" s="68">
        <v>318750.06</v>
      </c>
      <c r="R55" s="68"/>
      <c r="S55" s="68">
        <v>0</v>
      </c>
      <c r="T55" s="68"/>
      <c r="U55" s="68">
        <v>273.93</v>
      </c>
      <c r="V55" s="68"/>
      <c r="W55" s="68">
        <v>2483</v>
      </c>
      <c r="X55" s="68"/>
      <c r="Y55" s="68">
        <v>0</v>
      </c>
      <c r="Z55" s="68"/>
      <c r="AA55" s="68">
        <v>0</v>
      </c>
      <c r="AB55" s="68"/>
      <c r="AC55" s="68">
        <v>0</v>
      </c>
      <c r="AD55" s="44"/>
      <c r="AE55" s="44">
        <f t="shared" si="11"/>
        <v>541651.42000000004</v>
      </c>
      <c r="AF55" s="23"/>
      <c r="AG55" s="23">
        <f t="shared" si="12"/>
        <v>-109949.95000000007</v>
      </c>
      <c r="AH55" s="23"/>
      <c r="AI55" s="15">
        <v>84078</v>
      </c>
      <c r="AJ55" s="23"/>
      <c r="AK55" s="23">
        <f t="shared" si="13"/>
        <v>194027.95000000007</v>
      </c>
    </row>
    <row r="56" spans="1:37" s="4" customFormat="1" ht="12">
      <c r="A56" s="12" t="s">
        <v>569</v>
      </c>
      <c r="B56" s="15"/>
      <c r="C56" s="15" t="s">
        <v>59</v>
      </c>
      <c r="D56" s="15"/>
      <c r="E56" s="68">
        <v>448550.41</v>
      </c>
      <c r="F56" s="68"/>
      <c r="G56" s="68">
        <v>18111.5</v>
      </c>
      <c r="H56" s="68"/>
      <c r="I56" s="68">
        <v>0</v>
      </c>
      <c r="J56" s="68"/>
      <c r="K56" s="68">
        <v>0</v>
      </c>
      <c r="L56" s="68"/>
      <c r="M56" s="44">
        <f t="shared" si="4"/>
        <v>430438.91</v>
      </c>
      <c r="N56" s="68"/>
      <c r="O56" s="68">
        <v>0</v>
      </c>
      <c r="P56" s="68"/>
      <c r="Q56" s="68">
        <v>403294.62</v>
      </c>
      <c r="R56" s="68"/>
      <c r="S56" s="68">
        <v>0</v>
      </c>
      <c r="T56" s="68"/>
      <c r="U56" s="68">
        <v>15462.94</v>
      </c>
      <c r="V56" s="68"/>
      <c r="W56" s="68">
        <v>14674.92</v>
      </c>
      <c r="X56" s="68"/>
      <c r="Y56" s="68">
        <v>0</v>
      </c>
      <c r="Z56" s="68"/>
      <c r="AA56" s="68">
        <v>0</v>
      </c>
      <c r="AB56" s="68"/>
      <c r="AC56" s="68">
        <v>0</v>
      </c>
      <c r="AD56" s="44"/>
      <c r="AE56" s="44">
        <f t="shared" si="11"/>
        <v>433432.48</v>
      </c>
      <c r="AF56" s="23"/>
      <c r="AG56" s="23">
        <f t="shared" si="12"/>
        <v>-2993.570000000007</v>
      </c>
      <c r="AH56" s="23"/>
      <c r="AI56" s="15">
        <v>349133</v>
      </c>
      <c r="AJ56" s="23"/>
      <c r="AK56" s="23">
        <f t="shared" si="13"/>
        <v>352126.57</v>
      </c>
    </row>
    <row r="57" spans="1:37" s="4" customFormat="1" ht="12">
      <c r="A57" s="3" t="s">
        <v>438</v>
      </c>
      <c r="B57" s="15"/>
      <c r="C57" s="4" t="s">
        <v>19</v>
      </c>
      <c r="D57" s="15"/>
      <c r="E57" s="44">
        <v>3794191</v>
      </c>
      <c r="F57" s="44">
        <v>0</v>
      </c>
      <c r="G57" s="44">
        <v>163073</v>
      </c>
      <c r="H57" s="44">
        <v>0</v>
      </c>
      <c r="I57" s="44">
        <v>0</v>
      </c>
      <c r="J57" s="44">
        <v>0</v>
      </c>
      <c r="K57" s="44">
        <v>0</v>
      </c>
      <c r="L57" s="44"/>
      <c r="M57" s="44">
        <f t="shared" si="4"/>
        <v>3631118</v>
      </c>
      <c r="N57" s="44"/>
      <c r="O57" s="44">
        <v>1939485</v>
      </c>
      <c r="P57" s="44">
        <v>0</v>
      </c>
      <c r="Q57" s="44">
        <v>2137814</v>
      </c>
      <c r="R57" s="44">
        <v>0</v>
      </c>
      <c r="S57" s="44">
        <v>11887</v>
      </c>
      <c r="T57" s="44">
        <v>0</v>
      </c>
      <c r="U57" s="44">
        <v>21402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/>
      <c r="AE57" s="44">
        <f t="shared" si="11"/>
        <v>4110588</v>
      </c>
      <c r="AF57" s="23"/>
      <c r="AG57" s="23">
        <f t="shared" si="12"/>
        <v>-479470</v>
      </c>
      <c r="AH57" s="23"/>
      <c r="AI57" s="15">
        <v>4914939</v>
      </c>
      <c r="AJ57" s="23"/>
      <c r="AK57" s="23">
        <f t="shared" si="13"/>
        <v>5394409</v>
      </c>
    </row>
    <row r="58" spans="1:37" ht="12" hidden="1" customHeight="1">
      <c r="A58" s="3" t="s">
        <v>9</v>
      </c>
      <c r="B58" s="15"/>
      <c r="C58" s="4" t="s">
        <v>10</v>
      </c>
      <c r="D58" s="15"/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/>
      <c r="M58" s="44">
        <f t="shared" si="4"/>
        <v>0</v>
      </c>
      <c r="N58" s="44"/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/>
      <c r="AE58" s="44">
        <f t="shared" si="11"/>
        <v>0</v>
      </c>
      <c r="AF58" s="23"/>
      <c r="AG58" s="23">
        <f t="shared" si="12"/>
        <v>0</v>
      </c>
      <c r="AH58" s="23"/>
      <c r="AI58" s="15">
        <v>0</v>
      </c>
      <c r="AJ58" s="23"/>
      <c r="AK58" s="23">
        <f t="shared" si="13"/>
        <v>0</v>
      </c>
    </row>
    <row r="59" spans="1:37" s="4" customFormat="1" ht="12" hidden="1">
      <c r="A59" s="15" t="s">
        <v>372</v>
      </c>
      <c r="C59" s="15" t="s">
        <v>54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/>
      <c r="M59" s="44">
        <f t="shared" si="4"/>
        <v>0</v>
      </c>
      <c r="N59" s="44"/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8"/>
      <c r="AE59" s="44">
        <f t="shared" si="11"/>
        <v>0</v>
      </c>
      <c r="AG59" s="23">
        <f t="shared" si="12"/>
        <v>0</v>
      </c>
      <c r="AI59" s="15">
        <v>0</v>
      </c>
      <c r="AK59" s="23">
        <f t="shared" si="13"/>
        <v>0</v>
      </c>
    </row>
    <row r="60" spans="1:37" s="4" customFormat="1" ht="12">
      <c r="A60" s="4" t="s">
        <v>516</v>
      </c>
      <c r="C60" s="4" t="s">
        <v>51</v>
      </c>
      <c r="E60" s="68">
        <v>246265.54</v>
      </c>
      <c r="F60" s="68"/>
      <c r="G60" s="68">
        <v>6854.4</v>
      </c>
      <c r="H60" s="68"/>
      <c r="I60" s="68">
        <v>0</v>
      </c>
      <c r="J60" s="68"/>
      <c r="K60" s="68">
        <v>250</v>
      </c>
      <c r="L60" s="68"/>
      <c r="M60" s="44">
        <f t="shared" si="4"/>
        <v>239161.14</v>
      </c>
      <c r="N60" s="68"/>
      <c r="O60" s="68">
        <v>0</v>
      </c>
      <c r="P60" s="68"/>
      <c r="Q60" s="68">
        <v>296125.88</v>
      </c>
      <c r="R60" s="68"/>
      <c r="S60" s="68">
        <v>0</v>
      </c>
      <c r="T60" s="68"/>
      <c r="U60" s="68">
        <v>1478.47</v>
      </c>
      <c r="V60" s="68"/>
      <c r="W60" s="68">
        <v>289.47000000000003</v>
      </c>
      <c r="X60" s="68"/>
      <c r="Y60" s="68">
        <v>0</v>
      </c>
      <c r="Z60" s="68"/>
      <c r="AA60" s="68">
        <v>0</v>
      </c>
      <c r="AB60" s="68"/>
      <c r="AC60" s="68">
        <v>0</v>
      </c>
      <c r="AD60" s="8"/>
      <c r="AE60" s="44">
        <f t="shared" si="11"/>
        <v>297893.81999999995</v>
      </c>
      <c r="AG60" s="23">
        <f t="shared" si="12"/>
        <v>-58732.679999999935</v>
      </c>
      <c r="AI60" s="15">
        <v>216209</v>
      </c>
      <c r="AK60" s="23">
        <f t="shared" si="13"/>
        <v>274941.67999999993</v>
      </c>
    </row>
    <row r="61" spans="1:37" s="4" customFormat="1" ht="12">
      <c r="A61" s="12" t="s">
        <v>11</v>
      </c>
      <c r="B61" s="12"/>
      <c r="C61" s="12" t="s">
        <v>12</v>
      </c>
      <c r="D61" s="15"/>
      <c r="E61" s="44">
        <v>758217</v>
      </c>
      <c r="F61" s="44">
        <v>0</v>
      </c>
      <c r="G61" s="44">
        <v>22028</v>
      </c>
      <c r="H61" s="44">
        <v>0</v>
      </c>
      <c r="I61" s="44">
        <v>0</v>
      </c>
      <c r="J61" s="44">
        <v>0</v>
      </c>
      <c r="K61" s="44">
        <v>0</v>
      </c>
      <c r="L61" s="44"/>
      <c r="M61" s="44">
        <f t="shared" si="4"/>
        <v>736189</v>
      </c>
      <c r="N61" s="44"/>
      <c r="O61" s="44">
        <v>381022</v>
      </c>
      <c r="P61" s="44">
        <v>0</v>
      </c>
      <c r="Q61" s="44">
        <v>462168</v>
      </c>
      <c r="R61" s="44">
        <v>0</v>
      </c>
      <c r="S61" s="44">
        <v>8387</v>
      </c>
      <c r="T61" s="44">
        <v>0</v>
      </c>
      <c r="U61" s="44">
        <v>9756</v>
      </c>
      <c r="V61" s="44">
        <v>0</v>
      </c>
      <c r="W61" s="44">
        <v>1365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/>
      <c r="AE61" s="44">
        <f t="shared" si="11"/>
        <v>862698</v>
      </c>
      <c r="AF61" s="23"/>
      <c r="AG61" s="23">
        <f t="shared" si="12"/>
        <v>-126509</v>
      </c>
      <c r="AH61" s="23"/>
      <c r="AI61" s="15">
        <v>1204979</v>
      </c>
      <c r="AJ61" s="23"/>
      <c r="AK61" s="23">
        <f t="shared" si="13"/>
        <v>1331488</v>
      </c>
    </row>
    <row r="62" spans="1:37" ht="12" customHeight="1">
      <c r="A62" s="15" t="s">
        <v>182</v>
      </c>
      <c r="B62" s="15"/>
      <c r="C62" s="15" t="s">
        <v>57</v>
      </c>
      <c r="D62" s="15"/>
      <c r="E62" s="44">
        <v>12942693</v>
      </c>
      <c r="F62" s="44">
        <v>0</v>
      </c>
      <c r="G62" s="44">
        <v>0</v>
      </c>
      <c r="H62" s="44">
        <v>0</v>
      </c>
      <c r="I62" s="44">
        <v>49350</v>
      </c>
      <c r="J62" s="44">
        <v>0</v>
      </c>
      <c r="K62" s="44">
        <v>0</v>
      </c>
      <c r="L62" s="44"/>
      <c r="M62" s="44">
        <f t="shared" si="4"/>
        <v>12893343</v>
      </c>
      <c r="N62" s="44"/>
      <c r="O62" s="44">
        <v>4002048</v>
      </c>
      <c r="P62" s="44">
        <v>0</v>
      </c>
      <c r="Q62" s="44">
        <v>0</v>
      </c>
      <c r="R62" s="44">
        <v>0</v>
      </c>
      <c r="S62" s="44">
        <v>1131</v>
      </c>
      <c r="T62" s="44">
        <v>0</v>
      </c>
      <c r="U62" s="44">
        <v>32640</v>
      </c>
      <c r="V62" s="44">
        <v>0</v>
      </c>
      <c r="W62" s="44">
        <f>37334+4450570+146331+43374</f>
        <v>4677609</v>
      </c>
      <c r="X62" s="44">
        <v>0</v>
      </c>
      <c r="Y62" s="44">
        <v>0</v>
      </c>
      <c r="Z62" s="44">
        <v>0</v>
      </c>
      <c r="AA62" s="44">
        <f>-(1809279+5000+300000+500000+800000)</f>
        <v>-3414279</v>
      </c>
      <c r="AB62" s="44">
        <v>0</v>
      </c>
      <c r="AC62" s="44">
        <v>0</v>
      </c>
      <c r="AD62" s="44"/>
      <c r="AE62" s="44">
        <f t="shared" si="11"/>
        <v>5299149</v>
      </c>
      <c r="AF62" s="23"/>
      <c r="AG62" s="23">
        <f t="shared" si="12"/>
        <v>7594194</v>
      </c>
      <c r="AH62" s="23"/>
      <c r="AI62" s="15">
        <v>8460841</v>
      </c>
      <c r="AJ62" s="23"/>
      <c r="AK62" s="23">
        <f t="shared" si="13"/>
        <v>866647</v>
      </c>
    </row>
    <row r="63" spans="1:37" ht="12" customHeight="1">
      <c r="A63" s="15" t="s">
        <v>183</v>
      </c>
      <c r="B63" s="15"/>
      <c r="C63" s="15" t="s">
        <v>83</v>
      </c>
      <c r="D63" s="15"/>
      <c r="E63" s="44">
        <v>586238</v>
      </c>
      <c r="F63" s="44"/>
      <c r="G63" s="44">
        <v>15226</v>
      </c>
      <c r="H63" s="44"/>
      <c r="I63" s="44">
        <v>45805</v>
      </c>
      <c r="J63" s="44"/>
      <c r="K63" s="44">
        <v>0</v>
      </c>
      <c r="L63" s="44"/>
      <c r="M63" s="44">
        <f t="shared" si="4"/>
        <v>525207</v>
      </c>
      <c r="N63" s="44"/>
      <c r="O63" s="44">
        <v>762</v>
      </c>
      <c r="P63" s="44"/>
      <c r="Q63" s="44">
        <v>527707</v>
      </c>
      <c r="R63" s="44"/>
      <c r="S63" s="44">
        <v>8558</v>
      </c>
      <c r="T63" s="44"/>
      <c r="U63" s="44">
        <v>947</v>
      </c>
      <c r="V63" s="44"/>
      <c r="W63" s="44">
        <v>4271</v>
      </c>
      <c r="X63" s="44"/>
      <c r="Y63" s="44">
        <v>0</v>
      </c>
      <c r="Z63" s="44"/>
      <c r="AA63" s="44">
        <v>0</v>
      </c>
      <c r="AB63" s="44"/>
      <c r="AC63" s="44">
        <v>0</v>
      </c>
      <c r="AD63" s="44"/>
      <c r="AE63" s="44">
        <f t="shared" si="11"/>
        <v>542245</v>
      </c>
      <c r="AF63" s="23"/>
      <c r="AG63" s="23">
        <f t="shared" si="12"/>
        <v>-17038</v>
      </c>
      <c r="AH63" s="23"/>
      <c r="AI63" s="15">
        <v>410477</v>
      </c>
      <c r="AJ63" s="23"/>
      <c r="AK63" s="23">
        <f t="shared" si="13"/>
        <v>427515</v>
      </c>
    </row>
    <row r="64" spans="1:37" ht="12" customHeight="1">
      <c r="A64" s="4" t="s">
        <v>520</v>
      </c>
      <c r="B64" s="4"/>
      <c r="C64" s="4" t="s">
        <v>25</v>
      </c>
      <c r="D64" s="4"/>
      <c r="E64" s="68">
        <v>549749.53</v>
      </c>
      <c r="F64" s="68"/>
      <c r="G64" s="68">
        <v>32060.2</v>
      </c>
      <c r="H64" s="68"/>
      <c r="I64" s="68">
        <v>0</v>
      </c>
      <c r="J64" s="68"/>
      <c r="K64" s="68">
        <v>0</v>
      </c>
      <c r="L64" s="68"/>
      <c r="M64" s="44">
        <f t="shared" si="4"/>
        <v>517689.33</v>
      </c>
      <c r="N64" s="68"/>
      <c r="O64" s="68">
        <v>0</v>
      </c>
      <c r="P64" s="68"/>
      <c r="Q64" s="68">
        <v>498644.02</v>
      </c>
      <c r="R64" s="68"/>
      <c r="S64" s="68">
        <v>0</v>
      </c>
      <c r="T64" s="68"/>
      <c r="U64" s="68">
        <v>1141.8900000000001</v>
      </c>
      <c r="V64" s="68"/>
      <c r="W64" s="68">
        <v>7963.77</v>
      </c>
      <c r="X64" s="68"/>
      <c r="Y64" s="68">
        <v>0</v>
      </c>
      <c r="Z64" s="68"/>
      <c r="AA64" s="68">
        <v>0</v>
      </c>
      <c r="AB64" s="68"/>
      <c r="AC64" s="68">
        <v>0</v>
      </c>
      <c r="AD64" s="8"/>
      <c r="AE64" s="44">
        <f t="shared" si="11"/>
        <v>507749.68000000005</v>
      </c>
      <c r="AF64" s="4"/>
      <c r="AG64" s="23">
        <f t="shared" si="12"/>
        <v>9939.6499999999651</v>
      </c>
      <c r="AH64" s="4"/>
      <c r="AI64" s="15">
        <v>551849</v>
      </c>
      <c r="AJ64" s="4"/>
      <c r="AK64" s="23">
        <f t="shared" si="13"/>
        <v>541909.35000000009</v>
      </c>
    </row>
    <row r="65" spans="1:37" ht="12" hidden="1" customHeight="1">
      <c r="A65" s="4" t="s">
        <v>439</v>
      </c>
      <c r="B65" s="4"/>
      <c r="C65" s="4" t="s">
        <v>13</v>
      </c>
      <c r="D65" s="4"/>
      <c r="E65" s="68">
        <v>0</v>
      </c>
      <c r="F65" s="68"/>
      <c r="G65" s="68">
        <v>0</v>
      </c>
      <c r="H65" s="68"/>
      <c r="I65" s="68">
        <v>0</v>
      </c>
      <c r="J65" s="68"/>
      <c r="K65" s="68">
        <v>0</v>
      </c>
      <c r="L65" s="68"/>
      <c r="M65" s="44">
        <f t="shared" si="4"/>
        <v>0</v>
      </c>
      <c r="N65" s="68"/>
      <c r="O65" s="68">
        <v>0</v>
      </c>
      <c r="P65" s="68"/>
      <c r="Q65" s="68">
        <v>0</v>
      </c>
      <c r="R65" s="68"/>
      <c r="S65" s="68"/>
      <c r="T65" s="68"/>
      <c r="U65" s="68">
        <v>0</v>
      </c>
      <c r="V65" s="68"/>
      <c r="W65" s="68">
        <v>0</v>
      </c>
      <c r="X65" s="68"/>
      <c r="Y65" s="68">
        <v>0</v>
      </c>
      <c r="Z65" s="68"/>
      <c r="AA65" s="68">
        <v>0</v>
      </c>
      <c r="AB65" s="68"/>
      <c r="AC65" s="68">
        <v>0</v>
      </c>
      <c r="AD65" s="8"/>
      <c r="AE65" s="44">
        <f t="shared" si="11"/>
        <v>0</v>
      </c>
      <c r="AF65" s="4"/>
      <c r="AG65" s="23">
        <f t="shared" si="12"/>
        <v>0</v>
      </c>
      <c r="AH65" s="4"/>
      <c r="AI65" s="15">
        <v>0</v>
      </c>
      <c r="AJ65" s="4"/>
      <c r="AK65" s="23">
        <f t="shared" si="13"/>
        <v>0</v>
      </c>
    </row>
    <row r="66" spans="1:37" ht="12" hidden="1" customHeight="1">
      <c r="A66" s="15" t="s">
        <v>386</v>
      </c>
      <c r="B66" s="15"/>
      <c r="C66" s="15" t="s">
        <v>185</v>
      </c>
      <c r="D66" s="15"/>
      <c r="E66" s="68">
        <v>698441.99</v>
      </c>
      <c r="F66" s="68"/>
      <c r="G66" s="68">
        <v>18935.57</v>
      </c>
      <c r="H66" s="68"/>
      <c r="I66" s="68">
        <v>0</v>
      </c>
      <c r="J66" s="68"/>
      <c r="K66" s="68">
        <v>0</v>
      </c>
      <c r="L66" s="68"/>
      <c r="M66" s="44">
        <f t="shared" si="4"/>
        <v>679506.42</v>
      </c>
      <c r="N66" s="68"/>
      <c r="O66" s="68">
        <v>484457.4</v>
      </c>
      <c r="P66" s="68"/>
      <c r="Q66" s="68">
        <v>564370.65</v>
      </c>
      <c r="R66" s="68"/>
      <c r="S66" s="68"/>
      <c r="T66" s="68"/>
      <c r="U66" s="68">
        <v>10120.86</v>
      </c>
      <c r="V66" s="68"/>
      <c r="W66" s="68">
        <v>180</v>
      </c>
      <c r="X66" s="68"/>
      <c r="Y66" s="68">
        <v>0</v>
      </c>
      <c r="Z66" s="68"/>
      <c r="AA66" s="68">
        <v>0</v>
      </c>
      <c r="AB66" s="68"/>
      <c r="AC66" s="68">
        <v>0</v>
      </c>
      <c r="AD66" s="44"/>
      <c r="AE66" s="44">
        <f t="shared" si="11"/>
        <v>1059128.9100000001</v>
      </c>
      <c r="AF66" s="23"/>
      <c r="AG66" s="23">
        <f t="shared" si="12"/>
        <v>-379622.49000000011</v>
      </c>
      <c r="AH66" s="23"/>
      <c r="AI66" s="15">
        <v>0</v>
      </c>
      <c r="AJ66" s="23"/>
      <c r="AK66" s="23">
        <f t="shared" si="13"/>
        <v>379622.49000000011</v>
      </c>
    </row>
    <row r="67" spans="1:37" ht="12" customHeight="1">
      <c r="A67" s="4" t="s">
        <v>376</v>
      </c>
      <c r="B67" s="4"/>
      <c r="C67" s="4" t="s">
        <v>54</v>
      </c>
      <c r="D67" s="4"/>
      <c r="E67" s="68">
        <v>1139351.58</v>
      </c>
      <c r="F67" s="68"/>
      <c r="G67" s="68">
        <v>56734.720000000001</v>
      </c>
      <c r="H67" s="68"/>
      <c r="I67" s="68">
        <v>0</v>
      </c>
      <c r="J67" s="68"/>
      <c r="K67" s="68">
        <v>0</v>
      </c>
      <c r="L67" s="68"/>
      <c r="M67" s="44">
        <f t="shared" si="4"/>
        <v>1082616.8600000001</v>
      </c>
      <c r="N67" s="68"/>
      <c r="O67" s="68">
        <v>0</v>
      </c>
      <c r="P67" s="68"/>
      <c r="Q67" s="68">
        <v>1010650.74</v>
      </c>
      <c r="R67" s="68"/>
      <c r="S67" s="68">
        <v>0</v>
      </c>
      <c r="T67" s="68"/>
      <c r="U67" s="68">
        <v>9392.08</v>
      </c>
      <c r="V67" s="68"/>
      <c r="W67" s="68">
        <v>2544.13</v>
      </c>
      <c r="X67" s="68"/>
      <c r="Y67" s="68">
        <v>0</v>
      </c>
      <c r="Z67" s="68"/>
      <c r="AA67" s="68">
        <v>0</v>
      </c>
      <c r="AB67" s="68"/>
      <c r="AC67" s="68">
        <v>0</v>
      </c>
      <c r="AD67" s="8"/>
      <c r="AE67" s="44">
        <f t="shared" si="11"/>
        <v>1022586.95</v>
      </c>
      <c r="AF67" s="4"/>
      <c r="AG67" s="23">
        <f t="shared" si="12"/>
        <v>60029.910000000149</v>
      </c>
      <c r="AH67" s="4"/>
      <c r="AI67" s="15">
        <v>1730872</v>
      </c>
      <c r="AJ67" s="4"/>
      <c r="AK67" s="23">
        <f t="shared" si="13"/>
        <v>1670842.0899999999</v>
      </c>
    </row>
    <row r="68" spans="1:37" ht="12" hidden="1" customHeight="1">
      <c r="A68" s="4" t="s">
        <v>378</v>
      </c>
      <c r="B68" s="4"/>
      <c r="C68" s="4" t="s">
        <v>54</v>
      </c>
      <c r="D68" s="4"/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/>
      <c r="M68" s="44">
        <f t="shared" si="4"/>
        <v>0</v>
      </c>
      <c r="N68" s="44"/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8"/>
      <c r="AE68" s="44">
        <f t="shared" si="11"/>
        <v>0</v>
      </c>
      <c r="AF68" s="4"/>
      <c r="AG68" s="23">
        <f t="shared" si="12"/>
        <v>0</v>
      </c>
      <c r="AH68" s="4"/>
      <c r="AI68" s="15">
        <v>0</v>
      </c>
      <c r="AJ68" s="4"/>
      <c r="AK68" s="23">
        <f t="shared" si="13"/>
        <v>0</v>
      </c>
    </row>
    <row r="69" spans="1:37" ht="12" customHeight="1">
      <c r="A69" s="4" t="s">
        <v>195</v>
      </c>
      <c r="B69" s="4"/>
      <c r="C69" s="4" t="s">
        <v>25</v>
      </c>
      <c r="D69" s="4"/>
      <c r="E69" s="44">
        <v>2238276</v>
      </c>
      <c r="F69" s="44">
        <v>0</v>
      </c>
      <c r="G69" s="44">
        <v>57119</v>
      </c>
      <c r="H69" s="44">
        <v>0</v>
      </c>
      <c r="I69" s="44">
        <v>11141</v>
      </c>
      <c r="J69" s="44">
        <v>0</v>
      </c>
      <c r="K69" s="44">
        <v>12054</v>
      </c>
      <c r="L69" s="44"/>
      <c r="M69" s="44">
        <f t="shared" si="4"/>
        <v>2157962</v>
      </c>
      <c r="N69" s="44"/>
      <c r="O69" s="44">
        <v>850660</v>
      </c>
      <c r="P69" s="44">
        <v>0</v>
      </c>
      <c r="Q69" s="44">
        <f>12257+1218457</f>
        <v>1230714</v>
      </c>
      <c r="R69" s="44">
        <v>0</v>
      </c>
      <c r="S69" s="44">
        <v>0</v>
      </c>
      <c r="T69" s="44">
        <v>0</v>
      </c>
      <c r="U69" s="44">
        <v>1292</v>
      </c>
      <c r="V69" s="44">
        <v>0</v>
      </c>
      <c r="W69" s="44">
        <f>29143+424758</f>
        <v>453901</v>
      </c>
      <c r="X69" s="44">
        <v>0</v>
      </c>
      <c r="Y69" s="44">
        <v>0</v>
      </c>
      <c r="Z69" s="44">
        <v>0</v>
      </c>
      <c r="AA69" s="44">
        <v>58070</v>
      </c>
      <c r="AB69" s="44">
        <v>0</v>
      </c>
      <c r="AC69" s="44">
        <v>0</v>
      </c>
      <c r="AD69" s="8"/>
      <c r="AE69" s="44">
        <f t="shared" si="11"/>
        <v>2594637</v>
      </c>
      <c r="AF69" s="4"/>
      <c r="AG69" s="23">
        <f>+M69-AE69</f>
        <v>-436675</v>
      </c>
      <c r="AH69" s="4"/>
      <c r="AI69" s="15">
        <v>1083555</v>
      </c>
      <c r="AJ69" s="4"/>
      <c r="AK69" s="23">
        <f t="shared" si="13"/>
        <v>1520230</v>
      </c>
    </row>
    <row r="70" spans="1:37" ht="12" customHeight="1">
      <c r="A70" s="12" t="s">
        <v>14</v>
      </c>
      <c r="B70" s="12"/>
      <c r="C70" s="12" t="s">
        <v>15</v>
      </c>
      <c r="D70" s="15"/>
      <c r="E70" s="44">
        <v>3221998</v>
      </c>
      <c r="F70" s="44">
        <v>0</v>
      </c>
      <c r="G70" s="44">
        <v>108615</v>
      </c>
      <c r="H70" s="44">
        <v>0</v>
      </c>
      <c r="I70" s="44">
        <v>33525</v>
      </c>
      <c r="J70" s="44">
        <v>0</v>
      </c>
      <c r="K70" s="44">
        <v>0</v>
      </c>
      <c r="L70" s="44"/>
      <c r="M70" s="44">
        <f t="shared" si="4"/>
        <v>3079858</v>
      </c>
      <c r="N70" s="44"/>
      <c r="O70" s="44">
        <v>2117798</v>
      </c>
      <c r="P70" s="44">
        <v>0</v>
      </c>
      <c r="Q70" s="44">
        <v>0</v>
      </c>
      <c r="R70" s="44">
        <v>0</v>
      </c>
      <c r="S70" s="44">
        <v>79346</v>
      </c>
      <c r="T70" s="44">
        <v>0</v>
      </c>
      <c r="U70" s="44">
        <v>2757</v>
      </c>
      <c r="V70" s="44">
        <v>0</v>
      </c>
      <c r="W70" s="44">
        <v>1485238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/>
      <c r="AE70" s="44">
        <f t="shared" si="11"/>
        <v>3685139</v>
      </c>
      <c r="AF70" s="23"/>
      <c r="AG70" s="23">
        <f t="shared" si="12"/>
        <v>-605281</v>
      </c>
      <c r="AH70" s="23"/>
      <c r="AI70" s="15">
        <v>1428386</v>
      </c>
      <c r="AJ70" s="23"/>
      <c r="AK70" s="23">
        <f t="shared" si="13"/>
        <v>2033667</v>
      </c>
    </row>
    <row r="71" spans="1:37" ht="12" customHeight="1">
      <c r="A71" s="12" t="s">
        <v>197</v>
      </c>
      <c r="B71" s="12"/>
      <c r="C71" s="12" t="s">
        <v>10</v>
      </c>
      <c r="D71" s="15"/>
      <c r="E71" s="44">
        <f>2811055+75148+895621+617208+109835+19227</f>
        <v>4528094</v>
      </c>
      <c r="F71" s="44">
        <v>0</v>
      </c>
      <c r="G71" s="44">
        <v>242747</v>
      </c>
      <c r="H71" s="44">
        <v>0</v>
      </c>
      <c r="I71" s="44">
        <v>0</v>
      </c>
      <c r="J71" s="44">
        <v>0</v>
      </c>
      <c r="K71" s="44">
        <v>0</v>
      </c>
      <c r="L71" s="44"/>
      <c r="M71" s="44">
        <f t="shared" si="4"/>
        <v>4285347</v>
      </c>
      <c r="N71" s="44"/>
      <c r="O71" s="44">
        <v>0</v>
      </c>
      <c r="P71" s="44">
        <v>0</v>
      </c>
      <c r="Q71" s="44">
        <v>4225944</v>
      </c>
      <c r="R71" s="44">
        <v>0</v>
      </c>
      <c r="S71" s="44">
        <v>40234</v>
      </c>
      <c r="T71" s="44">
        <v>0</v>
      </c>
      <c r="U71" s="44">
        <v>9762</v>
      </c>
      <c r="V71" s="44">
        <v>0</v>
      </c>
      <c r="W71" s="44">
        <f>52501+5700</f>
        <v>58201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/>
      <c r="AE71" s="44">
        <f t="shared" si="11"/>
        <v>4334141</v>
      </c>
      <c r="AF71" s="23"/>
      <c r="AG71" s="23">
        <f t="shared" si="12"/>
        <v>-48794</v>
      </c>
      <c r="AH71" s="23"/>
      <c r="AI71" s="15">
        <v>4519989</v>
      </c>
      <c r="AJ71" s="23"/>
      <c r="AK71" s="23">
        <f t="shared" si="13"/>
        <v>4568783</v>
      </c>
    </row>
    <row r="72" spans="1:37" ht="12" customHeight="1">
      <c r="A72" s="4" t="s">
        <v>380</v>
      </c>
      <c r="B72" s="4"/>
      <c r="C72" s="4" t="s">
        <v>25</v>
      </c>
      <c r="D72" s="4"/>
      <c r="E72" s="68">
        <v>638018.88</v>
      </c>
      <c r="F72" s="68"/>
      <c r="G72" s="68">
        <v>21947.83</v>
      </c>
      <c r="H72" s="68"/>
      <c r="I72" s="68">
        <v>2998</v>
      </c>
      <c r="J72" s="68"/>
      <c r="K72" s="68">
        <v>0</v>
      </c>
      <c r="L72" s="68"/>
      <c r="M72" s="44">
        <f t="shared" si="4"/>
        <v>613073.05000000005</v>
      </c>
      <c r="N72" s="68"/>
      <c r="O72" s="68">
        <v>7.72</v>
      </c>
      <c r="P72" s="68"/>
      <c r="Q72" s="68">
        <v>652173</v>
      </c>
      <c r="R72" s="68"/>
      <c r="S72" s="68">
        <v>0</v>
      </c>
      <c r="T72" s="68"/>
      <c r="U72" s="68">
        <v>216.59</v>
      </c>
      <c r="V72" s="68"/>
      <c r="W72" s="68">
        <v>2346.9</v>
      </c>
      <c r="X72" s="68"/>
      <c r="Y72" s="68">
        <v>0</v>
      </c>
      <c r="Z72" s="68"/>
      <c r="AA72" s="68">
        <v>0</v>
      </c>
      <c r="AB72" s="68"/>
      <c r="AC72" s="68">
        <v>0</v>
      </c>
      <c r="AD72" s="8"/>
      <c r="AE72" s="44">
        <f t="shared" si="11"/>
        <v>654744.21</v>
      </c>
      <c r="AF72" s="4"/>
      <c r="AG72" s="23">
        <f t="shared" si="12"/>
        <v>-41671.159999999916</v>
      </c>
      <c r="AH72" s="4"/>
      <c r="AI72" s="15">
        <v>237577</v>
      </c>
      <c r="AJ72" s="4"/>
      <c r="AK72" s="23">
        <f t="shared" si="13"/>
        <v>279248.15999999992</v>
      </c>
    </row>
    <row r="73" spans="1:37" ht="12" hidden="1" customHeight="1">
      <c r="A73" s="4" t="s">
        <v>518</v>
      </c>
      <c r="B73" s="4"/>
      <c r="C73" s="4" t="s">
        <v>64</v>
      </c>
      <c r="D73" s="4"/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/>
      <c r="M73" s="44">
        <f t="shared" si="4"/>
        <v>0</v>
      </c>
      <c r="N73" s="44"/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8"/>
      <c r="AE73" s="44">
        <f t="shared" si="11"/>
        <v>0</v>
      </c>
      <c r="AF73" s="4"/>
      <c r="AG73" s="23">
        <f t="shared" si="12"/>
        <v>0</v>
      </c>
      <c r="AH73" s="4"/>
      <c r="AI73" s="15">
        <v>0</v>
      </c>
      <c r="AJ73" s="4"/>
      <c r="AK73" s="23">
        <f t="shared" si="13"/>
        <v>0</v>
      </c>
    </row>
    <row r="74" spans="1:37" ht="12" hidden="1" customHeight="1">
      <c r="A74" s="12" t="s">
        <v>431</v>
      </c>
      <c r="B74" s="12"/>
      <c r="C74" s="12" t="s">
        <v>16</v>
      </c>
      <c r="D74" s="15"/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/>
      <c r="M74" s="44">
        <f t="shared" si="4"/>
        <v>0</v>
      </c>
      <c r="N74" s="44"/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/>
      <c r="AE74" s="44">
        <f t="shared" si="11"/>
        <v>0</v>
      </c>
      <c r="AF74" s="23"/>
      <c r="AG74" s="23">
        <f t="shared" si="12"/>
        <v>0</v>
      </c>
      <c r="AH74" s="23"/>
      <c r="AI74" s="15">
        <v>0</v>
      </c>
      <c r="AJ74" s="23"/>
      <c r="AK74" s="23">
        <f t="shared" si="13"/>
        <v>0</v>
      </c>
    </row>
    <row r="75" spans="1:37" ht="12" customHeight="1">
      <c r="A75" s="15" t="s">
        <v>208</v>
      </c>
      <c r="B75" s="15"/>
      <c r="C75" s="15" t="s">
        <v>209</v>
      </c>
      <c r="D75" s="15"/>
      <c r="E75" s="44">
        <v>3233148</v>
      </c>
      <c r="F75" s="44">
        <v>0</v>
      </c>
      <c r="G75" s="44">
        <v>88778</v>
      </c>
      <c r="H75" s="44">
        <v>0</v>
      </c>
      <c r="I75" s="44">
        <v>18876</v>
      </c>
      <c r="J75" s="44">
        <v>0</v>
      </c>
      <c r="K75" s="44">
        <v>25350</v>
      </c>
      <c r="L75" s="44"/>
      <c r="M75" s="44">
        <f t="shared" si="4"/>
        <v>3100144</v>
      </c>
      <c r="N75" s="44"/>
      <c r="O75" s="44">
        <v>1447254</v>
      </c>
      <c r="P75" s="44">
        <v>0</v>
      </c>
      <c r="Q75" s="44">
        <v>2391747</v>
      </c>
      <c r="R75" s="44">
        <v>0</v>
      </c>
      <c r="S75" s="44">
        <v>0</v>
      </c>
      <c r="T75" s="44">
        <v>0</v>
      </c>
      <c r="U75" s="44">
        <f>65455+18085</f>
        <v>83540</v>
      </c>
      <c r="V75" s="44">
        <v>0</v>
      </c>
      <c r="W75" s="44">
        <v>8990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/>
      <c r="AE75" s="44">
        <f t="shared" si="11"/>
        <v>3931531</v>
      </c>
      <c r="AF75" s="23"/>
      <c r="AG75" s="23">
        <f t="shared" si="12"/>
        <v>-831387</v>
      </c>
      <c r="AH75" s="23"/>
      <c r="AI75" s="15">
        <v>3669962</v>
      </c>
      <c r="AJ75" s="23"/>
      <c r="AK75" s="23">
        <f t="shared" si="13"/>
        <v>4501349</v>
      </c>
    </row>
    <row r="76" spans="1:37" ht="12" customHeight="1">
      <c r="A76" s="4" t="s">
        <v>638</v>
      </c>
      <c r="B76" s="4"/>
      <c r="C76" s="4" t="s">
        <v>210</v>
      </c>
      <c r="D76" s="4"/>
      <c r="E76" s="68">
        <v>1611396.75</v>
      </c>
      <c r="F76" s="68"/>
      <c r="G76" s="68">
        <v>31526.32</v>
      </c>
      <c r="H76" s="68"/>
      <c r="I76" s="68">
        <v>0</v>
      </c>
      <c r="J76" s="68"/>
      <c r="K76" s="68">
        <v>0</v>
      </c>
      <c r="L76" s="68"/>
      <c r="M76" s="44">
        <f t="shared" si="4"/>
        <v>1579870.43</v>
      </c>
      <c r="N76" s="68"/>
      <c r="O76" s="68">
        <v>0</v>
      </c>
      <c r="P76" s="68"/>
      <c r="Q76" s="68">
        <v>1700789.75</v>
      </c>
      <c r="R76" s="68"/>
      <c r="S76" s="68">
        <v>0</v>
      </c>
      <c r="T76" s="68"/>
      <c r="U76" s="68">
        <v>3036.37</v>
      </c>
      <c r="V76" s="68"/>
      <c r="W76" s="68">
        <v>49114.01</v>
      </c>
      <c r="X76" s="68"/>
      <c r="Y76" s="68">
        <v>0</v>
      </c>
      <c r="Z76" s="68"/>
      <c r="AA76" s="68">
        <v>0</v>
      </c>
      <c r="AB76" s="68"/>
      <c r="AC76" s="68">
        <v>0</v>
      </c>
      <c r="AD76" s="8"/>
      <c r="AE76" s="44">
        <f t="shared" ref="AE76" si="17">SUM(O76:AC76)</f>
        <v>1752940.1300000001</v>
      </c>
      <c r="AF76" s="4"/>
      <c r="AG76" s="23">
        <f t="shared" ref="AG76" si="18">+M76-AE76</f>
        <v>-173069.70000000019</v>
      </c>
      <c r="AH76" s="4"/>
      <c r="AI76" s="15">
        <v>529532</v>
      </c>
      <c r="AJ76" s="4"/>
      <c r="AK76" s="23">
        <f t="shared" ref="AK76" si="19">+AI76-AG76</f>
        <v>702601.70000000019</v>
      </c>
    </row>
    <row r="77" spans="1:37" ht="12" customHeight="1">
      <c r="A77" s="4" t="s">
        <v>382</v>
      </c>
      <c r="B77" s="4"/>
      <c r="C77" s="4" t="s">
        <v>65</v>
      </c>
      <c r="D77" s="4"/>
      <c r="E77" s="68">
        <v>319937.19</v>
      </c>
      <c r="F77" s="68"/>
      <c r="G77" s="68">
        <v>10098.9</v>
      </c>
      <c r="H77" s="68"/>
      <c r="I77" s="68">
        <v>0</v>
      </c>
      <c r="J77" s="68"/>
      <c r="K77" s="68">
        <v>0</v>
      </c>
      <c r="L77" s="68"/>
      <c r="M77" s="44">
        <f t="shared" si="4"/>
        <v>309838.28999999998</v>
      </c>
      <c r="N77" s="68"/>
      <c r="O77" s="68">
        <v>0</v>
      </c>
      <c r="P77" s="68"/>
      <c r="Q77" s="68">
        <v>303190.56</v>
      </c>
      <c r="R77" s="68"/>
      <c r="S77" s="68">
        <v>0</v>
      </c>
      <c r="T77" s="68"/>
      <c r="U77" s="68">
        <v>815.05</v>
      </c>
      <c r="V77" s="68"/>
      <c r="W77" s="68">
        <v>78.290000000000006</v>
      </c>
      <c r="X77" s="68"/>
      <c r="Y77" s="68">
        <v>0</v>
      </c>
      <c r="Z77" s="68"/>
      <c r="AA77" s="68">
        <v>0</v>
      </c>
      <c r="AB77" s="68"/>
      <c r="AC77" s="68">
        <f>9182+600</f>
        <v>9782</v>
      </c>
      <c r="AD77" s="8"/>
      <c r="AE77" s="44">
        <f t="shared" si="11"/>
        <v>313865.89999999997</v>
      </c>
      <c r="AF77" s="4"/>
      <c r="AG77" s="23">
        <f t="shared" si="12"/>
        <v>-4027.609999999986</v>
      </c>
      <c r="AH77" s="4"/>
      <c r="AI77" s="15">
        <v>251089</v>
      </c>
      <c r="AJ77" s="4"/>
      <c r="AK77" s="23">
        <f t="shared" si="13"/>
        <v>255116.61</v>
      </c>
    </row>
    <row r="78" spans="1:37" ht="12" customHeight="1">
      <c r="A78" s="12" t="s">
        <v>218</v>
      </c>
      <c r="B78" s="15"/>
      <c r="C78" s="15" t="s">
        <v>25</v>
      </c>
      <c r="D78" s="15"/>
      <c r="E78" s="44">
        <v>1351142</v>
      </c>
      <c r="F78" s="44">
        <v>0</v>
      </c>
      <c r="G78" s="44">
        <v>77893</v>
      </c>
      <c r="H78" s="44">
        <v>0</v>
      </c>
      <c r="I78" s="44">
        <v>15530</v>
      </c>
      <c r="J78" s="44">
        <v>0</v>
      </c>
      <c r="K78" s="44">
        <v>52896</v>
      </c>
      <c r="L78" s="44"/>
      <c r="M78" s="44">
        <f t="shared" si="4"/>
        <v>1204823</v>
      </c>
      <c r="N78" s="44"/>
      <c r="O78" s="44">
        <v>169889</v>
      </c>
      <c r="P78" s="44">
        <v>0</v>
      </c>
      <c r="Q78" s="44">
        <v>1240548</v>
      </c>
      <c r="R78" s="44">
        <v>0</v>
      </c>
      <c r="S78" s="44">
        <v>201</v>
      </c>
      <c r="T78" s="44">
        <v>0</v>
      </c>
      <c r="U78" s="44">
        <v>786</v>
      </c>
      <c r="V78" s="44">
        <v>0</v>
      </c>
      <c r="W78" s="44">
        <v>11983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/>
      <c r="AE78" s="44">
        <f t="shared" si="11"/>
        <v>1423407</v>
      </c>
      <c r="AF78" s="23"/>
      <c r="AG78" s="23">
        <f t="shared" si="12"/>
        <v>-218584</v>
      </c>
      <c r="AH78" s="23"/>
      <c r="AI78" s="15">
        <v>407276</v>
      </c>
      <c r="AJ78" s="23"/>
      <c r="AK78" s="23">
        <f t="shared" si="13"/>
        <v>625860</v>
      </c>
    </row>
    <row r="79" spans="1:37" ht="12" customHeight="1">
      <c r="A79" s="12" t="s">
        <v>224</v>
      </c>
      <c r="B79" s="15"/>
      <c r="C79" s="15" t="s">
        <v>225</v>
      </c>
      <c r="D79" s="15"/>
      <c r="E79" s="44">
        <v>814908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/>
      <c r="M79" s="44">
        <f t="shared" si="4"/>
        <v>814908</v>
      </c>
      <c r="N79" s="44"/>
      <c r="O79" s="44">
        <v>125404</v>
      </c>
      <c r="P79" s="44">
        <v>0</v>
      </c>
      <c r="Q79" s="44">
        <v>511701</v>
      </c>
      <c r="R79" s="44">
        <v>0</v>
      </c>
      <c r="S79" s="44">
        <v>29979</v>
      </c>
      <c r="T79" s="44">
        <v>0</v>
      </c>
      <c r="U79" s="44">
        <f>17844+75</f>
        <v>17919</v>
      </c>
      <c r="V79" s="44">
        <v>0</v>
      </c>
      <c r="W79" s="44">
        <f>7921+37982+20304+11+90</f>
        <v>66308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/>
      <c r="AE79" s="44">
        <f t="shared" si="11"/>
        <v>751311</v>
      </c>
      <c r="AF79" s="23"/>
      <c r="AG79" s="23">
        <f t="shared" si="12"/>
        <v>63597</v>
      </c>
      <c r="AH79" s="23"/>
      <c r="AI79" s="15">
        <v>723146</v>
      </c>
      <c r="AJ79" s="23"/>
      <c r="AK79" s="23">
        <f t="shared" si="13"/>
        <v>659549</v>
      </c>
    </row>
    <row r="80" spans="1:37" ht="12" customHeight="1">
      <c r="A80" s="12" t="s">
        <v>227</v>
      </c>
      <c r="B80" s="15"/>
      <c r="C80" s="15" t="s">
        <v>60</v>
      </c>
      <c r="D80" s="15"/>
      <c r="E80" s="68">
        <v>186386.76</v>
      </c>
      <c r="F80" s="68"/>
      <c r="G80" s="68">
        <v>3535.24</v>
      </c>
      <c r="H80" s="68"/>
      <c r="I80" s="68">
        <v>0</v>
      </c>
      <c r="J80" s="68"/>
      <c r="K80" s="68">
        <v>0</v>
      </c>
      <c r="L80" s="68"/>
      <c r="M80" s="44">
        <f t="shared" si="4"/>
        <v>182851.52000000002</v>
      </c>
      <c r="N80" s="68"/>
      <c r="O80" s="68">
        <v>27192.28</v>
      </c>
      <c r="P80" s="68"/>
      <c r="Q80" s="68">
        <v>194247.12</v>
      </c>
      <c r="R80" s="68"/>
      <c r="S80" s="68">
        <v>0</v>
      </c>
      <c r="T80" s="68"/>
      <c r="U80" s="68">
        <v>4479.07</v>
      </c>
      <c r="V80" s="68"/>
      <c r="W80" s="68">
        <v>1546.27</v>
      </c>
      <c r="X80" s="68"/>
      <c r="Y80" s="68">
        <v>0</v>
      </c>
      <c r="Z80" s="68"/>
      <c r="AA80" s="68">
        <v>0</v>
      </c>
      <c r="AB80" s="68"/>
      <c r="AC80" s="68">
        <v>0</v>
      </c>
      <c r="AD80" s="44"/>
      <c r="AE80" s="44">
        <f t="shared" ref="AE80" si="20">SUM(O80:AC80)</f>
        <v>227464.74</v>
      </c>
      <c r="AF80" s="23"/>
      <c r="AG80" s="23">
        <f t="shared" ref="AG80" si="21">+M80-AE80</f>
        <v>-44613.219999999972</v>
      </c>
      <c r="AH80" s="23"/>
      <c r="AI80" s="15">
        <v>427071</v>
      </c>
      <c r="AJ80" s="23"/>
      <c r="AK80" s="23">
        <f t="shared" ref="AK80" si="22">+AI80-AG80</f>
        <v>471684.22</v>
      </c>
    </row>
    <row r="81" spans="1:37" ht="12" customHeight="1">
      <c r="A81" s="12" t="s">
        <v>383</v>
      </c>
      <c r="B81" s="15"/>
      <c r="C81" s="15" t="s">
        <v>22</v>
      </c>
      <c r="D81" s="15"/>
      <c r="E81" s="68">
        <v>380355.85</v>
      </c>
      <c r="F81" s="68"/>
      <c r="G81" s="68">
        <v>4994.75</v>
      </c>
      <c r="H81" s="68"/>
      <c r="I81" s="68">
        <v>0</v>
      </c>
      <c r="J81" s="68"/>
      <c r="K81" s="68">
        <v>0</v>
      </c>
      <c r="L81" s="68"/>
      <c r="M81" s="44">
        <f t="shared" si="4"/>
        <v>375361.1</v>
      </c>
      <c r="N81" s="68"/>
      <c r="O81" s="68">
        <v>85776.85</v>
      </c>
      <c r="P81" s="68"/>
      <c r="Q81" s="68">
        <v>288818.19</v>
      </c>
      <c r="R81" s="68"/>
      <c r="S81" s="68">
        <v>0</v>
      </c>
      <c r="T81" s="68"/>
      <c r="U81" s="68">
        <v>108.52</v>
      </c>
      <c r="V81" s="68"/>
      <c r="W81" s="68">
        <v>1495</v>
      </c>
      <c r="X81" s="68"/>
      <c r="Y81" s="68">
        <v>0</v>
      </c>
      <c r="Z81" s="68"/>
      <c r="AA81" s="68">
        <v>0</v>
      </c>
      <c r="AB81" s="68"/>
      <c r="AC81" s="68">
        <v>0</v>
      </c>
      <c r="AD81" s="44"/>
      <c r="AE81" s="44">
        <f t="shared" si="11"/>
        <v>376198.56000000006</v>
      </c>
      <c r="AF81" s="23"/>
      <c r="AG81" s="23">
        <f t="shared" si="12"/>
        <v>-837.46000000007916</v>
      </c>
      <c r="AH81" s="23"/>
      <c r="AI81" s="15">
        <v>239347</v>
      </c>
      <c r="AJ81" s="23"/>
      <c r="AK81" s="23">
        <f t="shared" si="13"/>
        <v>240184.46000000008</v>
      </c>
    </row>
    <row r="82" spans="1:37" ht="12" customHeight="1">
      <c r="A82" s="4" t="s">
        <v>564</v>
      </c>
      <c r="B82" s="4"/>
      <c r="C82" s="4" t="s">
        <v>66</v>
      </c>
      <c r="D82" s="4"/>
      <c r="E82" s="68">
        <v>1169010.83</v>
      </c>
      <c r="F82" s="68"/>
      <c r="G82" s="68">
        <v>55507.85</v>
      </c>
      <c r="H82" s="68"/>
      <c r="I82" s="68">
        <v>61.85</v>
      </c>
      <c r="J82" s="68"/>
      <c r="K82" s="68">
        <v>0</v>
      </c>
      <c r="L82" s="68"/>
      <c r="M82" s="44">
        <f t="shared" si="4"/>
        <v>1113441.1299999999</v>
      </c>
      <c r="N82" s="68"/>
      <c r="O82" s="68">
        <v>629278.63</v>
      </c>
      <c r="P82" s="68"/>
      <c r="Q82" s="68">
        <v>834685.46</v>
      </c>
      <c r="R82" s="68"/>
      <c r="S82" s="68">
        <v>0</v>
      </c>
      <c r="T82" s="68"/>
      <c r="U82" s="68">
        <v>1364.2</v>
      </c>
      <c r="V82" s="68"/>
      <c r="W82" s="68">
        <v>42878.62</v>
      </c>
      <c r="X82" s="68"/>
      <c r="Y82" s="68">
        <v>0</v>
      </c>
      <c r="Z82" s="68"/>
      <c r="AA82" s="68">
        <v>0</v>
      </c>
      <c r="AB82" s="68"/>
      <c r="AC82" s="68">
        <v>0</v>
      </c>
      <c r="AD82" s="8"/>
      <c r="AE82" s="44">
        <f t="shared" ref="AE82:AE93" si="23">SUM(O82:AC82)</f>
        <v>1508206.91</v>
      </c>
      <c r="AF82" s="4"/>
      <c r="AG82" s="23">
        <f t="shared" ref="AG82:AG93" si="24">+M82-AE82</f>
        <v>-394765.78</v>
      </c>
      <c r="AH82" s="4"/>
      <c r="AI82" s="15">
        <v>261700</v>
      </c>
      <c r="AJ82" s="4"/>
      <c r="AK82" s="23">
        <f t="shared" ref="AK82:AK93" si="25">+AI82-AG82</f>
        <v>656465.78</v>
      </c>
    </row>
    <row r="83" spans="1:37" ht="12" customHeight="1">
      <c r="A83" s="12" t="s">
        <v>444</v>
      </c>
      <c r="B83" s="15"/>
      <c r="C83" s="15" t="s">
        <v>236</v>
      </c>
      <c r="D83" s="15"/>
      <c r="E83" s="44">
        <v>3980982</v>
      </c>
      <c r="F83" s="44">
        <v>0</v>
      </c>
      <c r="G83" s="44">
        <v>66946</v>
      </c>
      <c r="H83" s="44">
        <v>0</v>
      </c>
      <c r="I83" s="44">
        <v>7271</v>
      </c>
      <c r="J83" s="44">
        <v>0</v>
      </c>
      <c r="K83" s="44">
        <v>5000</v>
      </c>
      <c r="L83" s="44"/>
      <c r="M83" s="44">
        <f t="shared" ref="M83:M93" si="26">+E83-G83-I83-K83</f>
        <v>3901765</v>
      </c>
      <c r="N83" s="44"/>
      <c r="O83" s="44">
        <v>1409117</v>
      </c>
      <c r="P83" s="44">
        <v>0</v>
      </c>
      <c r="Q83" s="44">
        <v>0</v>
      </c>
      <c r="R83" s="44">
        <v>0</v>
      </c>
      <c r="S83" s="44">
        <v>1528</v>
      </c>
      <c r="T83" s="44">
        <v>0</v>
      </c>
      <c r="U83" s="44">
        <v>71241</v>
      </c>
      <c r="V83" s="44">
        <v>0</v>
      </c>
      <c r="W83" s="44">
        <v>9561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/>
      <c r="AE83" s="44">
        <f t="shared" si="23"/>
        <v>1491447</v>
      </c>
      <c r="AF83" s="23"/>
      <c r="AG83" s="23">
        <f t="shared" si="24"/>
        <v>2410318</v>
      </c>
      <c r="AH83" s="23"/>
      <c r="AI83" s="15">
        <v>15972885</v>
      </c>
      <c r="AJ83" s="23"/>
      <c r="AK83" s="23">
        <f t="shared" si="25"/>
        <v>13562567</v>
      </c>
    </row>
    <row r="84" spans="1:37" ht="12" customHeight="1">
      <c r="A84" s="4" t="s">
        <v>585</v>
      </c>
      <c r="B84" s="15"/>
      <c r="C84" s="15" t="s">
        <v>53</v>
      </c>
      <c r="D84" s="15"/>
      <c r="E84" s="68">
        <v>1002585.92</v>
      </c>
      <c r="F84" s="68"/>
      <c r="G84" s="68">
        <v>30001.13</v>
      </c>
      <c r="H84" s="68"/>
      <c r="I84" s="68">
        <v>0</v>
      </c>
      <c r="J84" s="68"/>
      <c r="K84" s="68">
        <v>0</v>
      </c>
      <c r="L84" s="68"/>
      <c r="M84" s="44">
        <f t="shared" si="26"/>
        <v>972584.79</v>
      </c>
      <c r="N84" s="68"/>
      <c r="O84" s="68">
        <v>0</v>
      </c>
      <c r="P84" s="68"/>
      <c r="Q84" s="68">
        <v>911864.96</v>
      </c>
      <c r="R84" s="68"/>
      <c r="S84" s="68">
        <v>0</v>
      </c>
      <c r="T84" s="68"/>
      <c r="U84" s="68">
        <v>235.6</v>
      </c>
      <c r="V84" s="68"/>
      <c r="W84" s="68">
        <v>20028.969999999998</v>
      </c>
      <c r="X84" s="68"/>
      <c r="Y84" s="68">
        <v>0</v>
      </c>
      <c r="Z84" s="68"/>
      <c r="AA84" s="68">
        <v>0</v>
      </c>
      <c r="AB84" s="68"/>
      <c r="AC84" s="68">
        <v>0</v>
      </c>
      <c r="AD84" s="44"/>
      <c r="AE84" s="44">
        <f t="shared" si="23"/>
        <v>932129.52999999991</v>
      </c>
      <c r="AF84" s="23"/>
      <c r="AG84" s="23">
        <f t="shared" si="24"/>
        <v>40455.260000000126</v>
      </c>
      <c r="AH84" s="23"/>
      <c r="AI84" s="15">
        <v>394985</v>
      </c>
      <c r="AJ84" s="23"/>
      <c r="AK84" s="23">
        <f t="shared" si="25"/>
        <v>354529.73999999987</v>
      </c>
    </row>
    <row r="85" spans="1:37" ht="12" customHeight="1">
      <c r="A85" s="4" t="s">
        <v>621</v>
      </c>
      <c r="B85" s="15"/>
      <c r="C85" s="15" t="s">
        <v>580</v>
      </c>
      <c r="D85" s="15"/>
      <c r="E85" s="44">
        <v>56936665</v>
      </c>
      <c r="F85" s="44">
        <v>0</v>
      </c>
      <c r="G85" s="44">
        <v>1983512</v>
      </c>
      <c r="H85" s="44">
        <v>0</v>
      </c>
      <c r="I85" s="44">
        <v>457780</v>
      </c>
      <c r="J85" s="44">
        <v>0</v>
      </c>
      <c r="K85" s="44">
        <v>0</v>
      </c>
      <c r="L85" s="44"/>
      <c r="M85" s="44">
        <f t="shared" si="26"/>
        <v>54495373</v>
      </c>
      <c r="N85" s="44"/>
      <c r="O85" s="44">
        <v>19618860</v>
      </c>
      <c r="P85" s="44">
        <v>0</v>
      </c>
      <c r="Q85" s="44">
        <v>38213450</v>
      </c>
      <c r="R85" s="44">
        <v>0</v>
      </c>
      <c r="S85" s="44">
        <v>0</v>
      </c>
      <c r="T85" s="44">
        <v>0</v>
      </c>
      <c r="U85" s="44">
        <v>22673</v>
      </c>
      <c r="V85" s="44">
        <v>0</v>
      </c>
      <c r="W85" s="44">
        <f>48375+701110+3911</f>
        <v>753396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/>
      <c r="AE85" s="44">
        <f t="shared" si="23"/>
        <v>58608379</v>
      </c>
      <c r="AF85" s="23"/>
      <c r="AG85" s="23">
        <f>+M85-AE85</f>
        <v>-4113006</v>
      </c>
      <c r="AH85" s="23"/>
      <c r="AI85" s="15">
        <v>120352021</v>
      </c>
      <c r="AJ85" s="23"/>
      <c r="AK85" s="23">
        <f t="shared" si="25"/>
        <v>124465027</v>
      </c>
    </row>
    <row r="86" spans="1:37" ht="12" hidden="1" customHeight="1">
      <c r="A86" s="4" t="s">
        <v>388</v>
      </c>
      <c r="B86" s="4"/>
      <c r="C86" s="4" t="s">
        <v>46</v>
      </c>
      <c r="D86" s="4"/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/>
      <c r="M86" s="44">
        <f t="shared" si="26"/>
        <v>0</v>
      </c>
      <c r="N86" s="44"/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8"/>
      <c r="AE86" s="44">
        <f t="shared" si="23"/>
        <v>0</v>
      </c>
      <c r="AF86" s="4"/>
      <c r="AG86" s="23">
        <f t="shared" si="24"/>
        <v>0</v>
      </c>
      <c r="AH86" s="4"/>
      <c r="AI86" s="15">
        <v>0</v>
      </c>
      <c r="AJ86" s="4"/>
      <c r="AK86" s="23">
        <f t="shared" si="25"/>
        <v>0</v>
      </c>
    </row>
    <row r="87" spans="1:37" ht="12" hidden="1" customHeight="1">
      <c r="A87" s="4" t="s">
        <v>389</v>
      </c>
      <c r="B87" s="4"/>
      <c r="C87" s="4" t="s">
        <v>61</v>
      </c>
      <c r="D87" s="4"/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/>
      <c r="M87" s="44">
        <f t="shared" si="26"/>
        <v>0</v>
      </c>
      <c r="N87" s="44"/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8"/>
      <c r="AE87" s="44">
        <f t="shared" si="23"/>
        <v>0</v>
      </c>
      <c r="AF87" s="4"/>
      <c r="AG87" s="23">
        <f t="shared" si="24"/>
        <v>0</v>
      </c>
      <c r="AH87" s="4"/>
      <c r="AI87" s="15">
        <v>0</v>
      </c>
      <c r="AJ87" s="4"/>
      <c r="AK87" s="23">
        <f t="shared" si="25"/>
        <v>0</v>
      </c>
    </row>
    <row r="88" spans="1:37" ht="12" customHeight="1">
      <c r="A88" s="4" t="s">
        <v>242</v>
      </c>
      <c r="B88" s="4"/>
      <c r="C88" s="4" t="s">
        <v>167</v>
      </c>
      <c r="D88" s="4"/>
      <c r="E88" s="68">
        <v>3302272.79</v>
      </c>
      <c r="F88" s="68"/>
      <c r="G88" s="68">
        <v>30178.43</v>
      </c>
      <c r="H88" s="68"/>
      <c r="I88" s="68">
        <v>91863.28</v>
      </c>
      <c r="J88" s="68"/>
      <c r="K88" s="68">
        <v>0</v>
      </c>
      <c r="L88" s="68"/>
      <c r="M88" s="44">
        <f t="shared" si="26"/>
        <v>3180231.08</v>
      </c>
      <c r="N88" s="68"/>
      <c r="O88" s="68">
        <v>529021.66</v>
      </c>
      <c r="P88" s="68"/>
      <c r="Q88" s="68">
        <v>522700.99000000005</v>
      </c>
      <c r="R88" s="68"/>
      <c r="S88" s="68">
        <v>0</v>
      </c>
      <c r="T88" s="68"/>
      <c r="U88" s="68">
        <v>24554.81</v>
      </c>
      <c r="V88" s="68"/>
      <c r="W88" s="68">
        <v>20886.150000000001</v>
      </c>
      <c r="X88" s="68"/>
      <c r="Y88" s="68">
        <v>0</v>
      </c>
      <c r="Z88" s="68"/>
      <c r="AA88" s="68">
        <v>0</v>
      </c>
      <c r="AB88" s="68"/>
      <c r="AC88" s="68">
        <v>0</v>
      </c>
      <c r="AD88" s="8"/>
      <c r="AE88" s="44">
        <f t="shared" si="23"/>
        <v>1097163.6100000001</v>
      </c>
      <c r="AF88" s="4"/>
      <c r="AG88" s="23">
        <f t="shared" si="24"/>
        <v>2083067.47</v>
      </c>
      <c r="AH88" s="4"/>
      <c r="AI88" s="15">
        <v>3035054</v>
      </c>
      <c r="AJ88" s="4"/>
      <c r="AK88" s="23">
        <f t="shared" si="25"/>
        <v>951986.53</v>
      </c>
    </row>
    <row r="89" spans="1:37" ht="12" customHeight="1">
      <c r="A89" s="4" t="s">
        <v>390</v>
      </c>
      <c r="B89" s="4"/>
      <c r="C89" s="15" t="s">
        <v>43</v>
      </c>
      <c r="D89" s="4"/>
      <c r="E89" s="68">
        <v>136012.82</v>
      </c>
      <c r="F89" s="68"/>
      <c r="G89" s="68">
        <v>8321.92</v>
      </c>
      <c r="H89" s="68"/>
      <c r="I89" s="68">
        <v>0</v>
      </c>
      <c r="J89" s="68"/>
      <c r="K89" s="68">
        <v>0</v>
      </c>
      <c r="L89" s="68"/>
      <c r="M89" s="44">
        <f t="shared" si="26"/>
        <v>127690.90000000001</v>
      </c>
      <c r="N89" s="68"/>
      <c r="O89" s="68">
        <v>0</v>
      </c>
      <c r="P89" s="68"/>
      <c r="Q89" s="68">
        <v>141736.94</v>
      </c>
      <c r="R89" s="68"/>
      <c r="S89" s="68">
        <v>0</v>
      </c>
      <c r="T89" s="68"/>
      <c r="U89" s="68">
        <v>529.29999999999995</v>
      </c>
      <c r="V89" s="68"/>
      <c r="W89" s="68">
        <v>0</v>
      </c>
      <c r="X89" s="68"/>
      <c r="Y89" s="68">
        <v>0</v>
      </c>
      <c r="Z89" s="68"/>
      <c r="AA89" s="68">
        <v>0</v>
      </c>
      <c r="AB89" s="68"/>
      <c r="AC89" s="68">
        <v>0</v>
      </c>
      <c r="AD89" s="8"/>
      <c r="AE89" s="44">
        <f t="shared" si="23"/>
        <v>142266.23999999999</v>
      </c>
      <c r="AF89" s="4"/>
      <c r="AG89" s="23">
        <f t="shared" si="24"/>
        <v>-14575.339999999982</v>
      </c>
      <c r="AH89" s="4"/>
      <c r="AI89" s="15">
        <v>172200</v>
      </c>
      <c r="AJ89" s="4"/>
      <c r="AK89" s="23">
        <f t="shared" si="25"/>
        <v>186775.33999999997</v>
      </c>
    </row>
    <row r="90" spans="1:37" ht="12" customHeight="1">
      <c r="A90" s="7" t="s">
        <v>517</v>
      </c>
      <c r="B90" s="7"/>
      <c r="C90" s="7" t="s">
        <v>50</v>
      </c>
      <c r="D90" s="7"/>
      <c r="E90" s="68">
        <v>150942.16</v>
      </c>
      <c r="F90" s="68"/>
      <c r="G90" s="68">
        <v>2872.42</v>
      </c>
      <c r="H90" s="68"/>
      <c r="I90" s="68">
        <v>3999.16</v>
      </c>
      <c r="J90" s="68"/>
      <c r="K90" s="68">
        <v>0</v>
      </c>
      <c r="L90" s="68"/>
      <c r="M90" s="44">
        <f t="shared" si="26"/>
        <v>144070.57999999999</v>
      </c>
      <c r="N90" s="68"/>
      <c r="O90" s="68">
        <v>0</v>
      </c>
      <c r="P90" s="68"/>
      <c r="Q90" s="68">
        <v>144013.47</v>
      </c>
      <c r="R90" s="68"/>
      <c r="S90" s="68">
        <v>0</v>
      </c>
      <c r="T90" s="68"/>
      <c r="U90" s="68">
        <v>93.36</v>
      </c>
      <c r="V90" s="68"/>
      <c r="W90" s="68">
        <v>49.58</v>
      </c>
      <c r="X90" s="68"/>
      <c r="Y90" s="68">
        <v>0</v>
      </c>
      <c r="Z90" s="68"/>
      <c r="AA90" s="68">
        <v>0</v>
      </c>
      <c r="AB90" s="68"/>
      <c r="AC90" s="68">
        <v>0</v>
      </c>
      <c r="AD90" s="8"/>
      <c r="AE90" s="44">
        <f t="shared" si="23"/>
        <v>144156.40999999997</v>
      </c>
      <c r="AF90" s="4"/>
      <c r="AG90" s="23">
        <f t="shared" si="24"/>
        <v>-85.829999999987194</v>
      </c>
      <c r="AH90" s="4"/>
      <c r="AI90" s="15">
        <v>24305</v>
      </c>
      <c r="AJ90" s="4"/>
      <c r="AK90" s="23">
        <f t="shared" si="25"/>
        <v>24390.829999999987</v>
      </c>
    </row>
    <row r="91" spans="1:37" s="4" customFormat="1" ht="12">
      <c r="A91" s="4" t="s">
        <v>244</v>
      </c>
      <c r="C91" s="4" t="s">
        <v>19</v>
      </c>
      <c r="E91" s="44">
        <v>4255319</v>
      </c>
      <c r="F91" s="44">
        <v>0</v>
      </c>
      <c r="G91" s="44">
        <v>73105</v>
      </c>
      <c r="H91" s="44">
        <v>0</v>
      </c>
      <c r="I91" s="44">
        <v>245993</v>
      </c>
      <c r="J91" s="44">
        <v>0</v>
      </c>
      <c r="K91" s="44">
        <v>14249</v>
      </c>
      <c r="L91" s="44"/>
      <c r="M91" s="44">
        <f t="shared" si="26"/>
        <v>3921972</v>
      </c>
      <c r="N91" s="44"/>
      <c r="O91" s="44">
        <v>3129461</v>
      </c>
      <c r="P91" s="44">
        <v>0</v>
      </c>
      <c r="Q91" s="44">
        <v>910758</v>
      </c>
      <c r="R91" s="44">
        <v>0</v>
      </c>
      <c r="S91" s="44">
        <v>1605</v>
      </c>
      <c r="T91" s="44">
        <v>0</v>
      </c>
      <c r="U91" s="44">
        <v>7418</v>
      </c>
      <c r="V91" s="44">
        <v>0</v>
      </c>
      <c r="W91" s="44">
        <v>1173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8"/>
      <c r="AE91" s="44">
        <f t="shared" si="23"/>
        <v>4050415</v>
      </c>
      <c r="AG91" s="23">
        <f t="shared" si="24"/>
        <v>-128443</v>
      </c>
      <c r="AI91" s="15">
        <v>5766656</v>
      </c>
      <c r="AK91" s="23">
        <f t="shared" si="25"/>
        <v>5895099</v>
      </c>
    </row>
    <row r="92" spans="1:37" s="4" customFormat="1" ht="12" hidden="1">
      <c r="A92" s="4" t="s">
        <v>521</v>
      </c>
      <c r="C92" s="4" t="s">
        <v>62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/>
      <c r="M92" s="44">
        <f t="shared" si="26"/>
        <v>0</v>
      </c>
      <c r="N92" s="44"/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8"/>
      <c r="AE92" s="44">
        <f t="shared" si="23"/>
        <v>0</v>
      </c>
      <c r="AG92" s="23">
        <f t="shared" si="24"/>
        <v>0</v>
      </c>
      <c r="AI92" s="15">
        <v>0</v>
      </c>
      <c r="AK92" s="23">
        <f t="shared" si="25"/>
        <v>0</v>
      </c>
    </row>
    <row r="93" spans="1:37" s="4" customFormat="1" ht="12">
      <c r="A93" s="4" t="s">
        <v>395</v>
      </c>
      <c r="C93" s="4" t="s">
        <v>44</v>
      </c>
      <c r="E93" s="68">
        <v>442395.58</v>
      </c>
      <c r="F93" s="68"/>
      <c r="G93" s="68">
        <v>10721.84</v>
      </c>
      <c r="H93" s="68"/>
      <c r="I93" s="68">
        <v>9045.73</v>
      </c>
      <c r="J93" s="68"/>
      <c r="K93" s="68">
        <v>0</v>
      </c>
      <c r="L93" s="68"/>
      <c r="M93" s="44">
        <f t="shared" si="26"/>
        <v>422628.01</v>
      </c>
      <c r="N93" s="68"/>
      <c r="O93" s="68">
        <v>0</v>
      </c>
      <c r="P93" s="68"/>
      <c r="Q93" s="68">
        <v>412415.93</v>
      </c>
      <c r="R93" s="68"/>
      <c r="S93" s="68">
        <v>0</v>
      </c>
      <c r="T93" s="68"/>
      <c r="U93" s="68">
        <v>23.08</v>
      </c>
      <c r="V93" s="68"/>
      <c r="W93" s="68">
        <v>1415.61</v>
      </c>
      <c r="X93" s="68"/>
      <c r="Y93" s="68">
        <v>0</v>
      </c>
      <c r="Z93" s="68"/>
      <c r="AA93" s="68">
        <v>0</v>
      </c>
      <c r="AB93" s="68"/>
      <c r="AC93" s="68">
        <v>0</v>
      </c>
      <c r="AD93" s="8"/>
      <c r="AE93" s="44">
        <f t="shared" si="23"/>
        <v>413854.62</v>
      </c>
      <c r="AG93" s="23">
        <f t="shared" si="24"/>
        <v>8773.390000000014</v>
      </c>
      <c r="AI93" s="15">
        <v>85716</v>
      </c>
      <c r="AK93" s="23">
        <f t="shared" si="25"/>
        <v>76942.609999999986</v>
      </c>
    </row>
    <row r="94" spans="1:37" s="4" customFormat="1" ht="12">
      <c r="A94" s="12"/>
      <c r="B94" s="15"/>
      <c r="C94" s="15"/>
      <c r="D94" s="15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s="4" customFormat="1" ht="12">
      <c r="A95" s="12"/>
      <c r="B95" s="15"/>
      <c r="C95" s="15"/>
      <c r="D95" s="15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44" t="s">
        <v>591</v>
      </c>
    </row>
    <row r="96" spans="1:37" ht="12" customHeight="1">
      <c r="A96" s="75" t="s">
        <v>527</v>
      </c>
      <c r="B96" s="75"/>
      <c r="C96" s="75"/>
      <c r="D96" s="75"/>
      <c r="E96" s="75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2" customHeight="1">
      <c r="A97" s="15" t="s">
        <v>400</v>
      </c>
      <c r="B97" s="15"/>
      <c r="C97" s="15"/>
      <c r="D97" s="15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12" customHeight="1">
      <c r="A98" s="15" t="s">
        <v>635</v>
      </c>
      <c r="B98" s="15"/>
      <c r="C98" s="15"/>
      <c r="D98" s="15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12" customHeight="1">
      <c r="A99" s="15" t="s">
        <v>7</v>
      </c>
      <c r="B99" s="15"/>
      <c r="C99" s="15"/>
      <c r="D99" s="1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12" customHeight="1">
      <c r="B100" s="15"/>
      <c r="C100" s="15"/>
      <c r="D100" s="15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12" customHeight="1">
      <c r="A101" s="12" t="s">
        <v>401</v>
      </c>
      <c r="B101" s="15"/>
      <c r="C101" s="15"/>
      <c r="D101" s="15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2" customHeight="1">
      <c r="A102" s="15"/>
      <c r="B102" s="15"/>
      <c r="C102" s="15"/>
      <c r="D102" s="15"/>
      <c r="E102" s="57"/>
      <c r="F102" s="57"/>
      <c r="G102" s="76" t="s">
        <v>350</v>
      </c>
      <c r="H102" s="76"/>
      <c r="I102" s="76"/>
      <c r="J102" s="76"/>
      <c r="K102" s="76"/>
      <c r="L102" s="23"/>
      <c r="M102" s="23"/>
      <c r="N102" s="23"/>
      <c r="O102" s="76" t="s">
        <v>351</v>
      </c>
      <c r="P102" s="76"/>
      <c r="Q102" s="76"/>
      <c r="R102" s="76"/>
      <c r="S102" s="76"/>
      <c r="T102" s="76"/>
      <c r="U102" s="76"/>
      <c r="V102" s="76"/>
      <c r="W102" s="76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12" customHeight="1">
      <c r="A103" s="15"/>
      <c r="B103" s="15"/>
      <c r="C103" s="15"/>
      <c r="D103" s="15"/>
      <c r="E103" s="57"/>
      <c r="F103" s="57"/>
      <c r="G103" s="57"/>
      <c r="H103" s="57"/>
      <c r="I103" s="58" t="s">
        <v>402</v>
      </c>
      <c r="J103" s="57"/>
      <c r="K103" s="57"/>
      <c r="L103" s="23"/>
      <c r="M103" s="23"/>
      <c r="N103" s="23"/>
      <c r="O103" s="23"/>
      <c r="P103" s="23"/>
      <c r="Q103" s="27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2" customHeight="1">
      <c r="D104" s="15"/>
      <c r="E104" s="57"/>
      <c r="F104" s="57"/>
      <c r="G104" s="57"/>
      <c r="H104" s="57"/>
      <c r="I104" s="58" t="s">
        <v>403</v>
      </c>
      <c r="J104" s="57"/>
      <c r="K104" s="57"/>
      <c r="L104" s="23"/>
      <c r="M104" s="58" t="s">
        <v>408</v>
      </c>
      <c r="N104" s="57"/>
      <c r="O104" s="58" t="s">
        <v>31</v>
      </c>
      <c r="P104" s="57"/>
      <c r="Q104" s="58" t="s">
        <v>403</v>
      </c>
      <c r="R104" s="57"/>
      <c r="S104" s="58" t="s">
        <v>413</v>
      </c>
      <c r="T104" s="57"/>
      <c r="U104" s="57"/>
      <c r="V104" s="57"/>
      <c r="W104" s="57"/>
      <c r="X104" s="57"/>
      <c r="Y104" s="57"/>
      <c r="Z104" s="57"/>
      <c r="AA104" s="58" t="s">
        <v>416</v>
      </c>
      <c r="AB104" s="23"/>
      <c r="AC104" s="58" t="s">
        <v>409</v>
      </c>
      <c r="AD104" s="23"/>
      <c r="AE104" s="58"/>
      <c r="AF104" s="57"/>
      <c r="AG104" s="58" t="s">
        <v>410</v>
      </c>
      <c r="AH104" s="57"/>
      <c r="AI104" s="58" t="s">
        <v>411</v>
      </c>
      <c r="AJ104" s="57"/>
      <c r="AK104" s="58" t="s">
        <v>408</v>
      </c>
    </row>
    <row r="105" spans="1:37" ht="12" customHeight="1">
      <c r="A105" s="59"/>
      <c r="B105" s="59"/>
      <c r="C105" s="15"/>
      <c r="D105" s="15"/>
      <c r="E105" s="58" t="s">
        <v>404</v>
      </c>
      <c r="F105" s="57"/>
      <c r="G105" s="58" t="s">
        <v>405</v>
      </c>
      <c r="H105" s="57"/>
      <c r="I105" s="58" t="s">
        <v>406</v>
      </c>
      <c r="J105" s="57"/>
      <c r="K105" s="58" t="s">
        <v>30</v>
      </c>
      <c r="L105" s="23"/>
      <c r="M105" s="58" t="s">
        <v>522</v>
      </c>
      <c r="N105" s="57"/>
      <c r="O105" s="58" t="s">
        <v>412</v>
      </c>
      <c r="P105" s="57"/>
      <c r="Q105" s="58" t="s">
        <v>550</v>
      </c>
      <c r="R105" s="57"/>
      <c r="S105" s="58" t="s">
        <v>549</v>
      </c>
      <c r="T105" s="57"/>
      <c r="U105" s="58" t="s">
        <v>414</v>
      </c>
      <c r="V105" s="57"/>
      <c r="W105" s="57"/>
      <c r="X105" s="57"/>
      <c r="Y105" s="58" t="s">
        <v>415</v>
      </c>
      <c r="Z105" s="57"/>
      <c r="AA105" s="58" t="s">
        <v>588</v>
      </c>
      <c r="AB105" s="23"/>
      <c r="AC105" s="58" t="s">
        <v>417</v>
      </c>
      <c r="AD105" s="23"/>
      <c r="AE105" s="58" t="s">
        <v>28</v>
      </c>
      <c r="AF105" s="57"/>
      <c r="AG105" s="58" t="s">
        <v>418</v>
      </c>
      <c r="AH105" s="57"/>
      <c r="AI105" s="58" t="s">
        <v>419</v>
      </c>
      <c r="AJ105" s="57"/>
      <c r="AK105" s="58" t="s">
        <v>32</v>
      </c>
    </row>
    <row r="106" spans="1:37" s="4" customFormat="1" ht="12">
      <c r="A106" s="46" t="s">
        <v>8</v>
      </c>
      <c r="B106" s="59"/>
      <c r="C106" s="40" t="s">
        <v>6</v>
      </c>
      <c r="D106" s="59"/>
      <c r="E106" s="67" t="s">
        <v>590</v>
      </c>
      <c r="F106" s="59"/>
      <c r="G106" s="61" t="s">
        <v>29</v>
      </c>
      <c r="H106" s="59"/>
      <c r="I106" s="61" t="s">
        <v>407</v>
      </c>
      <c r="J106" s="59"/>
      <c r="K106" s="61" t="s">
        <v>403</v>
      </c>
      <c r="L106" s="59"/>
      <c r="M106" s="61" t="s">
        <v>420</v>
      </c>
      <c r="N106" s="59"/>
      <c r="O106" s="61" t="s">
        <v>421</v>
      </c>
      <c r="P106" s="59"/>
      <c r="Q106" s="61" t="s">
        <v>551</v>
      </c>
      <c r="R106" s="59"/>
      <c r="S106" s="61" t="s">
        <v>406</v>
      </c>
      <c r="T106" s="59"/>
      <c r="U106" s="61" t="s">
        <v>422</v>
      </c>
      <c r="V106" s="59"/>
      <c r="W106" s="61" t="s">
        <v>0</v>
      </c>
      <c r="X106" s="59"/>
      <c r="Y106" s="61" t="s">
        <v>423</v>
      </c>
      <c r="Z106" s="59"/>
      <c r="AA106" s="61" t="s">
        <v>589</v>
      </c>
      <c r="AB106" s="59"/>
      <c r="AC106" s="61" t="s">
        <v>424</v>
      </c>
      <c r="AD106" s="59"/>
      <c r="AE106" s="61" t="s">
        <v>559</v>
      </c>
      <c r="AF106" s="59"/>
      <c r="AG106" s="61" t="s">
        <v>32</v>
      </c>
      <c r="AH106" s="59"/>
      <c r="AI106" s="61" t="s">
        <v>425</v>
      </c>
      <c r="AJ106" s="59"/>
      <c r="AK106" s="61" t="s">
        <v>426</v>
      </c>
    </row>
    <row r="107" spans="1:37" s="62" customFormat="1" ht="12" customHeight="1">
      <c r="A107" s="42" t="s">
        <v>565</v>
      </c>
      <c r="B107" s="42"/>
      <c r="C107" s="42" t="s">
        <v>13</v>
      </c>
      <c r="D107" s="42"/>
      <c r="E107" s="73">
        <v>442981.68</v>
      </c>
      <c r="F107" s="73"/>
      <c r="G107" s="73">
        <v>11677.92</v>
      </c>
      <c r="H107" s="73"/>
      <c r="I107" s="73">
        <v>4476.91</v>
      </c>
      <c r="J107" s="73"/>
      <c r="K107" s="73">
        <v>0</v>
      </c>
      <c r="L107" s="73"/>
      <c r="M107" s="74">
        <f t="shared" ref="M107:M123" si="27">+E107-G107-I107-K107</f>
        <v>426826.85000000003</v>
      </c>
      <c r="N107" s="73"/>
      <c r="O107" s="73">
        <v>0</v>
      </c>
      <c r="P107" s="73"/>
      <c r="Q107" s="73">
        <v>418264.75</v>
      </c>
      <c r="R107" s="73"/>
      <c r="S107" s="73">
        <v>0</v>
      </c>
      <c r="T107" s="73"/>
      <c r="U107" s="73">
        <v>510.97</v>
      </c>
      <c r="V107" s="73"/>
      <c r="W107" s="73">
        <v>4204.2299999999996</v>
      </c>
      <c r="X107" s="73"/>
      <c r="Y107" s="73">
        <v>0</v>
      </c>
      <c r="Z107" s="73"/>
      <c r="AA107" s="73">
        <v>0</v>
      </c>
      <c r="AB107" s="73"/>
      <c r="AC107" s="73">
        <v>0</v>
      </c>
      <c r="AD107" s="42"/>
      <c r="AE107" s="43">
        <f t="shared" ref="AE107:AE123" si="28">SUM(O107:AC107)</f>
        <v>422979.94999999995</v>
      </c>
      <c r="AF107" s="42"/>
      <c r="AG107" s="43">
        <f t="shared" ref="AG107:AG123" si="29">+M107-AE107</f>
        <v>3846.9000000000815</v>
      </c>
      <c r="AH107" s="42"/>
      <c r="AI107" s="42">
        <v>691204</v>
      </c>
      <c r="AJ107" s="42"/>
      <c r="AK107" s="43">
        <f t="shared" ref="AK107:AK123" si="30">+AI107-AG107</f>
        <v>687357.09999999986</v>
      </c>
    </row>
    <row r="108" spans="1:37" s="4" customFormat="1" ht="12">
      <c r="A108" s="12" t="s">
        <v>255</v>
      </c>
      <c r="B108" s="15"/>
      <c r="C108" s="15" t="s">
        <v>25</v>
      </c>
      <c r="D108" s="15"/>
      <c r="E108" s="44">
        <v>11842901</v>
      </c>
      <c r="F108" s="44">
        <v>0</v>
      </c>
      <c r="G108" s="44">
        <v>289184</v>
      </c>
      <c r="H108" s="44">
        <v>0</v>
      </c>
      <c r="I108" s="44">
        <v>20145</v>
      </c>
      <c r="J108" s="44">
        <v>0</v>
      </c>
      <c r="K108" s="44">
        <v>199461</v>
      </c>
      <c r="L108" s="44"/>
      <c r="M108" s="44">
        <f t="shared" si="27"/>
        <v>11334111</v>
      </c>
      <c r="N108" s="44"/>
      <c r="O108" s="44">
        <f>4132313+6344334</f>
        <v>10476647</v>
      </c>
      <c r="P108" s="44">
        <v>0</v>
      </c>
      <c r="Q108" s="44">
        <v>1072279</v>
      </c>
      <c r="R108" s="44">
        <v>0</v>
      </c>
      <c r="S108" s="44">
        <v>46</v>
      </c>
      <c r="T108" s="44">
        <v>0</v>
      </c>
      <c r="U108" s="44">
        <v>6241</v>
      </c>
      <c r="V108" s="44">
        <v>0</v>
      </c>
      <c r="W108" s="44">
        <v>92364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23"/>
      <c r="AE108" s="23">
        <f t="shared" si="28"/>
        <v>11647577</v>
      </c>
      <c r="AF108" s="23"/>
      <c r="AG108" s="23">
        <f t="shared" si="29"/>
        <v>-313466</v>
      </c>
      <c r="AH108" s="23"/>
      <c r="AI108" s="15">
        <v>2207336</v>
      </c>
      <c r="AJ108" s="23"/>
      <c r="AK108" s="23">
        <f t="shared" si="30"/>
        <v>2520802</v>
      </c>
    </row>
    <row r="109" spans="1:37" s="4" customFormat="1" ht="12">
      <c r="A109" s="12" t="s">
        <v>258</v>
      </c>
      <c r="B109" s="12"/>
      <c r="C109" s="12" t="s">
        <v>22</v>
      </c>
      <c r="D109" s="15"/>
      <c r="E109" s="44">
        <v>2052718</v>
      </c>
      <c r="F109" s="44">
        <v>0</v>
      </c>
      <c r="G109" s="44">
        <v>80173</v>
      </c>
      <c r="H109" s="44">
        <v>0</v>
      </c>
      <c r="I109" s="44">
        <v>0</v>
      </c>
      <c r="J109" s="44">
        <v>0</v>
      </c>
      <c r="K109" s="44">
        <v>0</v>
      </c>
      <c r="L109" s="44"/>
      <c r="M109" s="44">
        <f t="shared" si="27"/>
        <v>1972545</v>
      </c>
      <c r="N109" s="44"/>
      <c r="O109" s="44">
        <v>792802</v>
      </c>
      <c r="P109" s="44">
        <v>0</v>
      </c>
      <c r="Q109" s="44">
        <v>1086935</v>
      </c>
      <c r="R109" s="44">
        <v>0</v>
      </c>
      <c r="S109" s="44">
        <v>9089</v>
      </c>
      <c r="T109" s="44">
        <v>0</v>
      </c>
      <c r="U109" s="44">
        <v>620</v>
      </c>
      <c r="V109" s="44">
        <v>0</v>
      </c>
      <c r="W109" s="44">
        <v>10066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23"/>
      <c r="AE109" s="23">
        <f t="shared" si="28"/>
        <v>1899512</v>
      </c>
      <c r="AF109" s="23"/>
      <c r="AG109" s="23">
        <f t="shared" si="29"/>
        <v>73033</v>
      </c>
      <c r="AH109" s="23"/>
      <c r="AI109" s="15">
        <v>746901</v>
      </c>
      <c r="AJ109" s="23"/>
      <c r="AK109" s="23">
        <f t="shared" si="30"/>
        <v>673868</v>
      </c>
    </row>
    <row r="110" spans="1:37" s="4" customFormat="1" ht="12" hidden="1">
      <c r="A110" s="4" t="s">
        <v>579</v>
      </c>
      <c r="C110" s="4" t="s">
        <v>580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/>
      <c r="M110" s="44">
        <f t="shared" si="27"/>
        <v>0</v>
      </c>
      <c r="N110" s="44"/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E110" s="23">
        <f t="shared" si="28"/>
        <v>0</v>
      </c>
      <c r="AG110" s="23">
        <f t="shared" si="29"/>
        <v>0</v>
      </c>
      <c r="AI110" s="15">
        <v>0</v>
      </c>
      <c r="AK110" s="23">
        <f t="shared" si="30"/>
        <v>0</v>
      </c>
    </row>
    <row r="111" spans="1:37" s="4" customFormat="1" ht="12">
      <c r="A111" s="12" t="s">
        <v>448</v>
      </c>
      <c r="B111" s="12"/>
      <c r="C111" s="12" t="s">
        <v>53</v>
      </c>
      <c r="D111" s="15"/>
      <c r="E111" s="44">
        <v>690569</v>
      </c>
      <c r="F111" s="44">
        <v>0</v>
      </c>
      <c r="G111" s="44">
        <v>13387</v>
      </c>
      <c r="H111" s="44">
        <v>0</v>
      </c>
      <c r="I111" s="44">
        <v>29741</v>
      </c>
      <c r="J111" s="44">
        <v>0</v>
      </c>
      <c r="K111" s="44">
        <v>0</v>
      </c>
      <c r="L111" s="44"/>
      <c r="M111" s="44">
        <f t="shared" si="27"/>
        <v>647441</v>
      </c>
      <c r="N111" s="44"/>
      <c r="O111" s="44">
        <v>284716</v>
      </c>
      <c r="P111" s="44">
        <v>0</v>
      </c>
      <c r="Q111" s="44">
        <v>440784</v>
      </c>
      <c r="R111" s="44">
        <v>0</v>
      </c>
      <c r="S111" s="44">
        <v>1915</v>
      </c>
      <c r="T111" s="44">
        <v>0</v>
      </c>
      <c r="U111" s="44">
        <v>3511</v>
      </c>
      <c r="V111" s="44">
        <v>0</v>
      </c>
      <c r="W111" s="44">
        <v>11238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23"/>
      <c r="AE111" s="23">
        <f t="shared" si="28"/>
        <v>742164</v>
      </c>
      <c r="AF111" s="23"/>
      <c r="AG111" s="23">
        <f t="shared" si="29"/>
        <v>-94723</v>
      </c>
      <c r="AH111" s="23"/>
      <c r="AI111" s="15">
        <v>401223</v>
      </c>
      <c r="AJ111" s="23"/>
      <c r="AK111" s="23">
        <f t="shared" si="30"/>
        <v>495946</v>
      </c>
    </row>
    <row r="112" spans="1:37" s="4" customFormat="1" ht="12">
      <c r="A112" s="12" t="s">
        <v>631</v>
      </c>
      <c r="B112" s="12"/>
      <c r="C112" s="12" t="s">
        <v>318</v>
      </c>
      <c r="D112" s="15"/>
      <c r="E112" s="44">
        <v>32238129</v>
      </c>
      <c r="F112" s="44">
        <v>0</v>
      </c>
      <c r="G112" s="44">
        <v>931871</v>
      </c>
      <c r="H112" s="44">
        <v>0</v>
      </c>
      <c r="I112" s="44">
        <v>204915</v>
      </c>
      <c r="J112" s="44">
        <v>0</v>
      </c>
      <c r="K112" s="44">
        <v>0</v>
      </c>
      <c r="L112" s="44"/>
      <c r="M112" s="44">
        <f t="shared" si="27"/>
        <v>31101343</v>
      </c>
      <c r="N112" s="44"/>
      <c r="O112" s="44">
        <v>13698123</v>
      </c>
      <c r="P112" s="44">
        <v>0</v>
      </c>
      <c r="Q112" s="44">
        <v>17317214</v>
      </c>
      <c r="R112" s="44">
        <v>0</v>
      </c>
      <c r="S112" s="44">
        <v>0</v>
      </c>
      <c r="T112" s="44">
        <v>0</v>
      </c>
      <c r="U112" s="44">
        <v>29420</v>
      </c>
      <c r="V112" s="44">
        <v>0</v>
      </c>
      <c r="W112" s="44">
        <f>36963+167283</f>
        <v>204246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23"/>
      <c r="AE112" s="23">
        <f t="shared" si="28"/>
        <v>31249003</v>
      </c>
      <c r="AF112" s="23"/>
      <c r="AG112" s="23">
        <f t="shared" si="29"/>
        <v>-147660</v>
      </c>
      <c r="AH112" s="23"/>
      <c r="AI112" s="15">
        <v>93515575</v>
      </c>
      <c r="AJ112" s="23"/>
      <c r="AK112" s="23">
        <f t="shared" si="30"/>
        <v>93663235</v>
      </c>
    </row>
    <row r="113" spans="1:37" s="4" customFormat="1" ht="12" hidden="1">
      <c r="A113" s="12" t="s">
        <v>449</v>
      </c>
      <c r="B113" s="12"/>
      <c r="C113" s="12" t="s">
        <v>53</v>
      </c>
      <c r="D113" s="15"/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/>
      <c r="M113" s="44">
        <f t="shared" si="27"/>
        <v>0</v>
      </c>
      <c r="N113" s="44"/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23"/>
      <c r="AE113" s="23">
        <f t="shared" si="28"/>
        <v>0</v>
      </c>
      <c r="AF113" s="23"/>
      <c r="AG113" s="23">
        <f t="shared" si="29"/>
        <v>0</v>
      </c>
      <c r="AH113" s="23"/>
      <c r="AI113" s="15">
        <v>0</v>
      </c>
      <c r="AJ113" s="23"/>
      <c r="AK113" s="23">
        <f t="shared" si="30"/>
        <v>0</v>
      </c>
    </row>
    <row r="114" spans="1:37" s="4" customFormat="1" ht="12">
      <c r="A114" s="12" t="s">
        <v>265</v>
      </c>
      <c r="B114" s="12"/>
      <c r="C114" s="12" t="s">
        <v>26</v>
      </c>
      <c r="D114" s="15"/>
      <c r="E114" s="44">
        <v>2113974</v>
      </c>
      <c r="F114" s="44">
        <v>0</v>
      </c>
      <c r="G114" s="44">
        <v>54364</v>
      </c>
      <c r="H114" s="44">
        <v>0</v>
      </c>
      <c r="I114" s="44">
        <v>0</v>
      </c>
      <c r="J114" s="44">
        <v>0</v>
      </c>
      <c r="K114" s="44">
        <v>0</v>
      </c>
      <c r="L114" s="44"/>
      <c r="M114" s="44">
        <f t="shared" si="27"/>
        <v>2059610</v>
      </c>
      <c r="N114" s="44"/>
      <c r="O114" s="44">
        <v>593164</v>
      </c>
      <c r="P114" s="44">
        <v>0</v>
      </c>
      <c r="Q114" s="44">
        <v>1287391</v>
      </c>
      <c r="R114" s="44">
        <v>0</v>
      </c>
      <c r="S114" s="44">
        <v>29483</v>
      </c>
      <c r="T114" s="44">
        <v>0</v>
      </c>
      <c r="U114" s="44">
        <v>3018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-59956</v>
      </c>
      <c r="AB114" s="44">
        <v>0</v>
      </c>
      <c r="AC114" s="44">
        <v>0</v>
      </c>
      <c r="AD114" s="23"/>
      <c r="AE114" s="23">
        <f t="shared" si="28"/>
        <v>1853100</v>
      </c>
      <c r="AF114" s="23"/>
      <c r="AG114" s="23">
        <f t="shared" si="29"/>
        <v>206510</v>
      </c>
      <c r="AH114" s="23"/>
      <c r="AI114" s="15">
        <v>720889</v>
      </c>
      <c r="AJ114" s="23"/>
      <c r="AK114" s="23">
        <f t="shared" si="30"/>
        <v>514379</v>
      </c>
    </row>
    <row r="115" spans="1:37" s="4" customFormat="1" ht="12">
      <c r="A115" s="12" t="s">
        <v>319</v>
      </c>
      <c r="B115" s="12"/>
      <c r="C115" s="12" t="s">
        <v>22</v>
      </c>
      <c r="D115" s="15"/>
      <c r="E115" s="44">
        <v>2494898</v>
      </c>
      <c r="F115" s="44">
        <v>0</v>
      </c>
      <c r="G115" s="44">
        <v>77476</v>
      </c>
      <c r="H115" s="44">
        <v>0</v>
      </c>
      <c r="I115" s="44">
        <v>26243</v>
      </c>
      <c r="J115" s="44">
        <v>0</v>
      </c>
      <c r="K115" s="44">
        <v>0</v>
      </c>
      <c r="L115" s="44"/>
      <c r="M115" s="44">
        <f t="shared" si="27"/>
        <v>2391179</v>
      </c>
      <c r="N115" s="44"/>
      <c r="O115" s="44">
        <v>1388640</v>
      </c>
      <c r="P115" s="44">
        <v>0</v>
      </c>
      <c r="Q115" s="44">
        <v>1356528</v>
      </c>
      <c r="R115" s="44">
        <v>0</v>
      </c>
      <c r="S115" s="44">
        <v>1105</v>
      </c>
      <c r="T115" s="44">
        <v>0</v>
      </c>
      <c r="U115" s="44">
        <v>2422</v>
      </c>
      <c r="V115" s="44">
        <v>0</v>
      </c>
      <c r="W115" s="44">
        <v>8198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23"/>
      <c r="AE115" s="23">
        <f t="shared" si="28"/>
        <v>2756893</v>
      </c>
      <c r="AF115" s="23"/>
      <c r="AG115" s="23">
        <f t="shared" si="29"/>
        <v>-365714</v>
      </c>
      <c r="AH115" s="23"/>
      <c r="AI115" s="15">
        <v>988214</v>
      </c>
      <c r="AJ115" s="23"/>
      <c r="AK115" s="23">
        <f t="shared" si="30"/>
        <v>1353928</v>
      </c>
    </row>
    <row r="116" spans="1:37" s="4" customFormat="1" ht="12">
      <c r="A116" s="12" t="s">
        <v>346</v>
      </c>
      <c r="B116" s="12"/>
      <c r="C116" s="12" t="s">
        <v>27</v>
      </c>
      <c r="D116" s="15"/>
      <c r="E116" s="44">
        <v>1651884</v>
      </c>
      <c r="F116" s="44">
        <v>0</v>
      </c>
      <c r="G116" s="44">
        <v>72396</v>
      </c>
      <c r="H116" s="44">
        <v>0</v>
      </c>
      <c r="I116" s="44">
        <v>0</v>
      </c>
      <c r="J116" s="44">
        <v>0</v>
      </c>
      <c r="K116" s="44">
        <v>0</v>
      </c>
      <c r="L116" s="44"/>
      <c r="M116" s="44">
        <f t="shared" si="27"/>
        <v>1579488</v>
      </c>
      <c r="N116" s="44"/>
      <c r="O116" s="44">
        <v>0</v>
      </c>
      <c r="P116" s="44">
        <v>0</v>
      </c>
      <c r="Q116" s="44">
        <v>1800351</v>
      </c>
      <c r="R116" s="44">
        <v>0</v>
      </c>
      <c r="S116" s="44">
        <v>8449</v>
      </c>
      <c r="T116" s="44">
        <v>0</v>
      </c>
      <c r="U116" s="44">
        <v>2736</v>
      </c>
      <c r="V116" s="44">
        <v>0</v>
      </c>
      <c r="W116" s="44">
        <v>1203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57</v>
      </c>
      <c r="AD116" s="23"/>
      <c r="AE116" s="23">
        <f t="shared" si="28"/>
        <v>1812796</v>
      </c>
      <c r="AF116" s="23"/>
      <c r="AG116" s="23">
        <f t="shared" si="29"/>
        <v>-233308</v>
      </c>
      <c r="AH116" s="23"/>
      <c r="AI116" s="15">
        <v>2085951</v>
      </c>
      <c r="AJ116" s="23"/>
      <c r="AK116" s="23">
        <f t="shared" si="30"/>
        <v>2319259</v>
      </c>
    </row>
    <row r="117" spans="1:37" s="4" customFormat="1" ht="12">
      <c r="A117" s="4" t="s">
        <v>270</v>
      </c>
      <c r="C117" s="4" t="s">
        <v>225</v>
      </c>
      <c r="E117" s="44">
        <v>4856126</v>
      </c>
      <c r="F117" s="44">
        <v>0</v>
      </c>
      <c r="G117" s="44">
        <v>154868</v>
      </c>
      <c r="H117" s="44">
        <v>0</v>
      </c>
      <c r="I117" s="44">
        <v>0</v>
      </c>
      <c r="J117" s="44">
        <v>0</v>
      </c>
      <c r="K117" s="44">
        <v>0</v>
      </c>
      <c r="L117" s="44"/>
      <c r="M117" s="44">
        <f t="shared" si="27"/>
        <v>4701258</v>
      </c>
      <c r="N117" s="44"/>
      <c r="O117" s="44">
        <f>1830027+432148</f>
        <v>2262175</v>
      </c>
      <c r="P117" s="44">
        <v>0</v>
      </c>
      <c r="Q117" s="44">
        <v>2998374</v>
      </c>
      <c r="R117" s="44">
        <v>0</v>
      </c>
      <c r="S117" s="44">
        <v>27714</v>
      </c>
      <c r="T117" s="44">
        <v>0</v>
      </c>
      <c r="U117" s="44">
        <v>70811</v>
      </c>
      <c r="V117" s="44">
        <v>0</v>
      </c>
      <c r="W117" s="44">
        <v>69572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E117" s="23">
        <f t="shared" si="28"/>
        <v>5428646</v>
      </c>
      <c r="AG117" s="23">
        <f t="shared" si="29"/>
        <v>-727388</v>
      </c>
      <c r="AI117" s="15">
        <v>3002090</v>
      </c>
      <c r="AK117" s="23">
        <f t="shared" si="30"/>
        <v>3729478</v>
      </c>
    </row>
    <row r="118" spans="1:37" s="4" customFormat="1" ht="12" hidden="1">
      <c r="A118" s="15" t="s">
        <v>587</v>
      </c>
      <c r="C118" s="15" t="s">
        <v>65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/>
      <c r="M118" s="44">
        <f t="shared" si="27"/>
        <v>0</v>
      </c>
      <c r="N118" s="44"/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E118" s="23">
        <f t="shared" si="28"/>
        <v>0</v>
      </c>
      <c r="AG118" s="23">
        <f t="shared" si="29"/>
        <v>0</v>
      </c>
      <c r="AI118" s="15">
        <v>0</v>
      </c>
      <c r="AK118" s="23">
        <f t="shared" si="30"/>
        <v>0</v>
      </c>
    </row>
    <row r="119" spans="1:37" s="4" customFormat="1" ht="12">
      <c r="A119" s="4" t="s">
        <v>39</v>
      </c>
      <c r="C119" s="4" t="s">
        <v>15</v>
      </c>
      <c r="E119" s="68">
        <v>1435522.35</v>
      </c>
      <c r="F119" s="68"/>
      <c r="G119" s="68">
        <v>27534.639999999999</v>
      </c>
      <c r="H119" s="68"/>
      <c r="I119" s="68">
        <v>0</v>
      </c>
      <c r="J119" s="68"/>
      <c r="K119" s="68">
        <v>0</v>
      </c>
      <c r="L119" s="68"/>
      <c r="M119" s="44">
        <f t="shared" si="27"/>
        <v>1407987.7100000002</v>
      </c>
      <c r="N119" s="68"/>
      <c r="O119" s="68">
        <v>803752.69</v>
      </c>
      <c r="P119" s="68"/>
      <c r="Q119" s="68">
        <v>694221.62</v>
      </c>
      <c r="R119" s="68"/>
      <c r="S119" s="68">
        <v>0</v>
      </c>
      <c r="T119" s="68"/>
      <c r="U119" s="68">
        <v>22742.85</v>
      </c>
      <c r="V119" s="68"/>
      <c r="W119" s="68">
        <v>40296.26</v>
      </c>
      <c r="X119" s="68"/>
      <c r="Y119" s="68">
        <v>0</v>
      </c>
      <c r="Z119" s="68"/>
      <c r="AA119" s="68">
        <v>0</v>
      </c>
      <c r="AB119" s="68"/>
      <c r="AC119" s="68">
        <v>0</v>
      </c>
      <c r="AE119" s="23">
        <f t="shared" si="28"/>
        <v>1561013.4200000002</v>
      </c>
      <c r="AG119" s="23">
        <f t="shared" si="29"/>
        <v>-153025.70999999996</v>
      </c>
      <c r="AI119" s="15">
        <v>2516844</v>
      </c>
      <c r="AK119" s="23">
        <f t="shared" si="30"/>
        <v>2669869.71</v>
      </c>
    </row>
    <row r="120" spans="1:37" s="4" customFormat="1" ht="12">
      <c r="A120" s="12" t="s">
        <v>276</v>
      </c>
      <c r="B120" s="12"/>
      <c r="C120" s="12" t="s">
        <v>15</v>
      </c>
      <c r="D120" s="15"/>
      <c r="E120" s="44">
        <v>4659875</v>
      </c>
      <c r="F120" s="44">
        <v>0</v>
      </c>
      <c r="G120" s="44">
        <v>108468</v>
      </c>
      <c r="H120" s="44">
        <v>0</v>
      </c>
      <c r="I120" s="44">
        <v>5850</v>
      </c>
      <c r="J120" s="44">
        <v>0</v>
      </c>
      <c r="K120" s="44">
        <v>0</v>
      </c>
      <c r="L120" s="44"/>
      <c r="M120" s="44">
        <f t="shared" si="27"/>
        <v>4545557</v>
      </c>
      <c r="N120" s="44"/>
      <c r="O120" s="44">
        <v>3246098</v>
      </c>
      <c r="P120" s="44">
        <v>0</v>
      </c>
      <c r="Q120" s="44">
        <f>1701557+637590</f>
        <v>2339147</v>
      </c>
      <c r="R120" s="44">
        <v>0</v>
      </c>
      <c r="S120" s="44">
        <v>2397</v>
      </c>
      <c r="T120" s="44">
        <v>0</v>
      </c>
      <c r="U120" s="44">
        <v>12720</v>
      </c>
      <c r="V120" s="44">
        <v>0</v>
      </c>
      <c r="W120" s="44">
        <v>118343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23"/>
      <c r="AE120" s="23">
        <f t="shared" si="28"/>
        <v>5718705</v>
      </c>
      <c r="AF120" s="23"/>
      <c r="AG120" s="23">
        <f t="shared" si="29"/>
        <v>-1173148</v>
      </c>
      <c r="AH120" s="23"/>
      <c r="AI120" s="15">
        <v>2032490</v>
      </c>
      <c r="AJ120" s="23"/>
      <c r="AK120" s="23">
        <f t="shared" si="30"/>
        <v>3205638</v>
      </c>
    </row>
    <row r="121" spans="1:37" s="4" customFormat="1" ht="12" hidden="1">
      <c r="A121" s="4" t="s">
        <v>398</v>
      </c>
      <c r="C121" s="4" t="s">
        <v>69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/>
      <c r="M121" s="44">
        <f t="shared" si="27"/>
        <v>0</v>
      </c>
      <c r="N121" s="44"/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E121" s="23">
        <f t="shared" si="28"/>
        <v>0</v>
      </c>
      <c r="AG121" s="23">
        <f t="shared" si="29"/>
        <v>0</v>
      </c>
      <c r="AI121" s="15">
        <v>0</v>
      </c>
      <c r="AK121" s="23">
        <f t="shared" si="30"/>
        <v>0</v>
      </c>
    </row>
    <row r="122" spans="1:37" s="4" customFormat="1" ht="12">
      <c r="A122" s="12" t="s">
        <v>632</v>
      </c>
      <c r="B122" s="12"/>
      <c r="C122" s="12" t="s">
        <v>92</v>
      </c>
      <c r="D122" s="15"/>
      <c r="E122" s="44">
        <v>8717226</v>
      </c>
      <c r="F122" s="44">
        <v>0</v>
      </c>
      <c r="G122" s="44">
        <v>1011213</v>
      </c>
      <c r="H122" s="44">
        <v>0</v>
      </c>
      <c r="I122" s="44">
        <v>26965</v>
      </c>
      <c r="J122" s="44">
        <v>0</v>
      </c>
      <c r="K122" s="44">
        <v>0</v>
      </c>
      <c r="L122" s="44"/>
      <c r="M122" s="44">
        <f t="shared" si="27"/>
        <v>7679048</v>
      </c>
      <c r="N122" s="44"/>
      <c r="O122" s="44">
        <v>6149886</v>
      </c>
      <c r="P122" s="44">
        <v>0</v>
      </c>
      <c r="Q122" s="44">
        <v>4276501</v>
      </c>
      <c r="R122" s="44">
        <v>0</v>
      </c>
      <c r="S122" s="44">
        <v>2582</v>
      </c>
      <c r="T122" s="44">
        <v>0</v>
      </c>
      <c r="U122" s="44">
        <v>15674</v>
      </c>
      <c r="V122" s="44">
        <v>0</v>
      </c>
      <c r="W122" s="44">
        <v>77609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23"/>
      <c r="AE122" s="23">
        <f t="shared" si="28"/>
        <v>10522252</v>
      </c>
      <c r="AF122" s="23"/>
      <c r="AG122" s="23">
        <f t="shared" si="29"/>
        <v>-2843204</v>
      </c>
      <c r="AH122" s="23"/>
      <c r="AI122" s="15">
        <v>21894313</v>
      </c>
      <c r="AJ122" s="23"/>
      <c r="AK122" s="23">
        <f t="shared" si="30"/>
        <v>24737517</v>
      </c>
    </row>
    <row r="123" spans="1:37" s="4" customFormat="1" ht="12">
      <c r="A123" s="15" t="s">
        <v>280</v>
      </c>
      <c r="B123" s="15"/>
      <c r="C123" s="15" t="s">
        <v>55</v>
      </c>
      <c r="D123" s="15"/>
      <c r="E123" s="68">
        <v>1602523.99</v>
      </c>
      <c r="F123" s="68"/>
      <c r="G123" s="68">
        <v>33100.480000000003</v>
      </c>
      <c r="H123" s="68"/>
      <c r="I123" s="68">
        <v>2500</v>
      </c>
      <c r="J123" s="68"/>
      <c r="K123" s="68">
        <v>215.61</v>
      </c>
      <c r="L123" s="68"/>
      <c r="M123" s="44">
        <f t="shared" si="27"/>
        <v>1566707.9</v>
      </c>
      <c r="N123" s="68"/>
      <c r="O123" s="68">
        <v>391455.76</v>
      </c>
      <c r="P123" s="68"/>
      <c r="Q123" s="68">
        <v>1179080.96</v>
      </c>
      <c r="R123" s="68"/>
      <c r="S123" s="68">
        <v>0</v>
      </c>
      <c r="T123" s="68"/>
      <c r="U123" s="68">
        <v>3368.67</v>
      </c>
      <c r="V123" s="68"/>
      <c r="W123" s="68">
        <v>13065.57</v>
      </c>
      <c r="X123" s="68"/>
      <c r="Y123" s="68">
        <v>0</v>
      </c>
      <c r="Z123" s="68"/>
      <c r="AA123" s="68">
        <v>0</v>
      </c>
      <c r="AB123" s="68"/>
      <c r="AC123" s="68">
        <v>0</v>
      </c>
      <c r="AD123" s="23"/>
      <c r="AE123" s="23">
        <f t="shared" si="28"/>
        <v>1586970.96</v>
      </c>
      <c r="AF123" s="23"/>
      <c r="AG123" s="23">
        <f t="shared" si="29"/>
        <v>-20263.060000000056</v>
      </c>
      <c r="AH123" s="23"/>
      <c r="AI123" s="15">
        <v>1378619</v>
      </c>
      <c r="AJ123" s="23"/>
      <c r="AK123" s="23">
        <f t="shared" si="30"/>
        <v>1398882.06</v>
      </c>
    </row>
    <row r="124" spans="1:37" ht="12" customHeight="1">
      <c r="A124" s="3"/>
      <c r="B124" s="12"/>
      <c r="C124" s="3"/>
      <c r="D124" s="15"/>
      <c r="E124" s="17"/>
      <c r="F124" s="23"/>
      <c r="G124" s="17"/>
      <c r="H124" s="23"/>
      <c r="I124" s="17"/>
      <c r="J124" s="23"/>
      <c r="K124" s="17"/>
      <c r="L124" s="23"/>
      <c r="M124" s="23"/>
      <c r="N124" s="23"/>
      <c r="O124" s="17"/>
      <c r="P124" s="23"/>
      <c r="Q124" s="23"/>
      <c r="R124" s="23"/>
      <c r="S124" s="17"/>
      <c r="T124" s="23"/>
      <c r="U124" s="17"/>
      <c r="V124" s="23"/>
      <c r="W124" s="17"/>
      <c r="X124" s="23"/>
      <c r="Y124" s="17"/>
      <c r="Z124" s="23"/>
      <c r="AA124" s="17"/>
      <c r="AB124" s="23"/>
      <c r="AC124" s="17"/>
      <c r="AD124" s="23"/>
      <c r="AE124" s="23"/>
      <c r="AF124" s="23"/>
      <c r="AG124" s="23"/>
      <c r="AH124" s="23"/>
      <c r="AI124" s="17"/>
      <c r="AJ124" s="23"/>
      <c r="AK124" s="23"/>
    </row>
    <row r="125" spans="1:37" s="4" customFormat="1" ht="12">
      <c r="A125" s="15" t="s">
        <v>634</v>
      </c>
      <c r="B125" s="12"/>
      <c r="C125" s="15"/>
      <c r="D125" s="15"/>
      <c r="E125" s="17"/>
      <c r="F125" s="23"/>
      <c r="G125" s="17"/>
      <c r="H125" s="23"/>
      <c r="I125" s="17"/>
      <c r="J125" s="23"/>
      <c r="K125" s="17"/>
      <c r="L125" s="23"/>
      <c r="M125" s="23"/>
      <c r="N125" s="23"/>
      <c r="O125" s="17"/>
      <c r="P125" s="23"/>
      <c r="Q125" s="23"/>
      <c r="R125" s="23"/>
      <c r="S125" s="17"/>
      <c r="T125" s="23"/>
      <c r="U125" s="17"/>
      <c r="V125" s="23"/>
      <c r="W125" s="17"/>
      <c r="X125" s="23"/>
      <c r="Y125" s="17"/>
      <c r="Z125" s="23"/>
      <c r="AA125" s="17"/>
      <c r="AB125" s="23"/>
      <c r="AC125" s="17"/>
      <c r="AD125" s="23"/>
      <c r="AE125" s="23"/>
      <c r="AF125" s="23"/>
      <c r="AG125" s="23"/>
      <c r="AH125" s="23"/>
      <c r="AI125" s="17"/>
      <c r="AJ125" s="23"/>
      <c r="AK125" s="23"/>
    </row>
    <row r="126" spans="1:37" s="4" customFormat="1" ht="12">
      <c r="A126" s="3"/>
      <c r="B126" s="12"/>
      <c r="C126" s="3"/>
      <c r="D126" s="15"/>
      <c r="E126" s="17"/>
      <c r="F126" s="23"/>
      <c r="G126" s="17"/>
      <c r="H126" s="23"/>
      <c r="I126" s="17"/>
      <c r="J126" s="23"/>
      <c r="K126" s="17"/>
      <c r="L126" s="23"/>
      <c r="M126" s="23"/>
      <c r="N126" s="23"/>
      <c r="O126" s="17"/>
      <c r="P126" s="23"/>
      <c r="Q126" s="23"/>
      <c r="R126" s="23"/>
      <c r="S126" s="17"/>
      <c r="T126" s="23"/>
      <c r="U126" s="17"/>
      <c r="V126" s="23"/>
      <c r="W126" s="17"/>
      <c r="X126" s="23"/>
      <c r="Y126" s="17"/>
      <c r="Z126" s="23"/>
      <c r="AA126" s="17"/>
      <c r="AB126" s="23"/>
      <c r="AC126" s="17"/>
      <c r="AD126" s="23"/>
      <c r="AE126" s="23"/>
      <c r="AF126" s="23"/>
      <c r="AG126" s="23"/>
      <c r="AH126" s="23"/>
      <c r="AI126" s="17"/>
      <c r="AJ126" s="23"/>
      <c r="AK126" s="23"/>
    </row>
    <row r="127" spans="1:37" s="4" customFormat="1" ht="12">
      <c r="M127" s="23">
        <f t="shared" ref="M127" si="31">+E127-G127-I127-K227:K227</f>
        <v>0</v>
      </c>
      <c r="AE127" s="23">
        <f t="shared" ref="AE127" si="32">SUM(O127:AC127)</f>
        <v>0</v>
      </c>
      <c r="AG127" s="23">
        <f t="shared" ref="AG127" si="33">+M127-AE127</f>
        <v>0</v>
      </c>
      <c r="AK127" s="23">
        <f t="shared" ref="AK127" si="34">+AI127-AG127</f>
        <v>0</v>
      </c>
    </row>
    <row r="128" spans="1:37" s="63" customFormat="1"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23"/>
      <c r="AF128" s="64"/>
      <c r="AG128" s="64"/>
      <c r="AH128" s="64"/>
      <c r="AI128" s="64"/>
      <c r="AJ128" s="64"/>
      <c r="AK128" s="64"/>
    </row>
  </sheetData>
  <sortState ref="A14:AK103">
    <sortCondition ref="A14:A103"/>
  </sortState>
  <mergeCells count="6">
    <mergeCell ref="A96:E96"/>
    <mergeCell ref="G102:K102"/>
    <mergeCell ref="O102:W102"/>
    <mergeCell ref="A1:E1"/>
    <mergeCell ref="G7:K7"/>
    <mergeCell ref="O7:W7"/>
  </mergeCells>
  <phoneticPr fontId="2" type="noConversion"/>
  <printOptions horizontalCentered="1"/>
  <pageMargins left="0.75" right="0.75" top="0.5" bottom="0.5" header="0" footer="0.3"/>
  <pageSetup scale="74" firstPageNumber="4" fitToWidth="0" fitToHeight="0" pageOrder="overThenDown" orientation="portrait" useFirstPageNumber="1" r:id="rId1"/>
  <headerFooter scaleWithDoc="0" alignWithMargins="0">
    <oddFooter>&amp;C&amp;"Times New Roman,Regular"&amp;11&amp;P</oddFooter>
  </headerFooter>
  <rowBreaks count="1" manualBreakCount="1">
    <brk id="95" max="36" man="1"/>
  </rowBreaks>
  <colBreaks count="1" manualBreakCount="1">
    <brk id="16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15"/>
  <sheetViews>
    <sheetView topLeftCell="B1" zoomScale="130" zoomScaleNormal="130" zoomScaleSheetLayoutView="100" workbookViewId="0">
      <pane xSplit="4" ySplit="18" topLeftCell="F19" activePane="bottomRight" state="frozen"/>
      <selection activeCell="B1" sqref="B1"/>
      <selection pane="topRight" activeCell="F1" sqref="F1"/>
      <selection pane="bottomLeft" activeCell="B19" sqref="B19"/>
      <selection pane="bottomRight" activeCell="B4" sqref="B4"/>
    </sheetView>
  </sheetViews>
  <sheetFormatPr defaultColWidth="9.140625" defaultRowHeight="12"/>
  <cols>
    <col min="1" max="1" width="11.85546875" style="3" hidden="1" customWidth="1"/>
    <col min="2" max="2" width="35.28515625" style="3" customWidth="1"/>
    <col min="3" max="3" width="1.28515625" style="3" customWidth="1"/>
    <col min="4" max="4" width="10.28515625" style="3" customWidth="1"/>
    <col min="5" max="5" width="1.28515625" style="3" customWidth="1"/>
    <col min="6" max="6" width="12.7109375" style="3" customWidth="1"/>
    <col min="7" max="7" width="1.28515625" style="3" customWidth="1"/>
    <col min="8" max="8" width="12.7109375" style="3" customWidth="1"/>
    <col min="9" max="9" width="1.28515625" style="3" customWidth="1"/>
    <col min="10" max="10" width="11.42578125" style="3" customWidth="1"/>
    <col min="11" max="11" width="1.28515625" style="3" customWidth="1"/>
    <col min="12" max="12" width="11.7109375" style="3" customWidth="1"/>
    <col min="13" max="13" width="1.28515625" style="3" customWidth="1"/>
    <col min="14" max="14" width="10.140625" style="3" customWidth="1"/>
    <col min="15" max="15" width="1.28515625" style="3" customWidth="1"/>
    <col min="16" max="16" width="10" style="3" customWidth="1"/>
    <col min="17" max="17" width="1.28515625" style="3" customWidth="1"/>
    <col min="18" max="18" width="11.1406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140625" style="3" customWidth="1"/>
    <col min="23" max="23" width="1.28515625" style="3" customWidth="1"/>
    <col min="24" max="24" width="9.85546875" style="3" customWidth="1"/>
    <col min="25" max="25" width="1.28515625" style="3" customWidth="1"/>
    <col min="26" max="26" width="9.85546875" style="3" customWidth="1"/>
    <col min="27" max="27" width="1.28515625" style="3" customWidth="1"/>
    <col min="28" max="28" width="10" style="3" customWidth="1"/>
    <col min="29" max="29" width="1.28515625" style="3" customWidth="1"/>
    <col min="30" max="30" width="9.85546875" style="3" customWidth="1"/>
    <col min="31" max="31" width="1.28515625" style="3" customWidth="1"/>
    <col min="32" max="32" width="9.85546875" style="3" customWidth="1"/>
    <col min="33" max="33" width="1.28515625" style="3" customWidth="1"/>
    <col min="34" max="34" width="10.5703125" style="3" customWidth="1"/>
    <col min="35" max="16384" width="9.140625" style="3"/>
  </cols>
  <sheetData>
    <row r="1" spans="1:65">
      <c r="B1" s="3" t="s">
        <v>523</v>
      </c>
    </row>
    <row r="2" spans="1:65">
      <c r="B2" s="3" t="s">
        <v>635</v>
      </c>
    </row>
    <row r="3" spans="1:65" hidden="1">
      <c r="B3" s="41" t="s">
        <v>7</v>
      </c>
    </row>
    <row r="4" spans="1:65" s="36" customFormat="1">
      <c r="H4" s="36" t="s">
        <v>282</v>
      </c>
    </row>
    <row r="5" spans="1:65" s="36" customFormat="1">
      <c r="F5" s="36" t="s">
        <v>31</v>
      </c>
      <c r="H5" s="36" t="s">
        <v>283</v>
      </c>
      <c r="P5" s="36" t="s">
        <v>29</v>
      </c>
      <c r="R5" s="36" t="s">
        <v>289</v>
      </c>
      <c r="X5" s="36" t="s">
        <v>294</v>
      </c>
      <c r="AD5" s="36" t="s">
        <v>0</v>
      </c>
    </row>
    <row r="6" spans="1:65" s="36" customFormat="1" ht="12" customHeight="1">
      <c r="F6" s="36" t="s">
        <v>0</v>
      </c>
      <c r="H6" s="36" t="s">
        <v>284</v>
      </c>
      <c r="J6" s="36" t="s">
        <v>348</v>
      </c>
      <c r="L6" s="36" t="s">
        <v>286</v>
      </c>
      <c r="P6" s="36" t="s">
        <v>288</v>
      </c>
      <c r="R6" s="36" t="s">
        <v>290</v>
      </c>
      <c r="T6" s="36" t="s">
        <v>292</v>
      </c>
      <c r="X6" s="36" t="s">
        <v>295</v>
      </c>
      <c r="AD6" s="36" t="s">
        <v>296</v>
      </c>
      <c r="AF6" s="36" t="s">
        <v>562</v>
      </c>
    </row>
    <row r="7" spans="1:65" s="36" customFormat="1" ht="12" customHeight="1">
      <c r="A7" s="36" t="s">
        <v>578</v>
      </c>
      <c r="B7" s="37" t="s">
        <v>5</v>
      </c>
      <c r="D7" s="37" t="s">
        <v>6</v>
      </c>
      <c r="F7" s="37" t="s">
        <v>281</v>
      </c>
      <c r="H7" s="37" t="s">
        <v>285</v>
      </c>
      <c r="J7" s="37" t="s">
        <v>349</v>
      </c>
      <c r="L7" s="37" t="s">
        <v>287</v>
      </c>
      <c r="N7" s="37" t="s">
        <v>558</v>
      </c>
      <c r="P7" s="37" t="s">
        <v>560</v>
      </c>
      <c r="R7" s="37" t="s">
        <v>291</v>
      </c>
      <c r="T7" s="37" t="s">
        <v>293</v>
      </c>
      <c r="V7" s="37" t="s">
        <v>1</v>
      </c>
      <c r="X7" s="37" t="s">
        <v>32</v>
      </c>
      <c r="Z7" s="37" t="s">
        <v>509</v>
      </c>
      <c r="AB7" s="37" t="s">
        <v>510</v>
      </c>
      <c r="AD7" s="37" t="s">
        <v>297</v>
      </c>
      <c r="AF7" s="37" t="s">
        <v>424</v>
      </c>
      <c r="AH7" s="46" t="s">
        <v>28</v>
      </c>
    </row>
    <row r="8" spans="1:65" s="4" customFormat="1" hidden="1">
      <c r="A8" s="4">
        <v>2</v>
      </c>
      <c r="B8" s="4" t="s">
        <v>435</v>
      </c>
      <c r="D8" s="4" t="s">
        <v>97</v>
      </c>
      <c r="F8" s="35"/>
      <c r="H8" s="35"/>
      <c r="J8" s="35"/>
      <c r="L8" s="35"/>
      <c r="N8" s="35"/>
      <c r="P8" s="35"/>
      <c r="R8" s="35"/>
      <c r="T8" s="35"/>
      <c r="V8" s="35"/>
      <c r="X8" s="35"/>
      <c r="Z8" s="35"/>
      <c r="AB8" s="35"/>
      <c r="AD8" s="35"/>
      <c r="AF8" s="35"/>
      <c r="AH8" s="4">
        <f t="shared" ref="AH8:AH18" si="0">SUM(F8:AD8)</f>
        <v>0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s="4" customFormat="1" hidden="1">
      <c r="A9" s="4">
        <v>75</v>
      </c>
      <c r="B9" s="4" t="s">
        <v>436</v>
      </c>
      <c r="D9" s="4" t="s">
        <v>92</v>
      </c>
      <c r="AH9" s="4">
        <f t="shared" si="0"/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s="4" customFormat="1" hidden="1">
      <c r="A10" s="4">
        <v>80</v>
      </c>
      <c r="B10" s="4" t="s">
        <v>267</v>
      </c>
      <c r="D10" s="4" t="s">
        <v>92</v>
      </c>
      <c r="AH10" s="4">
        <f t="shared" si="0"/>
        <v>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s="7" customFormat="1" hidden="1">
      <c r="A11" s="4">
        <v>117</v>
      </c>
      <c r="B11" s="4" t="s">
        <v>311</v>
      </c>
      <c r="C11" s="4"/>
      <c r="D11" s="4" t="s">
        <v>170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 t="shared" si="0"/>
        <v>0</v>
      </c>
    </row>
    <row r="12" spans="1:65" s="4" customFormat="1" hidden="1">
      <c r="A12" s="4">
        <v>135</v>
      </c>
      <c r="B12" s="4" t="s">
        <v>442</v>
      </c>
      <c r="D12" s="4" t="s">
        <v>41</v>
      </c>
      <c r="AH12" s="4">
        <f t="shared" si="0"/>
        <v>0</v>
      </c>
    </row>
    <row r="13" spans="1:65" s="4" customFormat="1" hidden="1">
      <c r="A13" s="4">
        <v>152</v>
      </c>
      <c r="B13" s="4" t="s">
        <v>214</v>
      </c>
      <c r="D13" s="4" t="s">
        <v>215</v>
      </c>
      <c r="AH13" s="4">
        <f t="shared" si="0"/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s="28" customFormat="1" hidden="1">
      <c r="A14" s="4">
        <v>180</v>
      </c>
      <c r="B14" s="4" t="s">
        <v>253</v>
      </c>
      <c r="C14" s="4"/>
      <c r="D14" s="4" t="s">
        <v>106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s="4" customFormat="1" hidden="1">
      <c r="A15" s="4">
        <v>185</v>
      </c>
      <c r="B15" s="4" t="s">
        <v>230</v>
      </c>
      <c r="D15" s="4" t="s">
        <v>229</v>
      </c>
      <c r="AH15" s="4">
        <f t="shared" si="0"/>
        <v>0</v>
      </c>
    </row>
    <row r="16" spans="1:65" s="28" customFormat="1" hidden="1">
      <c r="A16" s="4">
        <v>189</v>
      </c>
      <c r="B16" s="4" t="s">
        <v>450</v>
      </c>
      <c r="C16" s="4"/>
      <c r="D16" s="4" t="s">
        <v>236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 t="shared" si="0"/>
        <v>0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s="4" customFormat="1" hidden="1">
      <c r="A17" s="4">
        <v>233</v>
      </c>
      <c r="B17" s="4" t="s">
        <v>35</v>
      </c>
      <c r="D17" s="4" t="s">
        <v>26</v>
      </c>
      <c r="AH17" s="4">
        <f t="shared" si="0"/>
        <v>0</v>
      </c>
    </row>
    <row r="18" spans="1:65" s="4" customFormat="1" hidden="1">
      <c r="A18" s="4">
        <v>234</v>
      </c>
      <c r="B18" s="4" t="s">
        <v>201</v>
      </c>
      <c r="D18" s="4" t="s">
        <v>26</v>
      </c>
      <c r="AH18" s="4">
        <f t="shared" si="0"/>
        <v>0</v>
      </c>
    </row>
    <row r="19" spans="1:65" s="4" customFormat="1">
      <c r="A19" s="4">
        <v>251</v>
      </c>
      <c r="B19" s="38" t="s">
        <v>73</v>
      </c>
      <c r="C19" s="38"/>
      <c r="D19" s="38" t="s">
        <v>577</v>
      </c>
      <c r="E19" s="38"/>
      <c r="F19" s="71">
        <v>0</v>
      </c>
      <c r="G19" s="71"/>
      <c r="H19" s="71">
        <v>222329.08</v>
      </c>
      <c r="I19" s="71"/>
      <c r="J19" s="71">
        <v>0</v>
      </c>
      <c r="K19" s="71"/>
      <c r="L19" s="71">
        <v>7246.26</v>
      </c>
      <c r="M19" s="71"/>
      <c r="N19" s="71">
        <v>0</v>
      </c>
      <c r="O19" s="71"/>
      <c r="P19" s="71">
        <v>0</v>
      </c>
      <c r="Q19" s="71"/>
      <c r="R19" s="71">
        <v>4371.2299999999996</v>
      </c>
      <c r="S19" s="71"/>
      <c r="T19" s="71">
        <v>457.22</v>
      </c>
      <c r="U19" s="71"/>
      <c r="V19" s="71">
        <v>0</v>
      </c>
      <c r="W19" s="71"/>
      <c r="X19" s="71">
        <v>0</v>
      </c>
      <c r="Y19" s="71"/>
      <c r="Z19" s="71">
        <v>12.32</v>
      </c>
      <c r="AA19" s="71"/>
      <c r="AB19" s="71">
        <v>0</v>
      </c>
      <c r="AC19" s="71"/>
      <c r="AD19" s="71">
        <v>0</v>
      </c>
      <c r="AE19" s="71"/>
      <c r="AF19" s="71">
        <v>0</v>
      </c>
      <c r="AG19" s="38"/>
      <c r="AH19" s="7">
        <f>SUM(F19:AF19)</f>
        <v>234416.11000000002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s="4" customFormat="1">
      <c r="A20" s="4">
        <v>195</v>
      </c>
      <c r="B20" s="35" t="s">
        <v>74</v>
      </c>
      <c r="C20" s="35"/>
      <c r="D20" s="35" t="s">
        <v>40</v>
      </c>
      <c r="E20" s="35"/>
      <c r="F20" s="70">
        <v>0</v>
      </c>
      <c r="G20" s="70"/>
      <c r="H20" s="70">
        <v>757844.11</v>
      </c>
      <c r="I20" s="70"/>
      <c r="J20" s="70">
        <v>0</v>
      </c>
      <c r="K20" s="70"/>
      <c r="L20" s="70">
        <v>26422.44</v>
      </c>
      <c r="M20" s="70"/>
      <c r="N20" s="70">
        <v>0</v>
      </c>
      <c r="O20" s="70"/>
      <c r="P20" s="70">
        <v>0</v>
      </c>
      <c r="Q20" s="70"/>
      <c r="R20" s="70">
        <v>1360.3</v>
      </c>
      <c r="S20" s="70"/>
      <c r="T20" s="70">
        <v>21088.1</v>
      </c>
      <c r="U20" s="70"/>
      <c r="V20" s="70">
        <v>825.44</v>
      </c>
      <c r="W20" s="70"/>
      <c r="X20" s="70">
        <v>0</v>
      </c>
      <c r="Y20" s="70"/>
      <c r="Z20" s="70">
        <v>0</v>
      </c>
      <c r="AA20" s="70"/>
      <c r="AB20" s="70">
        <v>0</v>
      </c>
      <c r="AC20" s="70"/>
      <c r="AD20" s="70">
        <v>0</v>
      </c>
      <c r="AE20" s="70"/>
      <c r="AF20" s="70">
        <v>0</v>
      </c>
      <c r="AG20" s="35"/>
      <c r="AH20" s="4">
        <f t="shared" ref="AH20:AH83" si="1">SUM(F20:AF20)</f>
        <v>807540.3899999999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s="4" customFormat="1">
      <c r="A21" s="4">
        <v>118</v>
      </c>
      <c r="B21" s="42" t="s">
        <v>434</v>
      </c>
      <c r="C21" s="42"/>
      <c r="D21" s="42" t="s">
        <v>22</v>
      </c>
      <c r="E21" s="42"/>
      <c r="F21" s="70">
        <v>9726114</v>
      </c>
      <c r="G21" s="70">
        <v>0</v>
      </c>
      <c r="H21" s="70">
        <v>11030328</v>
      </c>
      <c r="I21" s="70">
        <v>0</v>
      </c>
      <c r="J21" s="70">
        <v>2315926</v>
      </c>
      <c r="K21" s="70">
        <v>0</v>
      </c>
      <c r="L21" s="70">
        <v>616418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5088</v>
      </c>
      <c r="S21" s="70">
        <v>0</v>
      </c>
      <c r="T21" s="70">
        <v>5874</v>
      </c>
      <c r="U21" s="70">
        <v>0</v>
      </c>
      <c r="V21" s="70">
        <v>259520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15"/>
      <c r="AH21" s="4">
        <f t="shared" si="1"/>
        <v>23959268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s="4" customFormat="1">
      <c r="A22" s="4">
        <v>98</v>
      </c>
      <c r="B22" s="4" t="s">
        <v>71</v>
      </c>
      <c r="D22" s="35" t="s">
        <v>41</v>
      </c>
      <c r="F22" s="70">
        <v>0</v>
      </c>
      <c r="G22" s="70"/>
      <c r="H22" s="70">
        <v>238420.76</v>
      </c>
      <c r="I22" s="70"/>
      <c r="J22" s="70">
        <v>199</v>
      </c>
      <c r="K22" s="70"/>
      <c r="L22" s="70">
        <v>6208.96</v>
      </c>
      <c r="M22" s="70"/>
      <c r="N22" s="70">
        <v>0</v>
      </c>
      <c r="O22" s="70"/>
      <c r="P22" s="70">
        <v>0</v>
      </c>
      <c r="Q22" s="70"/>
      <c r="R22" s="70">
        <v>419.98</v>
      </c>
      <c r="S22" s="70"/>
      <c r="T22" s="70">
        <v>538.54999999999995</v>
      </c>
      <c r="U22" s="70"/>
      <c r="V22" s="70">
        <v>919.16</v>
      </c>
      <c r="W22" s="70"/>
      <c r="X22" s="70">
        <v>311.48</v>
      </c>
      <c r="Y22" s="70"/>
      <c r="Z22" s="70">
        <v>0</v>
      </c>
      <c r="AA22" s="70"/>
      <c r="AB22" s="70">
        <v>0</v>
      </c>
      <c r="AC22" s="70"/>
      <c r="AD22" s="70">
        <v>0</v>
      </c>
      <c r="AE22" s="70"/>
      <c r="AF22" s="70">
        <v>0</v>
      </c>
      <c r="AH22" s="4">
        <f t="shared" si="1"/>
        <v>247017.89</v>
      </c>
    </row>
    <row r="23" spans="1:65" s="4" customFormat="1">
      <c r="A23" s="4">
        <v>138</v>
      </c>
      <c r="B23" s="35" t="s">
        <v>75</v>
      </c>
      <c r="C23" s="35"/>
      <c r="D23" s="35" t="s">
        <v>61</v>
      </c>
      <c r="E23" s="35"/>
      <c r="F23" s="70">
        <v>0</v>
      </c>
      <c r="G23" s="70"/>
      <c r="H23" s="70">
        <v>53256.36</v>
      </c>
      <c r="I23" s="70"/>
      <c r="J23" s="70">
        <v>7650</v>
      </c>
      <c r="K23" s="70"/>
      <c r="L23" s="70">
        <v>1711.91</v>
      </c>
      <c r="M23" s="70"/>
      <c r="N23" s="70">
        <v>0</v>
      </c>
      <c r="O23" s="70"/>
      <c r="P23" s="70">
        <v>0</v>
      </c>
      <c r="Q23" s="70"/>
      <c r="R23" s="70">
        <v>829</v>
      </c>
      <c r="S23" s="70"/>
      <c r="T23" s="70">
        <v>76.36</v>
      </c>
      <c r="U23" s="70"/>
      <c r="V23" s="70">
        <v>74.42</v>
      </c>
      <c r="W23" s="70"/>
      <c r="X23" s="70">
        <v>0</v>
      </c>
      <c r="Y23" s="70"/>
      <c r="Z23" s="70">
        <v>0</v>
      </c>
      <c r="AA23" s="70"/>
      <c r="AB23" s="70">
        <v>0</v>
      </c>
      <c r="AC23" s="70"/>
      <c r="AD23" s="70">
        <v>0</v>
      </c>
      <c r="AE23" s="70"/>
      <c r="AF23" s="70">
        <v>0</v>
      </c>
      <c r="AG23" s="35"/>
      <c r="AH23" s="4">
        <f t="shared" si="1"/>
        <v>63598.05</v>
      </c>
    </row>
    <row r="24" spans="1:65">
      <c r="A24" s="4">
        <v>137</v>
      </c>
      <c r="B24" s="35" t="s">
        <v>451</v>
      </c>
      <c r="C24" s="35"/>
      <c r="D24" s="35" t="s">
        <v>57</v>
      </c>
      <c r="E24" s="35"/>
      <c r="F24" s="70">
        <v>283576.65999999997</v>
      </c>
      <c r="G24" s="70"/>
      <c r="H24" s="70">
        <v>722307.15</v>
      </c>
      <c r="I24" s="70"/>
      <c r="J24" s="70">
        <v>64928.47</v>
      </c>
      <c r="K24" s="70"/>
      <c r="L24" s="70">
        <v>32978.32</v>
      </c>
      <c r="M24" s="70"/>
      <c r="N24" s="70">
        <v>0</v>
      </c>
      <c r="O24" s="70"/>
      <c r="P24" s="70">
        <v>0</v>
      </c>
      <c r="Q24" s="70"/>
      <c r="R24" s="70">
        <v>1330</v>
      </c>
      <c r="S24" s="70"/>
      <c r="T24" s="70">
        <v>1087.98</v>
      </c>
      <c r="U24" s="70"/>
      <c r="V24" s="70">
        <v>2100.6</v>
      </c>
      <c r="W24" s="70"/>
      <c r="X24" s="70">
        <v>0</v>
      </c>
      <c r="Y24" s="70"/>
      <c r="Z24" s="70">
        <v>0</v>
      </c>
      <c r="AA24" s="70"/>
      <c r="AB24" s="70">
        <v>0</v>
      </c>
      <c r="AC24" s="70"/>
      <c r="AD24" s="70">
        <v>0</v>
      </c>
      <c r="AE24" s="70"/>
      <c r="AF24" s="70">
        <v>0</v>
      </c>
      <c r="AG24" s="35"/>
      <c r="AH24" s="4">
        <f t="shared" si="1"/>
        <v>1108309.1800000002</v>
      </c>
    </row>
    <row r="25" spans="1:65" s="4" customFormat="1">
      <c r="A25" s="4">
        <v>96</v>
      </c>
      <c r="B25" s="4" t="s">
        <v>77</v>
      </c>
      <c r="D25" s="4" t="s">
        <v>78</v>
      </c>
      <c r="F25" s="70">
        <v>0</v>
      </c>
      <c r="G25" s="70">
        <v>0</v>
      </c>
      <c r="H25" s="70">
        <v>1353339</v>
      </c>
      <c r="I25" s="70">
        <v>0</v>
      </c>
      <c r="J25" s="70">
        <v>0</v>
      </c>
      <c r="K25" s="70">
        <v>0</v>
      </c>
      <c r="L25" s="70">
        <v>30006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10578</v>
      </c>
      <c r="S25" s="70">
        <v>0</v>
      </c>
      <c r="T25" s="70">
        <v>8858</v>
      </c>
      <c r="U25" s="70">
        <v>0</v>
      </c>
      <c r="V25" s="70">
        <v>19569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H25" s="4">
        <f t="shared" si="1"/>
        <v>1422350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s="4" customFormat="1">
      <c r="A26" s="4">
        <v>97</v>
      </c>
      <c r="B26" s="4" t="s">
        <v>79</v>
      </c>
      <c r="D26" s="4" t="s">
        <v>43</v>
      </c>
      <c r="F26" s="70">
        <v>0</v>
      </c>
      <c r="G26" s="70"/>
      <c r="H26" s="70">
        <v>207466.14</v>
      </c>
      <c r="I26" s="70"/>
      <c r="J26" s="70">
        <v>0</v>
      </c>
      <c r="K26" s="70"/>
      <c r="L26" s="70">
        <v>9834.9599999999991</v>
      </c>
      <c r="M26" s="70"/>
      <c r="N26" s="70">
        <v>0</v>
      </c>
      <c r="O26" s="70"/>
      <c r="P26" s="70">
        <v>10109.06</v>
      </c>
      <c r="Q26" s="70"/>
      <c r="R26" s="70">
        <v>27204.58</v>
      </c>
      <c r="S26" s="70"/>
      <c r="T26" s="70">
        <v>144.63999999999999</v>
      </c>
      <c r="U26" s="70"/>
      <c r="V26" s="70">
        <v>48</v>
      </c>
      <c r="W26" s="70"/>
      <c r="X26" s="70">
        <v>0</v>
      </c>
      <c r="Y26" s="70"/>
      <c r="Z26" s="70">
        <v>0</v>
      </c>
      <c r="AA26" s="70"/>
      <c r="AB26" s="70">
        <v>0</v>
      </c>
      <c r="AC26" s="70"/>
      <c r="AD26" s="70">
        <v>0</v>
      </c>
      <c r="AE26" s="70"/>
      <c r="AF26" s="70">
        <v>0</v>
      </c>
      <c r="AH26" s="4">
        <f t="shared" si="1"/>
        <v>254807.38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s="4" customFormat="1">
      <c r="A27" s="4">
        <v>159</v>
      </c>
      <c r="B27" s="35" t="s">
        <v>80</v>
      </c>
      <c r="C27" s="35"/>
      <c r="D27" s="35" t="s">
        <v>81</v>
      </c>
      <c r="E27" s="35"/>
      <c r="F27" s="70">
        <v>0</v>
      </c>
      <c r="G27" s="70"/>
      <c r="H27" s="70">
        <v>231304.07</v>
      </c>
      <c r="I27" s="70"/>
      <c r="J27" s="70">
        <v>0</v>
      </c>
      <c r="K27" s="70"/>
      <c r="L27" s="70">
        <v>8402.5499999999993</v>
      </c>
      <c r="M27" s="70"/>
      <c r="N27" s="70">
        <v>0</v>
      </c>
      <c r="O27" s="70"/>
      <c r="P27" s="70">
        <v>0</v>
      </c>
      <c r="Q27" s="70"/>
      <c r="R27" s="70">
        <v>8234.5</v>
      </c>
      <c r="S27" s="70"/>
      <c r="T27" s="70">
        <v>1736.28</v>
      </c>
      <c r="U27" s="70"/>
      <c r="V27" s="70">
        <v>174.4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70">
        <v>0</v>
      </c>
      <c r="AG27" s="35"/>
      <c r="AH27" s="4">
        <f t="shared" si="1"/>
        <v>249851.8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4" customFormat="1">
      <c r="A28" s="4">
        <v>186</v>
      </c>
      <c r="B28" s="4" t="s">
        <v>298</v>
      </c>
      <c r="D28" s="35" t="s">
        <v>42</v>
      </c>
      <c r="F28" s="70">
        <v>133048.26999999999</v>
      </c>
      <c r="G28" s="70"/>
      <c r="H28" s="70">
        <v>212289.54</v>
      </c>
      <c r="I28" s="70"/>
      <c r="J28" s="70">
        <v>42074.39</v>
      </c>
      <c r="K28" s="70"/>
      <c r="L28" s="70">
        <v>10876.72</v>
      </c>
      <c r="M28" s="70"/>
      <c r="N28" s="70">
        <v>0</v>
      </c>
      <c r="O28" s="70"/>
      <c r="P28" s="70">
        <v>0</v>
      </c>
      <c r="Q28" s="70"/>
      <c r="R28" s="70">
        <v>2393.1</v>
      </c>
      <c r="S28" s="70"/>
      <c r="T28" s="70">
        <v>195.68</v>
      </c>
      <c r="U28" s="70"/>
      <c r="V28" s="70">
        <v>4713.6499999999996</v>
      </c>
      <c r="W28" s="70"/>
      <c r="X28" s="70">
        <v>0</v>
      </c>
      <c r="Y28" s="70"/>
      <c r="Z28" s="70">
        <v>0</v>
      </c>
      <c r="AA28" s="70"/>
      <c r="AB28" s="70">
        <v>0</v>
      </c>
      <c r="AC28" s="70"/>
      <c r="AD28" s="70">
        <v>0</v>
      </c>
      <c r="AE28" s="70"/>
      <c r="AF28" s="70">
        <v>0</v>
      </c>
      <c r="AH28" s="4">
        <f t="shared" si="1"/>
        <v>405591.35</v>
      </c>
    </row>
    <row r="29" spans="1:65" s="4" customFormat="1">
      <c r="A29" s="4">
        <v>111</v>
      </c>
      <c r="B29" s="4" t="s">
        <v>82</v>
      </c>
      <c r="D29" s="4" t="s">
        <v>83</v>
      </c>
      <c r="F29" s="70">
        <v>465571</v>
      </c>
      <c r="G29" s="70">
        <v>0</v>
      </c>
      <c r="H29" s="70">
        <v>0</v>
      </c>
      <c r="I29" s="70">
        <v>0</v>
      </c>
      <c r="J29" s="70">
        <v>953859</v>
      </c>
      <c r="K29" s="70">
        <v>0</v>
      </c>
      <c r="L29" s="70">
        <v>55403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908</v>
      </c>
      <c r="S29" s="70">
        <v>0</v>
      </c>
      <c r="T29" s="70">
        <v>9708</v>
      </c>
      <c r="U29" s="70">
        <v>0</v>
      </c>
      <c r="V29" s="70">
        <v>8892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H29" s="4">
        <f t="shared" si="1"/>
        <v>1494341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s="4" customFormat="1">
      <c r="A30" s="4">
        <v>100</v>
      </c>
      <c r="B30" s="35" t="s">
        <v>335</v>
      </c>
      <c r="C30" s="35"/>
      <c r="D30" s="35" t="s">
        <v>43</v>
      </c>
      <c r="E30" s="35"/>
      <c r="F30" s="70">
        <v>1197186.1299999999</v>
      </c>
      <c r="G30" s="70"/>
      <c r="H30" s="70">
        <v>0</v>
      </c>
      <c r="I30" s="70"/>
      <c r="J30" s="70">
        <v>0</v>
      </c>
      <c r="K30" s="70"/>
      <c r="L30" s="70">
        <v>34102.69</v>
      </c>
      <c r="M30" s="70"/>
      <c r="N30" s="70">
        <v>0</v>
      </c>
      <c r="O30" s="70"/>
      <c r="P30" s="70">
        <v>0</v>
      </c>
      <c r="Q30" s="70"/>
      <c r="R30" s="70">
        <v>10862.27</v>
      </c>
      <c r="S30" s="70"/>
      <c r="T30" s="70">
        <v>81.41</v>
      </c>
      <c r="U30" s="70"/>
      <c r="V30" s="70">
        <v>3717.37</v>
      </c>
      <c r="W30" s="70"/>
      <c r="X30" s="70">
        <v>0</v>
      </c>
      <c r="Y30" s="70"/>
      <c r="Z30" s="70">
        <v>0</v>
      </c>
      <c r="AA30" s="70"/>
      <c r="AB30" s="70">
        <v>0</v>
      </c>
      <c r="AC30" s="70"/>
      <c r="AD30" s="70">
        <v>0</v>
      </c>
      <c r="AE30" s="70"/>
      <c r="AF30" s="70">
        <v>0</v>
      </c>
      <c r="AG30" s="35"/>
      <c r="AH30" s="4">
        <f t="shared" si="1"/>
        <v>1245949.8699999999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s="4" customFormat="1">
      <c r="A31" s="4">
        <v>194</v>
      </c>
      <c r="B31" s="35" t="s">
        <v>593</v>
      </c>
      <c r="C31" s="35"/>
      <c r="D31" s="35" t="s">
        <v>44</v>
      </c>
      <c r="E31" s="35"/>
      <c r="F31" s="70">
        <v>0</v>
      </c>
      <c r="G31" s="70"/>
      <c r="H31" s="70">
        <v>943651.03</v>
      </c>
      <c r="I31" s="70"/>
      <c r="J31" s="70">
        <v>0</v>
      </c>
      <c r="K31" s="70"/>
      <c r="L31" s="70">
        <v>18351.63</v>
      </c>
      <c r="M31" s="70"/>
      <c r="N31" s="70">
        <v>0</v>
      </c>
      <c r="O31" s="70"/>
      <c r="P31" s="70">
        <v>0</v>
      </c>
      <c r="Q31" s="70"/>
      <c r="R31" s="70">
        <v>34796.58</v>
      </c>
      <c r="S31" s="70"/>
      <c r="T31" s="70">
        <v>31308.62</v>
      </c>
      <c r="U31" s="70"/>
      <c r="V31" s="70">
        <v>4747.96</v>
      </c>
      <c r="W31" s="70"/>
      <c r="X31" s="70">
        <v>472.4</v>
      </c>
      <c r="Y31" s="70"/>
      <c r="Z31" s="70">
        <v>0</v>
      </c>
      <c r="AA31" s="70"/>
      <c r="AB31" s="70">
        <v>0</v>
      </c>
      <c r="AC31" s="70"/>
      <c r="AD31" s="70">
        <v>0</v>
      </c>
      <c r="AE31" s="70"/>
      <c r="AF31" s="70">
        <v>0</v>
      </c>
      <c r="AG31" s="35"/>
      <c r="AH31" s="4">
        <f t="shared" si="1"/>
        <v>1033328.22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s="4" customFormat="1">
      <c r="A32" s="4">
        <v>85</v>
      </c>
      <c r="B32" s="4" t="s">
        <v>84</v>
      </c>
      <c r="D32" s="4" t="s">
        <v>57</v>
      </c>
      <c r="F32" s="70">
        <v>1304051</v>
      </c>
      <c r="G32" s="70">
        <v>0</v>
      </c>
      <c r="H32" s="70">
        <v>0</v>
      </c>
      <c r="I32" s="70">
        <v>0</v>
      </c>
      <c r="J32" s="70">
        <v>758539</v>
      </c>
      <c r="K32" s="70">
        <v>0</v>
      </c>
      <c r="L32" s="70">
        <v>54555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938</v>
      </c>
      <c r="S32" s="70">
        <v>0</v>
      </c>
      <c r="T32" s="70">
        <v>96</v>
      </c>
      <c r="U32" s="70">
        <v>0</v>
      </c>
      <c r="V32" s="70">
        <v>20868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H32" s="4">
        <f t="shared" si="1"/>
        <v>2139047</v>
      </c>
    </row>
    <row r="33" spans="1:65" s="4" customFormat="1">
      <c r="A33" s="4">
        <v>65</v>
      </c>
      <c r="B33" s="35" t="s">
        <v>452</v>
      </c>
      <c r="C33" s="35"/>
      <c r="D33" s="35" t="s">
        <v>22</v>
      </c>
      <c r="E33" s="35"/>
      <c r="F33" s="70">
        <v>467944.6</v>
      </c>
      <c r="G33" s="70"/>
      <c r="H33" s="70">
        <v>783749.11</v>
      </c>
      <c r="I33" s="70"/>
      <c r="J33" s="70">
        <v>34872.22</v>
      </c>
      <c r="K33" s="70"/>
      <c r="L33" s="70">
        <v>28611.83</v>
      </c>
      <c r="M33" s="70"/>
      <c r="N33" s="70">
        <v>0</v>
      </c>
      <c r="O33" s="70"/>
      <c r="P33" s="70">
        <v>0</v>
      </c>
      <c r="Q33" s="70"/>
      <c r="R33" s="70">
        <v>2972.22</v>
      </c>
      <c r="S33" s="70"/>
      <c r="T33" s="70">
        <v>21214.89</v>
      </c>
      <c r="U33" s="70"/>
      <c r="V33" s="70">
        <v>3954.52</v>
      </c>
      <c r="W33" s="70"/>
      <c r="X33" s="70">
        <v>0</v>
      </c>
      <c r="Y33" s="70"/>
      <c r="Z33" s="70">
        <v>66067.28</v>
      </c>
      <c r="AA33" s="70"/>
      <c r="AB33" s="70">
        <v>0</v>
      </c>
      <c r="AC33" s="70"/>
      <c r="AD33" s="70">
        <v>0</v>
      </c>
      <c r="AE33" s="70"/>
      <c r="AF33" s="70">
        <v>0</v>
      </c>
      <c r="AG33" s="35"/>
      <c r="AH33" s="4">
        <f t="shared" si="1"/>
        <v>1409386.67</v>
      </c>
    </row>
    <row r="34" spans="1:65" s="4" customFormat="1">
      <c r="A34" s="4">
        <v>204</v>
      </c>
      <c r="B34" s="4" t="s">
        <v>21</v>
      </c>
      <c r="D34" s="4" t="s">
        <v>13</v>
      </c>
      <c r="F34" s="70">
        <v>0</v>
      </c>
      <c r="G34" s="70">
        <v>0</v>
      </c>
      <c r="H34" s="70">
        <v>0</v>
      </c>
      <c r="I34" s="70">
        <v>0</v>
      </c>
      <c r="J34" s="70">
        <v>390260</v>
      </c>
      <c r="K34" s="70">
        <v>0</v>
      </c>
      <c r="L34" s="70">
        <v>20158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12401</v>
      </c>
      <c r="S34" s="70">
        <v>0</v>
      </c>
      <c r="T34" s="70">
        <v>2144</v>
      </c>
      <c r="U34" s="70">
        <v>0</v>
      </c>
      <c r="V34" s="70">
        <v>3255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H34" s="4">
        <f t="shared" si="1"/>
        <v>428218</v>
      </c>
    </row>
    <row r="35" spans="1:65" s="4" customFormat="1">
      <c r="A35" s="4">
        <v>203</v>
      </c>
      <c r="B35" s="35" t="s">
        <v>85</v>
      </c>
      <c r="C35" s="35"/>
      <c r="D35" s="35" t="s">
        <v>13</v>
      </c>
      <c r="E35" s="35"/>
      <c r="F35" s="70">
        <v>0</v>
      </c>
      <c r="G35" s="70"/>
      <c r="H35" s="70">
        <v>390260.24</v>
      </c>
      <c r="I35" s="70"/>
      <c r="J35" s="70">
        <v>0</v>
      </c>
      <c r="K35" s="70"/>
      <c r="L35" s="70">
        <v>9546.11</v>
      </c>
      <c r="M35" s="70"/>
      <c r="N35" s="70">
        <v>0</v>
      </c>
      <c r="O35" s="70"/>
      <c r="P35" s="70">
        <v>0</v>
      </c>
      <c r="Q35" s="70"/>
      <c r="R35" s="70">
        <v>0</v>
      </c>
      <c r="S35" s="70"/>
      <c r="T35" s="70">
        <v>7602.78</v>
      </c>
      <c r="U35" s="70"/>
      <c r="V35" s="70">
        <v>1680.45</v>
      </c>
      <c r="W35" s="70"/>
      <c r="X35" s="70">
        <v>0</v>
      </c>
      <c r="Y35" s="70"/>
      <c r="Z35" s="70">
        <v>0</v>
      </c>
      <c r="AA35" s="70"/>
      <c r="AB35" s="70">
        <v>0</v>
      </c>
      <c r="AC35" s="70"/>
      <c r="AD35" s="70">
        <v>0</v>
      </c>
      <c r="AE35" s="70"/>
      <c r="AF35" s="70">
        <v>0</v>
      </c>
      <c r="AG35" s="35"/>
      <c r="AH35" s="4">
        <f t="shared" si="1"/>
        <v>409089.58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s="4" customFormat="1">
      <c r="A36" s="4">
        <v>104</v>
      </c>
      <c r="B36" s="4" t="s">
        <v>86</v>
      </c>
      <c r="D36" s="4" t="s">
        <v>87</v>
      </c>
      <c r="F36" s="70">
        <v>0</v>
      </c>
      <c r="G36" s="70">
        <v>0</v>
      </c>
      <c r="H36" s="70">
        <v>63705</v>
      </c>
      <c r="I36" s="70">
        <v>0</v>
      </c>
      <c r="J36" s="70">
        <v>0</v>
      </c>
      <c r="K36" s="70">
        <v>0</v>
      </c>
      <c r="L36" s="70">
        <v>2966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668</v>
      </c>
      <c r="S36" s="70">
        <v>0</v>
      </c>
      <c r="T36" s="70">
        <v>4595</v>
      </c>
      <c r="U36" s="70">
        <v>0</v>
      </c>
      <c r="V36" s="70">
        <v>29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H36" s="4">
        <f t="shared" si="1"/>
        <v>71963</v>
      </c>
    </row>
    <row r="37" spans="1:65" s="4" customFormat="1">
      <c r="A37" s="4">
        <v>206</v>
      </c>
      <c r="B37" s="4" t="s">
        <v>88</v>
      </c>
      <c r="D37" s="4" t="s">
        <v>89</v>
      </c>
      <c r="F37" s="70">
        <v>252152</v>
      </c>
      <c r="G37" s="70">
        <v>0</v>
      </c>
      <c r="H37" s="70">
        <v>0</v>
      </c>
      <c r="I37" s="70">
        <v>0</v>
      </c>
      <c r="J37" s="70">
        <v>528730</v>
      </c>
      <c r="K37" s="70">
        <v>0</v>
      </c>
      <c r="L37" s="70">
        <v>24210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17691</v>
      </c>
      <c r="S37" s="70">
        <v>0</v>
      </c>
      <c r="T37" s="70">
        <v>3836</v>
      </c>
      <c r="U37" s="70">
        <v>0</v>
      </c>
      <c r="V37" s="70">
        <f>34+28857</f>
        <v>28891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H37" s="4">
        <f t="shared" si="1"/>
        <v>855510</v>
      </c>
    </row>
    <row r="38" spans="1:65" s="4" customFormat="1">
      <c r="A38" s="4">
        <v>15</v>
      </c>
      <c r="B38" s="4" t="s">
        <v>90</v>
      </c>
      <c r="D38" s="4" t="s">
        <v>45</v>
      </c>
      <c r="F38" s="70">
        <v>9411</v>
      </c>
      <c r="G38" s="70">
        <v>0</v>
      </c>
      <c r="H38" s="70">
        <v>109351</v>
      </c>
      <c r="I38" s="70">
        <v>0</v>
      </c>
      <c r="J38" s="70">
        <v>0</v>
      </c>
      <c r="K38" s="70">
        <v>0</v>
      </c>
      <c r="L38" s="70">
        <v>4799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50</v>
      </c>
      <c r="S38" s="70">
        <v>0</v>
      </c>
      <c r="T38" s="70">
        <v>1869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H38" s="4">
        <f t="shared" si="1"/>
        <v>125480</v>
      </c>
    </row>
    <row r="39" spans="1:65" s="4" customFormat="1">
      <c r="A39" s="4">
        <v>161</v>
      </c>
      <c r="B39" s="4" t="s">
        <v>299</v>
      </c>
      <c r="D39" s="4" t="s">
        <v>92</v>
      </c>
      <c r="F39" s="70">
        <v>599144.22</v>
      </c>
      <c r="G39" s="70">
        <v>0</v>
      </c>
      <c r="H39" s="70">
        <v>1433286.17</v>
      </c>
      <c r="I39" s="70">
        <v>0</v>
      </c>
      <c r="J39" s="70">
        <v>85436.09</v>
      </c>
      <c r="K39" s="70">
        <v>0</v>
      </c>
      <c r="L39" s="70">
        <v>53806.48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58678.3</v>
      </c>
      <c r="S39" s="70">
        <v>0</v>
      </c>
      <c r="T39" s="70">
        <v>926.59</v>
      </c>
      <c r="U39" s="70">
        <v>0</v>
      </c>
      <c r="V39" s="70">
        <v>8939.93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H39" s="4">
        <f t="shared" si="1"/>
        <v>2240217.7799999998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s="4" customFormat="1">
      <c r="A40" s="4">
        <v>162</v>
      </c>
      <c r="B40" s="4" t="s">
        <v>93</v>
      </c>
      <c r="D40" s="4" t="s">
        <v>94</v>
      </c>
      <c r="F40" s="70">
        <v>0</v>
      </c>
      <c r="G40" s="70">
        <v>0</v>
      </c>
      <c r="H40" s="70">
        <v>0</v>
      </c>
      <c r="I40" s="70">
        <v>0</v>
      </c>
      <c r="J40" s="70">
        <v>1330121</v>
      </c>
      <c r="K40" s="70">
        <v>0</v>
      </c>
      <c r="L40" s="70">
        <v>34614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6619</v>
      </c>
      <c r="S40" s="70">
        <v>0</v>
      </c>
      <c r="T40" s="70">
        <v>26485</v>
      </c>
      <c r="U40" s="70">
        <v>0</v>
      </c>
      <c r="V40" s="70">
        <f>10333+1665</f>
        <v>11998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H40" s="4">
        <f t="shared" si="1"/>
        <v>1409837</v>
      </c>
    </row>
    <row r="41" spans="1:65" s="4" customFormat="1">
      <c r="A41" s="4">
        <v>11</v>
      </c>
      <c r="B41" s="4" t="s">
        <v>95</v>
      </c>
      <c r="D41" s="4" t="s">
        <v>69</v>
      </c>
      <c r="F41" s="70">
        <v>0</v>
      </c>
      <c r="G41" s="70">
        <v>0</v>
      </c>
      <c r="H41" s="70">
        <v>0</v>
      </c>
      <c r="I41" s="70">
        <v>0</v>
      </c>
      <c r="J41" s="70">
        <v>378763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14032</v>
      </c>
      <c r="Q41" s="70">
        <v>0</v>
      </c>
      <c r="R41" s="70">
        <v>0</v>
      </c>
      <c r="S41" s="70">
        <v>0</v>
      </c>
      <c r="T41" s="70">
        <v>280</v>
      </c>
      <c r="U41" s="70">
        <v>0</v>
      </c>
      <c r="V41" s="70">
        <v>698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H41" s="4">
        <f t="shared" si="1"/>
        <v>393773</v>
      </c>
    </row>
    <row r="42" spans="1:65" s="4" customFormat="1">
      <c r="A42" s="4">
        <v>103</v>
      </c>
      <c r="B42" s="35" t="s">
        <v>96</v>
      </c>
      <c r="C42" s="35"/>
      <c r="D42" s="35" t="s">
        <v>45</v>
      </c>
      <c r="E42" s="35"/>
      <c r="F42" s="70">
        <v>0</v>
      </c>
      <c r="G42" s="70"/>
      <c r="H42" s="70">
        <v>0</v>
      </c>
      <c r="I42" s="70"/>
      <c r="J42" s="70">
        <v>119180.74</v>
      </c>
      <c r="K42" s="70"/>
      <c r="L42" s="70">
        <v>2484.34</v>
      </c>
      <c r="M42" s="70"/>
      <c r="N42" s="70">
        <v>0</v>
      </c>
      <c r="O42" s="70"/>
      <c r="P42" s="70">
        <v>0</v>
      </c>
      <c r="Q42" s="70"/>
      <c r="R42" s="70">
        <v>105404.56</v>
      </c>
      <c r="S42" s="70"/>
      <c r="T42" s="70">
        <v>1053.52</v>
      </c>
      <c r="U42" s="70"/>
      <c r="V42" s="70">
        <v>17.71</v>
      </c>
      <c r="W42" s="70"/>
      <c r="X42" s="70">
        <v>0</v>
      </c>
      <c r="Y42" s="70"/>
      <c r="Z42" s="70">
        <v>0</v>
      </c>
      <c r="AA42" s="70"/>
      <c r="AB42" s="70">
        <v>0</v>
      </c>
      <c r="AC42" s="70"/>
      <c r="AD42" s="70">
        <v>0</v>
      </c>
      <c r="AE42" s="70"/>
      <c r="AF42" s="70">
        <v>0</v>
      </c>
      <c r="AG42" s="35"/>
      <c r="AH42" s="4">
        <f t="shared" si="1"/>
        <v>228140.87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s="4" customFormat="1">
      <c r="A43" s="4">
        <v>101</v>
      </c>
      <c r="B43" s="35" t="s">
        <v>300</v>
      </c>
      <c r="C43" s="35"/>
      <c r="D43" s="35" t="s">
        <v>97</v>
      </c>
      <c r="E43" s="35"/>
      <c r="F43" s="70">
        <v>100472.02</v>
      </c>
      <c r="G43" s="70"/>
      <c r="H43" s="70">
        <v>214323.26</v>
      </c>
      <c r="I43" s="70"/>
      <c r="J43" s="70">
        <v>25775.33</v>
      </c>
      <c r="K43" s="70"/>
      <c r="L43" s="70">
        <v>11635.98</v>
      </c>
      <c r="M43" s="70"/>
      <c r="N43" s="70">
        <v>0</v>
      </c>
      <c r="O43" s="70"/>
      <c r="P43" s="70">
        <v>0</v>
      </c>
      <c r="Q43" s="70"/>
      <c r="R43" s="70">
        <v>6095.9</v>
      </c>
      <c r="S43" s="70"/>
      <c r="T43" s="70">
        <v>1140.8399999999999</v>
      </c>
      <c r="U43" s="70"/>
      <c r="V43" s="70">
        <v>2085.17</v>
      </c>
      <c r="W43" s="70"/>
      <c r="X43" s="70">
        <v>156.4</v>
      </c>
      <c r="Y43" s="70"/>
      <c r="Z43" s="70">
        <v>0</v>
      </c>
      <c r="AA43" s="70"/>
      <c r="AB43" s="70">
        <v>0</v>
      </c>
      <c r="AC43" s="70"/>
      <c r="AD43" s="70">
        <v>0</v>
      </c>
      <c r="AE43" s="70"/>
      <c r="AF43" s="70">
        <v>0</v>
      </c>
      <c r="AG43" s="35"/>
      <c r="AH43" s="4">
        <f t="shared" si="1"/>
        <v>361684.90000000008</v>
      </c>
    </row>
    <row r="44" spans="1:65" s="4" customFormat="1">
      <c r="A44" s="4">
        <v>133</v>
      </c>
      <c r="B44" s="35" t="s">
        <v>98</v>
      </c>
      <c r="C44" s="35"/>
      <c r="D44" s="35" t="s">
        <v>46</v>
      </c>
      <c r="E44" s="35"/>
      <c r="F44" s="70">
        <v>0</v>
      </c>
      <c r="G44" s="70"/>
      <c r="H44" s="70">
        <v>172715.65</v>
      </c>
      <c r="I44" s="70"/>
      <c r="J44" s="70">
        <v>0</v>
      </c>
      <c r="K44" s="70"/>
      <c r="L44" s="70">
        <v>4409.49</v>
      </c>
      <c r="M44" s="70"/>
      <c r="N44" s="70">
        <v>0</v>
      </c>
      <c r="O44" s="70"/>
      <c r="P44" s="70">
        <v>0</v>
      </c>
      <c r="Q44" s="70"/>
      <c r="R44" s="70">
        <v>0</v>
      </c>
      <c r="S44" s="70"/>
      <c r="T44" s="70">
        <v>662.09</v>
      </c>
      <c r="U44" s="70"/>
      <c r="V44" s="70">
        <v>197.87</v>
      </c>
      <c r="W44" s="70"/>
      <c r="X44" s="70">
        <v>0</v>
      </c>
      <c r="Y44" s="70"/>
      <c r="Z44" s="70">
        <v>0</v>
      </c>
      <c r="AA44" s="70"/>
      <c r="AB44" s="70">
        <v>0</v>
      </c>
      <c r="AC44" s="70"/>
      <c r="AD44" s="70">
        <v>0</v>
      </c>
      <c r="AE44" s="70"/>
      <c r="AF44" s="70">
        <v>0</v>
      </c>
      <c r="AG44" s="35"/>
      <c r="AH44" s="4">
        <f t="shared" si="1"/>
        <v>177985.09999999998</v>
      </c>
    </row>
    <row r="45" spans="1:65" s="4" customFormat="1">
      <c r="A45" s="4">
        <v>259</v>
      </c>
      <c r="B45" s="35" t="s">
        <v>99</v>
      </c>
      <c r="C45" s="35"/>
      <c r="D45" s="35" t="s">
        <v>53</v>
      </c>
      <c r="E45" s="35"/>
      <c r="F45" s="70">
        <v>0</v>
      </c>
      <c r="G45" s="70"/>
      <c r="H45" s="70">
        <v>155451.41</v>
      </c>
      <c r="I45" s="70"/>
      <c r="J45" s="70">
        <v>0</v>
      </c>
      <c r="K45" s="70"/>
      <c r="L45" s="70">
        <v>5231.79</v>
      </c>
      <c r="M45" s="70"/>
      <c r="N45" s="70">
        <v>0</v>
      </c>
      <c r="O45" s="70"/>
      <c r="P45" s="70">
        <v>0</v>
      </c>
      <c r="Q45" s="70"/>
      <c r="R45" s="70">
        <v>2872.21</v>
      </c>
      <c r="S45" s="70"/>
      <c r="T45" s="70">
        <v>145.36000000000001</v>
      </c>
      <c r="U45" s="70"/>
      <c r="V45" s="70">
        <v>777.1</v>
      </c>
      <c r="W45" s="70"/>
      <c r="X45" s="70">
        <v>0</v>
      </c>
      <c r="Y45" s="70"/>
      <c r="Z45" s="70">
        <v>0</v>
      </c>
      <c r="AA45" s="70"/>
      <c r="AB45" s="70">
        <v>0</v>
      </c>
      <c r="AC45" s="70"/>
      <c r="AD45" s="70">
        <v>0</v>
      </c>
      <c r="AE45" s="70"/>
      <c r="AF45" s="70">
        <v>0</v>
      </c>
      <c r="AG45" s="35"/>
      <c r="AH45" s="4">
        <f t="shared" si="1"/>
        <v>164477.87</v>
      </c>
    </row>
    <row r="46" spans="1:65" s="4" customFormat="1">
      <c r="A46" s="4">
        <v>150</v>
      </c>
      <c r="B46" s="4" t="s">
        <v>581</v>
      </c>
      <c r="D46" s="4" t="s">
        <v>582</v>
      </c>
      <c r="F46" s="70">
        <v>0</v>
      </c>
      <c r="G46" s="70">
        <v>0</v>
      </c>
      <c r="H46" s="70">
        <v>1776202</v>
      </c>
      <c r="I46" s="70">
        <v>0</v>
      </c>
      <c r="J46" s="70">
        <v>0</v>
      </c>
      <c r="K46" s="70">
        <v>0</v>
      </c>
      <c r="L46" s="70">
        <v>47260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1850</v>
      </c>
      <c r="S46" s="70">
        <v>0</v>
      </c>
      <c r="T46" s="70">
        <v>1522</v>
      </c>
      <c r="U46" s="70">
        <v>0</v>
      </c>
      <c r="V46" s="70">
        <v>27416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H46" s="4">
        <f t="shared" si="1"/>
        <v>1854250</v>
      </c>
    </row>
    <row r="47" spans="1:65" s="4" customFormat="1">
      <c r="A47" s="4">
        <v>36</v>
      </c>
      <c r="B47" s="4" t="s">
        <v>100</v>
      </c>
      <c r="D47" s="4" t="s">
        <v>56</v>
      </c>
      <c r="F47" s="70">
        <v>0</v>
      </c>
      <c r="G47" s="70"/>
      <c r="H47" s="70">
        <v>324260.84000000003</v>
      </c>
      <c r="I47" s="70"/>
      <c r="J47" s="70">
        <v>1543</v>
      </c>
      <c r="K47" s="70"/>
      <c r="L47" s="70">
        <v>7840.66</v>
      </c>
      <c r="M47" s="70"/>
      <c r="N47" s="70">
        <v>0</v>
      </c>
      <c r="O47" s="70"/>
      <c r="P47" s="70">
        <v>0</v>
      </c>
      <c r="Q47" s="70"/>
      <c r="R47" s="70">
        <v>4372.91</v>
      </c>
      <c r="S47" s="70"/>
      <c r="T47" s="70">
        <v>2199.64</v>
      </c>
      <c r="U47" s="70"/>
      <c r="V47" s="70">
        <v>11361.84</v>
      </c>
      <c r="W47" s="70"/>
      <c r="X47" s="70">
        <v>0</v>
      </c>
      <c r="Y47" s="70"/>
      <c r="Z47" s="70">
        <v>0</v>
      </c>
      <c r="AA47" s="70"/>
      <c r="AB47" s="70">
        <v>0</v>
      </c>
      <c r="AC47" s="70"/>
      <c r="AD47" s="70">
        <v>0</v>
      </c>
      <c r="AE47" s="70"/>
      <c r="AF47" s="70">
        <v>0</v>
      </c>
      <c r="AH47" s="4">
        <f t="shared" si="1"/>
        <v>351578.89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s="4" customFormat="1">
      <c r="A48" s="4">
        <v>176</v>
      </c>
      <c r="B48" s="35" t="s">
        <v>475</v>
      </c>
      <c r="C48" s="35"/>
      <c r="D48" s="35" t="s">
        <v>47</v>
      </c>
      <c r="E48" s="35"/>
      <c r="F48" s="70">
        <v>0</v>
      </c>
      <c r="G48" s="70"/>
      <c r="H48" s="70">
        <v>599269.9</v>
      </c>
      <c r="I48" s="70"/>
      <c r="J48" s="70">
        <v>478724.89</v>
      </c>
      <c r="K48" s="70"/>
      <c r="L48" s="70">
        <v>32356.61</v>
      </c>
      <c r="M48" s="70"/>
      <c r="N48" s="70">
        <v>0</v>
      </c>
      <c r="O48" s="70"/>
      <c r="P48" s="70">
        <v>0</v>
      </c>
      <c r="Q48" s="70"/>
      <c r="R48" s="70">
        <v>3280.59</v>
      </c>
      <c r="S48" s="70"/>
      <c r="T48" s="70">
        <v>369.89</v>
      </c>
      <c r="U48" s="70"/>
      <c r="V48" s="70">
        <v>3656.54</v>
      </c>
      <c r="W48" s="70"/>
      <c r="X48" s="70">
        <v>0</v>
      </c>
      <c r="Y48" s="70"/>
      <c r="Z48" s="70">
        <v>0</v>
      </c>
      <c r="AA48" s="70"/>
      <c r="AB48" s="70">
        <v>0</v>
      </c>
      <c r="AC48" s="70"/>
      <c r="AD48" s="70">
        <v>0</v>
      </c>
      <c r="AE48" s="70"/>
      <c r="AF48" s="70">
        <v>0</v>
      </c>
      <c r="AG48" s="35"/>
      <c r="AH48" s="4">
        <f t="shared" si="1"/>
        <v>1117658.4200000002</v>
      </c>
    </row>
    <row r="49" spans="1:65" s="4" customFormat="1">
      <c r="A49" s="4">
        <v>158</v>
      </c>
      <c r="B49" s="4" t="s">
        <v>101</v>
      </c>
      <c r="D49" s="4" t="s">
        <v>102</v>
      </c>
      <c r="F49" s="70">
        <v>0</v>
      </c>
      <c r="G49" s="70">
        <v>0</v>
      </c>
      <c r="H49" s="70">
        <v>93540.5</v>
      </c>
      <c r="I49" s="70">
        <v>0</v>
      </c>
      <c r="J49" s="70">
        <v>2000</v>
      </c>
      <c r="K49" s="70">
        <v>0</v>
      </c>
      <c r="L49" s="70">
        <v>7632.56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2791.29</v>
      </c>
      <c r="S49" s="70">
        <v>0</v>
      </c>
      <c r="T49" s="70">
        <v>1381.83</v>
      </c>
      <c r="U49" s="70">
        <v>0</v>
      </c>
      <c r="V49" s="70">
        <v>950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H49" s="4">
        <f t="shared" si="1"/>
        <v>108296.18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s="4" customFormat="1">
      <c r="A50" s="4">
        <v>106</v>
      </c>
      <c r="B50" s="4" t="s">
        <v>103</v>
      </c>
      <c r="D50" s="4" t="s">
        <v>52</v>
      </c>
      <c r="F50" s="70">
        <v>0</v>
      </c>
      <c r="G50" s="70">
        <v>0</v>
      </c>
      <c r="H50" s="70">
        <v>486105.71</v>
      </c>
      <c r="I50" s="70">
        <v>0</v>
      </c>
      <c r="J50" s="70">
        <v>0</v>
      </c>
      <c r="K50" s="70">
        <v>0</v>
      </c>
      <c r="L50" s="70">
        <v>11766.9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25185.78</v>
      </c>
      <c r="S50" s="70">
        <v>0</v>
      </c>
      <c r="T50" s="70">
        <v>5431.99</v>
      </c>
      <c r="U50" s="70">
        <v>0</v>
      </c>
      <c r="V50" s="70">
        <v>9853.19</v>
      </c>
      <c r="W50" s="70">
        <v>0</v>
      </c>
      <c r="X50" s="70">
        <v>0</v>
      </c>
      <c r="Y50" s="70">
        <v>0</v>
      </c>
      <c r="Z50" s="70">
        <v>264389.17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H50" s="4">
        <f t="shared" si="1"/>
        <v>802732.74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s="4" customFormat="1">
      <c r="A51" s="4">
        <v>112</v>
      </c>
      <c r="B51" s="35" t="s">
        <v>104</v>
      </c>
      <c r="C51" s="35"/>
      <c r="D51" s="35" t="s">
        <v>17</v>
      </c>
      <c r="E51" s="35"/>
      <c r="F51" s="70">
        <v>211010.08</v>
      </c>
      <c r="G51" s="70"/>
      <c r="H51" s="70">
        <v>415823.32</v>
      </c>
      <c r="I51" s="70"/>
      <c r="J51" s="70">
        <v>57311.09</v>
      </c>
      <c r="K51" s="70"/>
      <c r="L51" s="70">
        <v>18755.73</v>
      </c>
      <c r="M51" s="70"/>
      <c r="N51" s="70">
        <v>0</v>
      </c>
      <c r="O51" s="70"/>
      <c r="P51" s="70">
        <v>0</v>
      </c>
      <c r="Q51" s="70"/>
      <c r="R51" s="70">
        <v>73025.75</v>
      </c>
      <c r="S51" s="70"/>
      <c r="T51" s="70">
        <v>1468.55</v>
      </c>
      <c r="U51" s="70"/>
      <c r="V51" s="70">
        <v>2508.77</v>
      </c>
      <c r="W51" s="70"/>
      <c r="X51" s="70">
        <v>56.37</v>
      </c>
      <c r="Y51" s="70"/>
      <c r="Z51" s="70">
        <v>0</v>
      </c>
      <c r="AA51" s="70"/>
      <c r="AB51" s="70">
        <v>0</v>
      </c>
      <c r="AC51" s="70"/>
      <c r="AD51" s="70">
        <v>0</v>
      </c>
      <c r="AE51" s="70"/>
      <c r="AF51" s="70">
        <v>0</v>
      </c>
      <c r="AG51" s="35"/>
      <c r="AH51" s="4">
        <f t="shared" si="1"/>
        <v>779959.66</v>
      </c>
    </row>
    <row r="52" spans="1:65" s="4" customFormat="1">
      <c r="A52" s="4">
        <v>116</v>
      </c>
      <c r="B52" s="35" t="s">
        <v>105</v>
      </c>
      <c r="C52" s="35"/>
      <c r="D52" s="35" t="s">
        <v>106</v>
      </c>
      <c r="E52" s="35"/>
      <c r="F52" s="70">
        <v>0</v>
      </c>
      <c r="G52" s="70"/>
      <c r="H52" s="70">
        <v>349404.67</v>
      </c>
      <c r="I52" s="70"/>
      <c r="J52" s="70">
        <v>0</v>
      </c>
      <c r="K52" s="70"/>
      <c r="L52" s="70">
        <v>12144.94</v>
      </c>
      <c r="M52" s="70"/>
      <c r="N52" s="70">
        <v>0</v>
      </c>
      <c r="O52" s="70"/>
      <c r="P52" s="70">
        <v>0</v>
      </c>
      <c r="Q52" s="70"/>
      <c r="R52" s="70">
        <v>908.4</v>
      </c>
      <c r="S52" s="70"/>
      <c r="T52" s="70">
        <v>1068.1500000000001</v>
      </c>
      <c r="U52" s="70"/>
      <c r="V52" s="70">
        <v>157.5</v>
      </c>
      <c r="W52" s="70"/>
      <c r="X52" s="70">
        <v>0</v>
      </c>
      <c r="Y52" s="70"/>
      <c r="Z52" s="70">
        <v>0</v>
      </c>
      <c r="AA52" s="70"/>
      <c r="AB52" s="70">
        <v>0</v>
      </c>
      <c r="AC52" s="70"/>
      <c r="AD52" s="70">
        <v>0</v>
      </c>
      <c r="AE52" s="70"/>
      <c r="AF52" s="70">
        <v>0</v>
      </c>
      <c r="AG52" s="35"/>
      <c r="AH52" s="4">
        <f t="shared" si="1"/>
        <v>363683.66000000003</v>
      </c>
    </row>
    <row r="53" spans="1:65" s="4" customFormat="1">
      <c r="A53" s="4">
        <v>177</v>
      </c>
      <c r="B53" s="35" t="s">
        <v>107</v>
      </c>
      <c r="C53" s="35"/>
      <c r="D53" s="35" t="s">
        <v>25</v>
      </c>
      <c r="E53" s="35"/>
      <c r="F53" s="70">
        <v>218803.26</v>
      </c>
      <c r="G53" s="70"/>
      <c r="H53" s="70">
        <v>484473.23</v>
      </c>
      <c r="I53" s="70"/>
      <c r="J53" s="70">
        <v>33249.980000000003</v>
      </c>
      <c r="K53" s="70"/>
      <c r="L53" s="70">
        <v>26604.19</v>
      </c>
      <c r="M53" s="70"/>
      <c r="N53" s="70">
        <v>0</v>
      </c>
      <c r="O53" s="70"/>
      <c r="P53" s="70">
        <v>0</v>
      </c>
      <c r="Q53" s="70"/>
      <c r="R53" s="70">
        <v>8043.28</v>
      </c>
      <c r="S53" s="70"/>
      <c r="T53" s="70">
        <v>2556.4499999999998</v>
      </c>
      <c r="U53" s="70"/>
      <c r="V53" s="70">
        <v>3403.54</v>
      </c>
      <c r="W53" s="70"/>
      <c r="X53" s="70">
        <v>0</v>
      </c>
      <c r="Y53" s="70"/>
      <c r="Z53" s="70">
        <v>0</v>
      </c>
      <c r="AA53" s="70"/>
      <c r="AB53" s="70">
        <v>0</v>
      </c>
      <c r="AC53" s="70"/>
      <c r="AD53" s="70">
        <v>156.37</v>
      </c>
      <c r="AE53" s="70"/>
      <c r="AF53" s="70">
        <v>0</v>
      </c>
      <c r="AG53" s="35"/>
      <c r="AH53" s="4">
        <f t="shared" si="1"/>
        <v>777290.29999999993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s="4" customFormat="1">
      <c r="A54" s="4">
        <v>174</v>
      </c>
      <c r="B54" s="4" t="s">
        <v>108</v>
      </c>
      <c r="D54" s="4" t="s">
        <v>68</v>
      </c>
      <c r="F54" s="70">
        <v>0</v>
      </c>
      <c r="G54" s="70">
        <v>0</v>
      </c>
      <c r="H54" s="70">
        <v>204473</v>
      </c>
      <c r="I54" s="70">
        <v>0</v>
      </c>
      <c r="J54" s="70">
        <v>2984</v>
      </c>
      <c r="K54" s="70">
        <v>0</v>
      </c>
      <c r="L54" s="70">
        <v>6974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1491</v>
      </c>
      <c r="S54" s="70">
        <v>0</v>
      </c>
      <c r="T54" s="70">
        <v>2031</v>
      </c>
      <c r="U54" s="70">
        <v>0</v>
      </c>
      <c r="V54" s="70">
        <v>19841</v>
      </c>
      <c r="W54" s="70">
        <v>0</v>
      </c>
      <c r="X54" s="70">
        <v>859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H54" s="4">
        <f t="shared" si="1"/>
        <v>238653</v>
      </c>
    </row>
    <row r="55" spans="1:65" s="4" customFormat="1">
      <c r="A55" s="4">
        <v>95</v>
      </c>
      <c r="B55" s="4" t="s">
        <v>109</v>
      </c>
      <c r="D55" s="4" t="s">
        <v>110</v>
      </c>
      <c r="F55" s="70">
        <v>0</v>
      </c>
      <c r="G55" s="70">
        <v>0</v>
      </c>
      <c r="H55" s="70">
        <v>797721</v>
      </c>
      <c r="I55" s="70">
        <v>0</v>
      </c>
      <c r="J55" s="70">
        <v>0</v>
      </c>
      <c r="K55" s="70">
        <v>0</v>
      </c>
      <c r="L55" s="70">
        <v>20069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3868</v>
      </c>
      <c r="S55" s="70">
        <v>0</v>
      </c>
      <c r="T55" s="70">
        <v>9181</v>
      </c>
      <c r="U55" s="70">
        <v>0</v>
      </c>
      <c r="V55" s="70">
        <v>10383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H55" s="4">
        <f t="shared" si="1"/>
        <v>841222</v>
      </c>
    </row>
    <row r="56" spans="1:65" s="4" customFormat="1">
      <c r="A56" s="4">
        <v>121</v>
      </c>
      <c r="B56" s="35" t="s">
        <v>594</v>
      </c>
      <c r="C56" s="35"/>
      <c r="D56" s="35" t="s">
        <v>48</v>
      </c>
      <c r="E56" s="35"/>
      <c r="F56" s="70">
        <v>0</v>
      </c>
      <c r="G56" s="70"/>
      <c r="H56" s="70">
        <v>551337.27</v>
      </c>
      <c r="I56" s="70"/>
      <c r="J56" s="70">
        <v>71.8</v>
      </c>
      <c r="K56" s="70"/>
      <c r="L56" s="70">
        <v>35304.9</v>
      </c>
      <c r="M56" s="70"/>
      <c r="N56" s="70">
        <v>0</v>
      </c>
      <c r="O56" s="70"/>
      <c r="P56" s="70">
        <v>0</v>
      </c>
      <c r="Q56" s="70"/>
      <c r="R56" s="70">
        <v>8497.4500000000007</v>
      </c>
      <c r="S56" s="70"/>
      <c r="T56" s="70">
        <v>2889.51</v>
      </c>
      <c r="U56" s="70"/>
      <c r="V56" s="70">
        <v>1902.84</v>
      </c>
      <c r="W56" s="70"/>
      <c r="X56" s="70">
        <v>0</v>
      </c>
      <c r="Y56" s="70"/>
      <c r="Z56" s="70">
        <v>0</v>
      </c>
      <c r="AA56" s="70"/>
      <c r="AB56" s="70">
        <v>0</v>
      </c>
      <c r="AC56" s="70"/>
      <c r="AD56" s="70">
        <v>0</v>
      </c>
      <c r="AE56" s="70"/>
      <c r="AF56" s="70">
        <v>0</v>
      </c>
      <c r="AG56" s="35"/>
      <c r="AH56" s="4">
        <f t="shared" si="1"/>
        <v>600003.77</v>
      </c>
    </row>
    <row r="57" spans="1:65" s="4" customFormat="1">
      <c r="A57" s="4">
        <v>84</v>
      </c>
      <c r="B57" s="4" t="s">
        <v>111</v>
      </c>
      <c r="D57" s="4" t="s">
        <v>16</v>
      </c>
      <c r="F57" s="70">
        <v>0</v>
      </c>
      <c r="G57" s="70">
        <v>0</v>
      </c>
      <c r="H57" s="70">
        <v>223068.03</v>
      </c>
      <c r="I57" s="70">
        <v>0</v>
      </c>
      <c r="J57" s="70">
        <v>0</v>
      </c>
      <c r="K57" s="70">
        <v>0</v>
      </c>
      <c r="L57" s="70">
        <v>7274.3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180</v>
      </c>
      <c r="S57" s="70">
        <v>0</v>
      </c>
      <c r="T57" s="70">
        <v>1368.75</v>
      </c>
      <c r="U57" s="70">
        <v>0</v>
      </c>
      <c r="V57" s="70">
        <v>514.71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H57" s="4">
        <f t="shared" si="1"/>
        <v>232405.78999999998</v>
      </c>
    </row>
    <row r="58" spans="1:65" s="4" customFormat="1">
      <c r="A58" s="4">
        <v>248</v>
      </c>
      <c r="B58" s="4" t="s">
        <v>595</v>
      </c>
      <c r="D58" s="4" t="s">
        <v>62</v>
      </c>
      <c r="F58" s="70">
        <v>94731.7</v>
      </c>
      <c r="G58" s="70"/>
      <c r="H58" s="70">
        <v>555942.46</v>
      </c>
      <c r="I58" s="70"/>
      <c r="J58" s="70">
        <v>52868.59</v>
      </c>
      <c r="K58" s="70"/>
      <c r="L58" s="70">
        <v>38744.699999999997</v>
      </c>
      <c r="M58" s="70"/>
      <c r="N58" s="70">
        <v>0</v>
      </c>
      <c r="O58" s="70"/>
      <c r="P58" s="70">
        <v>0</v>
      </c>
      <c r="Q58" s="70"/>
      <c r="R58" s="70">
        <v>40520.61</v>
      </c>
      <c r="S58" s="70"/>
      <c r="T58" s="70">
        <v>281.31</v>
      </c>
      <c r="U58" s="70"/>
      <c r="V58" s="70">
        <v>10069.33</v>
      </c>
      <c r="W58" s="70"/>
      <c r="X58" s="70">
        <v>0</v>
      </c>
      <c r="Y58" s="70"/>
      <c r="Z58" s="70">
        <v>49557.24</v>
      </c>
      <c r="AA58" s="70"/>
      <c r="AB58" s="70">
        <v>0</v>
      </c>
      <c r="AC58" s="70"/>
      <c r="AD58" s="70">
        <v>0</v>
      </c>
      <c r="AE58" s="70"/>
      <c r="AF58" s="70">
        <v>0</v>
      </c>
      <c r="AH58" s="4">
        <f t="shared" si="1"/>
        <v>842715.93999999983</v>
      </c>
    </row>
    <row r="59" spans="1:65" s="4" customFormat="1">
      <c r="A59" s="4">
        <v>29</v>
      </c>
      <c r="B59" s="35" t="s">
        <v>571</v>
      </c>
      <c r="C59" s="35"/>
      <c r="D59" s="35" t="s">
        <v>49</v>
      </c>
      <c r="E59" s="35"/>
      <c r="F59" s="70">
        <v>0</v>
      </c>
      <c r="G59" s="70"/>
      <c r="H59" s="70">
        <v>2035151.08</v>
      </c>
      <c r="I59" s="70"/>
      <c r="J59" s="70">
        <v>16401.21</v>
      </c>
      <c r="K59" s="70"/>
      <c r="L59" s="70">
        <v>45417.5</v>
      </c>
      <c r="M59" s="70"/>
      <c r="N59" s="70">
        <v>0</v>
      </c>
      <c r="O59" s="70"/>
      <c r="P59" s="70">
        <v>0</v>
      </c>
      <c r="Q59" s="70"/>
      <c r="R59" s="70">
        <v>13162.61</v>
      </c>
      <c r="S59" s="70"/>
      <c r="T59" s="70">
        <v>897.77</v>
      </c>
      <c r="U59" s="70"/>
      <c r="V59" s="70">
        <v>23659.200000000001</v>
      </c>
      <c r="W59" s="70"/>
      <c r="X59" s="70">
        <v>0</v>
      </c>
      <c r="Y59" s="70"/>
      <c r="Z59" s="70">
        <v>0</v>
      </c>
      <c r="AA59" s="70"/>
      <c r="AB59" s="70">
        <v>0</v>
      </c>
      <c r="AC59" s="70"/>
      <c r="AD59" s="70">
        <v>0</v>
      </c>
      <c r="AE59" s="70"/>
      <c r="AF59" s="70">
        <v>0</v>
      </c>
      <c r="AG59" s="35"/>
      <c r="AH59" s="4">
        <f t="shared" si="1"/>
        <v>2134689.37</v>
      </c>
    </row>
    <row r="60" spans="1:65" s="4" customFormat="1">
      <c r="A60" s="4">
        <v>29</v>
      </c>
      <c r="B60" s="35" t="s">
        <v>624</v>
      </c>
      <c r="C60" s="35"/>
      <c r="D60" s="35" t="s">
        <v>580</v>
      </c>
      <c r="E60" s="35"/>
      <c r="F60" s="70">
        <v>17637711</v>
      </c>
      <c r="G60" s="70">
        <v>0</v>
      </c>
      <c r="H60" s="70">
        <v>0</v>
      </c>
      <c r="I60" s="70">
        <v>0</v>
      </c>
      <c r="J60" s="70">
        <v>38790657</v>
      </c>
      <c r="K60" s="70">
        <v>0</v>
      </c>
      <c r="L60" s="70">
        <v>1950189</v>
      </c>
      <c r="M60" s="70">
        <v>0</v>
      </c>
      <c r="N60" s="70">
        <v>0</v>
      </c>
      <c r="O60" s="70">
        <v>0</v>
      </c>
      <c r="P60" s="70">
        <v>33323</v>
      </c>
      <c r="Q60" s="70">
        <v>0</v>
      </c>
      <c r="R60" s="70">
        <v>55100</v>
      </c>
      <c r="S60" s="70">
        <v>0</v>
      </c>
      <c r="T60" s="70">
        <v>26645</v>
      </c>
      <c r="U60" s="70">
        <v>0</v>
      </c>
      <c r="V60" s="70">
        <v>700284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35"/>
      <c r="AH60" s="4">
        <f t="shared" si="1"/>
        <v>59193909</v>
      </c>
    </row>
    <row r="61" spans="1:65" s="4" customFormat="1">
      <c r="A61" s="4">
        <v>58</v>
      </c>
      <c r="B61" s="4" t="s">
        <v>113</v>
      </c>
      <c r="D61" s="4" t="s">
        <v>114</v>
      </c>
      <c r="F61" s="70">
        <v>0</v>
      </c>
      <c r="G61" s="70">
        <v>0</v>
      </c>
      <c r="H61" s="70">
        <v>3733837</v>
      </c>
      <c r="I61" s="70">
        <v>0</v>
      </c>
      <c r="J61" s="70">
        <v>0</v>
      </c>
      <c r="K61" s="70">
        <v>0</v>
      </c>
      <c r="L61" s="70">
        <v>104611</v>
      </c>
      <c r="M61" s="70">
        <v>0</v>
      </c>
      <c r="N61" s="70">
        <v>0</v>
      </c>
      <c r="O61" s="70">
        <v>0</v>
      </c>
      <c r="P61" s="70">
        <v>400</v>
      </c>
      <c r="Q61" s="70">
        <v>0</v>
      </c>
      <c r="R61" s="70">
        <v>73325</v>
      </c>
      <c r="S61" s="70">
        <v>0</v>
      </c>
      <c r="T61" s="70">
        <v>21928</v>
      </c>
      <c r="U61" s="70">
        <v>0</v>
      </c>
      <c r="V61" s="70">
        <v>70033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19423</v>
      </c>
      <c r="AE61" s="70">
        <v>0</v>
      </c>
      <c r="AF61" s="70">
        <v>0</v>
      </c>
      <c r="AH61" s="4">
        <f t="shared" si="1"/>
        <v>4023557</v>
      </c>
    </row>
    <row r="62" spans="1:65" s="4" customFormat="1">
      <c r="A62" s="4">
        <v>60</v>
      </c>
      <c r="B62" s="4" t="s">
        <v>301</v>
      </c>
      <c r="D62" s="4" t="s">
        <v>26</v>
      </c>
      <c r="F62" s="70">
        <v>0</v>
      </c>
      <c r="G62" s="70"/>
      <c r="H62" s="70">
        <v>335043.03000000003</v>
      </c>
      <c r="I62" s="70"/>
      <c r="J62" s="70">
        <v>1950</v>
      </c>
      <c r="K62" s="70"/>
      <c r="L62" s="70">
        <v>11348.73</v>
      </c>
      <c r="M62" s="70"/>
      <c r="N62" s="70">
        <v>0</v>
      </c>
      <c r="O62" s="70"/>
      <c r="P62" s="70">
        <v>0</v>
      </c>
      <c r="Q62" s="70"/>
      <c r="R62" s="70">
        <v>3407.07</v>
      </c>
      <c r="S62" s="70"/>
      <c r="T62" s="70">
        <v>2671.75</v>
      </c>
      <c r="U62" s="70"/>
      <c r="V62" s="70">
        <v>4226.47</v>
      </c>
      <c r="W62" s="70"/>
      <c r="X62" s="70">
        <v>0</v>
      </c>
      <c r="Y62" s="70"/>
      <c r="Z62" s="70">
        <v>0</v>
      </c>
      <c r="AA62" s="70"/>
      <c r="AB62" s="70">
        <v>0</v>
      </c>
      <c r="AC62" s="70"/>
      <c r="AD62" s="70">
        <v>0</v>
      </c>
      <c r="AE62" s="70"/>
      <c r="AF62" s="70">
        <v>0</v>
      </c>
      <c r="AH62" s="4">
        <f t="shared" si="1"/>
        <v>358647.05</v>
      </c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spans="1:65" s="4" customFormat="1">
      <c r="A63" s="4">
        <v>164</v>
      </c>
      <c r="B63" s="4" t="s">
        <v>115</v>
      </c>
      <c r="D63" s="4" t="s">
        <v>116</v>
      </c>
      <c r="F63" s="70">
        <v>3435299.98</v>
      </c>
      <c r="G63" s="70">
        <v>0</v>
      </c>
      <c r="H63" s="70">
        <v>0</v>
      </c>
      <c r="I63" s="70">
        <v>0</v>
      </c>
      <c r="J63" s="70">
        <v>5213953.8499999996</v>
      </c>
      <c r="K63" s="70">
        <v>0</v>
      </c>
      <c r="L63" s="70">
        <v>235651.96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34894.720000000001</v>
      </c>
      <c r="S63" s="70">
        <v>0</v>
      </c>
      <c r="T63" s="70">
        <v>9666.19</v>
      </c>
      <c r="U63" s="70">
        <v>0</v>
      </c>
      <c r="V63" s="70">
        <v>32279.01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H63" s="4">
        <f t="shared" si="1"/>
        <v>8961745.7100000009</v>
      </c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65" s="4" customFormat="1">
      <c r="A64" s="4">
        <v>131</v>
      </c>
      <c r="B64" s="4" t="s">
        <v>427</v>
      </c>
      <c r="D64" s="4" t="s">
        <v>19</v>
      </c>
      <c r="F64" s="70">
        <v>5553935</v>
      </c>
      <c r="G64" s="70">
        <v>0</v>
      </c>
      <c r="H64" s="70">
        <v>0</v>
      </c>
      <c r="I64" s="70">
        <v>0</v>
      </c>
      <c r="J64" s="70">
        <v>3459250</v>
      </c>
      <c r="K64" s="70">
        <v>0</v>
      </c>
      <c r="L64" s="70">
        <v>107142</v>
      </c>
      <c r="M64" s="70">
        <v>0</v>
      </c>
      <c r="N64" s="70">
        <v>39201</v>
      </c>
      <c r="O64" s="70">
        <v>0</v>
      </c>
      <c r="P64" s="70">
        <v>0</v>
      </c>
      <c r="Q64" s="70">
        <v>0</v>
      </c>
      <c r="R64" s="70">
        <v>17506</v>
      </c>
      <c r="S64" s="70">
        <v>0</v>
      </c>
      <c r="T64" s="70">
        <v>3637</v>
      </c>
      <c r="U64" s="70">
        <v>0</v>
      </c>
      <c r="V64" s="70">
        <v>22689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H64" s="4">
        <f t="shared" si="1"/>
        <v>9203360</v>
      </c>
    </row>
    <row r="65" spans="1:65" s="4" customFormat="1">
      <c r="A65" s="4">
        <v>254</v>
      </c>
      <c r="B65" s="4" t="s">
        <v>428</v>
      </c>
      <c r="D65" s="4" t="s">
        <v>19</v>
      </c>
      <c r="F65" s="70">
        <v>29409031</v>
      </c>
      <c r="G65" s="70">
        <v>0</v>
      </c>
      <c r="H65" s="70">
        <v>0</v>
      </c>
      <c r="I65" s="70">
        <v>0</v>
      </c>
      <c r="J65" s="70">
        <v>30100335</v>
      </c>
      <c r="K65" s="70">
        <v>0</v>
      </c>
      <c r="L65" s="70">
        <v>427313</v>
      </c>
      <c r="M65" s="70">
        <v>0</v>
      </c>
      <c r="N65" s="70">
        <v>0</v>
      </c>
      <c r="O65" s="70">
        <v>0</v>
      </c>
      <c r="P65" s="70">
        <v>2641277</v>
      </c>
      <c r="Q65" s="70">
        <v>0</v>
      </c>
      <c r="R65" s="70">
        <v>0</v>
      </c>
      <c r="S65" s="70">
        <v>0</v>
      </c>
      <c r="T65" s="70">
        <v>418177</v>
      </c>
      <c r="U65" s="70">
        <v>0</v>
      </c>
      <c r="V65" s="70">
        <v>430445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H65" s="4">
        <f t="shared" si="1"/>
        <v>63426578</v>
      </c>
    </row>
    <row r="66" spans="1:65" s="4" customFormat="1">
      <c r="A66" s="4">
        <v>183</v>
      </c>
      <c r="B66" s="4" t="s">
        <v>117</v>
      </c>
      <c r="D66" s="4" t="s">
        <v>94</v>
      </c>
      <c r="F66" s="70">
        <v>142581.13</v>
      </c>
      <c r="G66" s="70"/>
      <c r="H66" s="70">
        <v>267710.65999999997</v>
      </c>
      <c r="I66" s="70"/>
      <c r="J66" s="70">
        <v>69548.03</v>
      </c>
      <c r="K66" s="70"/>
      <c r="L66" s="70">
        <v>14525.33</v>
      </c>
      <c r="M66" s="70"/>
      <c r="N66" s="70">
        <v>0</v>
      </c>
      <c r="O66" s="70"/>
      <c r="P66" s="70">
        <v>0</v>
      </c>
      <c r="Q66" s="70"/>
      <c r="R66" s="70">
        <v>510213.49</v>
      </c>
      <c r="S66" s="70"/>
      <c r="T66" s="70">
        <v>5766.5</v>
      </c>
      <c r="U66" s="70"/>
      <c r="V66" s="70">
        <v>1599.6</v>
      </c>
      <c r="W66" s="70"/>
      <c r="X66" s="70">
        <v>0</v>
      </c>
      <c r="Y66" s="70"/>
      <c r="Z66" s="70">
        <v>0</v>
      </c>
      <c r="AA66" s="70"/>
      <c r="AB66" s="70">
        <v>0</v>
      </c>
      <c r="AC66" s="70"/>
      <c r="AD66" s="70">
        <v>0</v>
      </c>
      <c r="AE66" s="70"/>
      <c r="AF66" s="70">
        <v>0</v>
      </c>
      <c r="AH66" s="4">
        <f t="shared" si="1"/>
        <v>1011944.7399999999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1:65" s="4" customFormat="1">
      <c r="A67" s="4">
        <v>258</v>
      </c>
      <c r="B67" s="4" t="s">
        <v>72</v>
      </c>
      <c r="D67" s="4" t="s">
        <v>50</v>
      </c>
      <c r="F67" s="70">
        <v>0</v>
      </c>
      <c r="G67" s="70"/>
      <c r="H67" s="70">
        <v>195913.52</v>
      </c>
      <c r="I67" s="70"/>
      <c r="J67" s="70">
        <v>0</v>
      </c>
      <c r="K67" s="70"/>
      <c r="L67" s="70">
        <v>7161.92</v>
      </c>
      <c r="M67" s="70"/>
      <c r="N67" s="70">
        <v>0</v>
      </c>
      <c r="O67" s="70"/>
      <c r="P67" s="70">
        <v>0</v>
      </c>
      <c r="Q67" s="70"/>
      <c r="R67" s="70">
        <v>3260.86</v>
      </c>
      <c r="S67" s="70"/>
      <c r="T67" s="70">
        <v>499.41</v>
      </c>
      <c r="U67" s="70"/>
      <c r="V67" s="70">
        <v>96.18</v>
      </c>
      <c r="W67" s="70"/>
      <c r="X67" s="70">
        <v>1010.65</v>
      </c>
      <c r="Y67" s="70"/>
      <c r="Z67" s="70">
        <v>0</v>
      </c>
      <c r="AA67" s="70"/>
      <c r="AB67" s="70">
        <v>0</v>
      </c>
      <c r="AC67" s="70"/>
      <c r="AD67" s="70">
        <v>0</v>
      </c>
      <c r="AE67" s="70"/>
      <c r="AF67" s="70">
        <v>0</v>
      </c>
      <c r="AH67" s="4">
        <f t="shared" si="1"/>
        <v>207942.53999999998</v>
      </c>
    </row>
    <row r="68" spans="1:65" s="4" customFormat="1">
      <c r="A68" s="4">
        <v>71</v>
      </c>
      <c r="B68" s="35" t="s">
        <v>454</v>
      </c>
      <c r="C68" s="35"/>
      <c r="D68" s="35" t="s">
        <v>51</v>
      </c>
      <c r="E68" s="35"/>
      <c r="F68" s="70">
        <v>0</v>
      </c>
      <c r="G68" s="70"/>
      <c r="H68" s="70">
        <v>678333.31</v>
      </c>
      <c r="I68" s="70"/>
      <c r="J68" s="70">
        <v>0</v>
      </c>
      <c r="K68" s="70"/>
      <c r="L68" s="70">
        <v>37094.949999999997</v>
      </c>
      <c r="M68" s="70"/>
      <c r="N68" s="70">
        <v>0</v>
      </c>
      <c r="O68" s="70"/>
      <c r="P68" s="70">
        <v>0</v>
      </c>
      <c r="Q68" s="70"/>
      <c r="R68" s="70">
        <v>3595.3</v>
      </c>
      <c r="S68" s="70"/>
      <c r="T68" s="70">
        <v>1256.02</v>
      </c>
      <c r="U68" s="70"/>
      <c r="V68" s="70">
        <v>12057.59</v>
      </c>
      <c r="W68" s="70"/>
      <c r="X68" s="70">
        <v>0</v>
      </c>
      <c r="Y68" s="70"/>
      <c r="Z68" s="70">
        <v>0</v>
      </c>
      <c r="AA68" s="70"/>
      <c r="AB68" s="70">
        <v>0</v>
      </c>
      <c r="AC68" s="70"/>
      <c r="AD68" s="70">
        <v>0</v>
      </c>
      <c r="AE68" s="70"/>
      <c r="AF68" s="70">
        <v>0</v>
      </c>
      <c r="AG68" s="35"/>
      <c r="AH68" s="4">
        <f t="shared" si="1"/>
        <v>732337.17</v>
      </c>
    </row>
    <row r="69" spans="1:65" s="4" customFormat="1">
      <c r="A69" s="4">
        <v>260</v>
      </c>
      <c r="B69" s="4" t="s">
        <v>118</v>
      </c>
      <c r="D69" s="4" t="s">
        <v>92</v>
      </c>
      <c r="F69" s="70">
        <v>21124769</v>
      </c>
      <c r="G69" s="70">
        <v>0</v>
      </c>
      <c r="H69" s="70">
        <v>18848449</v>
      </c>
      <c r="I69" s="70">
        <v>0</v>
      </c>
      <c r="J69" s="70">
        <v>0</v>
      </c>
      <c r="K69" s="70">
        <v>0</v>
      </c>
      <c r="L69" s="70">
        <v>1549099</v>
      </c>
      <c r="M69" s="70">
        <v>0</v>
      </c>
      <c r="N69" s="70">
        <v>0</v>
      </c>
      <c r="O69" s="70">
        <v>0</v>
      </c>
      <c r="P69" s="70">
        <v>684567</v>
      </c>
      <c r="Q69" s="70">
        <v>0</v>
      </c>
      <c r="R69" s="70">
        <v>600</v>
      </c>
      <c r="S69" s="70">
        <v>0</v>
      </c>
      <c r="T69" s="70">
        <v>229927</v>
      </c>
      <c r="U69" s="70">
        <v>0</v>
      </c>
      <c r="V69" s="70">
        <v>130637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H69" s="4">
        <f t="shared" si="1"/>
        <v>42568048</v>
      </c>
    </row>
    <row r="70" spans="1:65" s="4" customFormat="1">
      <c r="A70" s="4">
        <v>175</v>
      </c>
      <c r="B70" s="4" t="s">
        <v>363</v>
      </c>
      <c r="D70" s="4" t="s">
        <v>70</v>
      </c>
      <c r="F70" s="70">
        <v>656282.57999999996</v>
      </c>
      <c r="G70" s="70"/>
      <c r="H70" s="70">
        <v>482166.18</v>
      </c>
      <c r="I70" s="70"/>
      <c r="J70" s="70">
        <v>23077.11</v>
      </c>
      <c r="K70" s="70"/>
      <c r="L70" s="70">
        <v>22290.23</v>
      </c>
      <c r="M70" s="70"/>
      <c r="N70" s="70">
        <v>0</v>
      </c>
      <c r="O70" s="70"/>
      <c r="P70" s="70">
        <v>0</v>
      </c>
      <c r="Q70" s="70"/>
      <c r="R70" s="70">
        <v>12630.58</v>
      </c>
      <c r="S70" s="70"/>
      <c r="T70" s="70">
        <v>1257.6400000000001</v>
      </c>
      <c r="U70" s="70"/>
      <c r="V70" s="70">
        <v>977.73</v>
      </c>
      <c r="W70" s="70"/>
      <c r="X70" s="70">
        <v>0</v>
      </c>
      <c r="Y70" s="70"/>
      <c r="Z70" s="70">
        <v>0</v>
      </c>
      <c r="AA70" s="70"/>
      <c r="AB70" s="70">
        <v>0</v>
      </c>
      <c r="AC70" s="70"/>
      <c r="AD70" s="70">
        <v>0</v>
      </c>
      <c r="AE70" s="70"/>
      <c r="AF70" s="70">
        <v>0</v>
      </c>
      <c r="AH70" s="4">
        <f t="shared" si="1"/>
        <v>1198682.05</v>
      </c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65" s="4" customFormat="1">
      <c r="A71" s="4">
        <v>94</v>
      </c>
      <c r="B71" s="4" t="s">
        <v>119</v>
      </c>
      <c r="D71" s="4" t="s">
        <v>43</v>
      </c>
      <c r="F71" s="70">
        <v>421816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4879</v>
      </c>
      <c r="M71" s="70">
        <v>0</v>
      </c>
      <c r="N71" s="70">
        <v>0</v>
      </c>
      <c r="O71" s="70">
        <v>0</v>
      </c>
      <c r="P71" s="70">
        <v>165</v>
      </c>
      <c r="Q71" s="70">
        <v>0</v>
      </c>
      <c r="R71" s="70">
        <v>5572</v>
      </c>
      <c r="S71" s="70">
        <v>0</v>
      </c>
      <c r="T71" s="70">
        <v>4325</v>
      </c>
      <c r="U71" s="70">
        <v>0</v>
      </c>
      <c r="V71" s="70">
        <v>12765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H71" s="4">
        <f t="shared" si="1"/>
        <v>449522</v>
      </c>
    </row>
    <row r="72" spans="1:65" s="4" customFormat="1">
      <c r="A72" s="4">
        <v>61</v>
      </c>
      <c r="B72" s="4" t="s">
        <v>120</v>
      </c>
      <c r="D72" s="4" t="s">
        <v>121</v>
      </c>
      <c r="F72" s="70">
        <v>0</v>
      </c>
      <c r="G72" s="70">
        <v>0</v>
      </c>
      <c r="H72" s="70">
        <v>1050441</v>
      </c>
      <c r="I72" s="70">
        <v>0</v>
      </c>
      <c r="J72" s="70">
        <v>0</v>
      </c>
      <c r="K72" s="70">
        <v>0</v>
      </c>
      <c r="L72" s="70">
        <v>34661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3417</v>
      </c>
      <c r="S72" s="70">
        <v>0</v>
      </c>
      <c r="T72" s="70">
        <v>14356</v>
      </c>
      <c r="U72" s="70">
        <v>0</v>
      </c>
      <c r="V72" s="70">
        <v>9499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H72" s="4">
        <f t="shared" si="1"/>
        <v>1112374</v>
      </c>
    </row>
    <row r="73" spans="1:65" s="4" customFormat="1">
      <c r="A73" s="4">
        <v>30</v>
      </c>
      <c r="B73" s="35" t="s">
        <v>122</v>
      </c>
      <c r="C73" s="35"/>
      <c r="D73" s="35" t="s">
        <v>52</v>
      </c>
      <c r="E73" s="35"/>
      <c r="F73" s="70">
        <v>0</v>
      </c>
      <c r="G73" s="70"/>
      <c r="H73" s="70">
        <v>402772.47999999998</v>
      </c>
      <c r="I73" s="70"/>
      <c r="J73" s="70">
        <v>0</v>
      </c>
      <c r="K73" s="70"/>
      <c r="L73" s="70">
        <v>11009.2</v>
      </c>
      <c r="M73" s="70"/>
      <c r="N73" s="70">
        <v>0</v>
      </c>
      <c r="O73" s="70"/>
      <c r="P73" s="70">
        <v>0</v>
      </c>
      <c r="Q73" s="70"/>
      <c r="R73" s="70">
        <v>2484.37</v>
      </c>
      <c r="S73" s="70"/>
      <c r="T73" s="70">
        <v>22865.33</v>
      </c>
      <c r="U73" s="70"/>
      <c r="V73" s="70">
        <v>1823.73</v>
      </c>
      <c r="W73" s="70"/>
      <c r="X73" s="70">
        <v>200</v>
      </c>
      <c r="Y73" s="70"/>
      <c r="Z73" s="70">
        <v>0</v>
      </c>
      <c r="AA73" s="70"/>
      <c r="AB73" s="70">
        <v>0</v>
      </c>
      <c r="AC73" s="70"/>
      <c r="AD73" s="70">
        <v>0</v>
      </c>
      <c r="AE73" s="70"/>
      <c r="AF73" s="70">
        <v>0</v>
      </c>
      <c r="AG73" s="35"/>
      <c r="AH73" s="4">
        <f t="shared" si="1"/>
        <v>441155.11</v>
      </c>
    </row>
    <row r="74" spans="1:65" s="4" customFormat="1">
      <c r="A74" s="4">
        <v>252</v>
      </c>
      <c r="B74" s="4" t="s">
        <v>596</v>
      </c>
      <c r="D74" s="4" t="s">
        <v>19</v>
      </c>
      <c r="F74" s="70">
        <v>39474012</v>
      </c>
      <c r="G74" s="70">
        <v>0</v>
      </c>
      <c r="H74" s="70">
        <v>0</v>
      </c>
      <c r="I74" s="70">
        <v>0</v>
      </c>
      <c r="J74" s="70">
        <v>27272702</v>
      </c>
      <c r="K74" s="70">
        <v>0</v>
      </c>
      <c r="L74" s="70">
        <v>1140831</v>
      </c>
      <c r="M74" s="70">
        <v>0</v>
      </c>
      <c r="N74" s="70">
        <v>42026</v>
      </c>
      <c r="O74" s="70">
        <v>0</v>
      </c>
      <c r="P74" s="70">
        <v>0</v>
      </c>
      <c r="Q74" s="70">
        <v>0</v>
      </c>
      <c r="R74" s="70">
        <v>3457</v>
      </c>
      <c r="S74" s="70">
        <v>0</v>
      </c>
      <c r="T74" s="70">
        <v>0</v>
      </c>
      <c r="U74" s="70">
        <v>0</v>
      </c>
      <c r="V74" s="70">
        <f>3002+561869</f>
        <v>564871</v>
      </c>
      <c r="W74" s="70">
        <v>0</v>
      </c>
      <c r="X74" s="70">
        <v>0</v>
      </c>
      <c r="Y74" s="70">
        <v>0</v>
      </c>
      <c r="Z74" s="70">
        <v>435127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H74" s="4">
        <f t="shared" si="1"/>
        <v>68933026</v>
      </c>
    </row>
    <row r="75" spans="1:65" s="4" customFormat="1">
      <c r="B75" s="4" t="s">
        <v>618</v>
      </c>
      <c r="D75" s="4" t="s">
        <v>22</v>
      </c>
      <c r="F75" s="70">
        <v>1004912</v>
      </c>
      <c r="G75" s="70">
        <v>0</v>
      </c>
      <c r="H75" s="70">
        <v>1244794</v>
      </c>
      <c r="I75" s="70">
        <v>0</v>
      </c>
      <c r="J75" s="70">
        <v>0</v>
      </c>
      <c r="K75" s="70">
        <v>0</v>
      </c>
      <c r="L75" s="70">
        <v>12684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4245</v>
      </c>
      <c r="S75" s="70">
        <v>0</v>
      </c>
      <c r="T75" s="70">
        <v>968</v>
      </c>
      <c r="U75" s="70">
        <v>0</v>
      </c>
      <c r="V75" s="70">
        <v>9639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H75" s="4">
        <f t="shared" si="1"/>
        <v>2277242</v>
      </c>
    </row>
    <row r="76" spans="1:65" s="4" customFormat="1">
      <c r="A76" s="4">
        <v>8</v>
      </c>
      <c r="B76" s="4" t="s">
        <v>124</v>
      </c>
      <c r="D76" s="4" t="s">
        <v>55</v>
      </c>
      <c r="F76" s="70">
        <v>11772448</v>
      </c>
      <c r="G76" s="70">
        <v>0</v>
      </c>
      <c r="H76" s="70">
        <v>0</v>
      </c>
      <c r="I76" s="70">
        <v>0</v>
      </c>
      <c r="J76" s="70">
        <v>17464464</v>
      </c>
      <c r="K76" s="70">
        <v>0</v>
      </c>
      <c r="L76" s="70">
        <v>664978</v>
      </c>
      <c r="M76" s="70">
        <v>0</v>
      </c>
      <c r="N76" s="70">
        <v>0</v>
      </c>
      <c r="O76" s="70">
        <v>0</v>
      </c>
      <c r="P76" s="70">
        <v>99973</v>
      </c>
      <c r="Q76" s="70">
        <v>0</v>
      </c>
      <c r="R76" s="70">
        <v>76377</v>
      </c>
      <c r="S76" s="70">
        <v>0</v>
      </c>
      <c r="T76" s="70">
        <v>64385</v>
      </c>
      <c r="U76" s="70">
        <v>0</v>
      </c>
      <c r="V76" s="70">
        <v>29844</v>
      </c>
      <c r="W76" s="70">
        <v>0</v>
      </c>
      <c r="X76" s="70">
        <v>1948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H76" s="4">
        <f t="shared" si="1"/>
        <v>30174417</v>
      </c>
    </row>
    <row r="77" spans="1:65" s="4" customFormat="1">
      <c r="A77" s="4">
        <v>238</v>
      </c>
      <c r="B77" s="4" t="s">
        <v>125</v>
      </c>
      <c r="D77" s="4" t="s">
        <v>126</v>
      </c>
      <c r="F77" s="70">
        <v>440862.27</v>
      </c>
      <c r="G77" s="70">
        <v>0</v>
      </c>
      <c r="H77" s="70">
        <v>1132403.72</v>
      </c>
      <c r="I77" s="70">
        <v>0</v>
      </c>
      <c r="J77" s="70">
        <v>0</v>
      </c>
      <c r="K77" s="70">
        <v>0</v>
      </c>
      <c r="L77" s="70">
        <v>26451.55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14773.42</v>
      </c>
      <c r="S77" s="70">
        <v>0</v>
      </c>
      <c r="T77" s="70">
        <v>1468.22</v>
      </c>
      <c r="U77" s="70">
        <v>0</v>
      </c>
      <c r="V77" s="70">
        <f>14851.18+64853.13+3003.23</f>
        <v>82707.539999999994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H77" s="4">
        <f t="shared" si="1"/>
        <v>1698666.72</v>
      </c>
    </row>
    <row r="78" spans="1:65" s="4" customFormat="1">
      <c r="A78" s="4">
        <v>82</v>
      </c>
      <c r="B78" s="4" t="s">
        <v>127</v>
      </c>
      <c r="D78" s="4" t="s">
        <v>70</v>
      </c>
      <c r="F78" s="70">
        <v>4231876</v>
      </c>
      <c r="G78" s="70">
        <v>0</v>
      </c>
      <c r="H78" s="70">
        <v>1565875</v>
      </c>
      <c r="I78" s="70">
        <v>0</v>
      </c>
      <c r="J78" s="70">
        <v>542098</v>
      </c>
      <c r="K78" s="70">
        <v>0</v>
      </c>
      <c r="L78" s="70">
        <v>58828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34607</v>
      </c>
      <c r="S78" s="70">
        <v>0</v>
      </c>
      <c r="T78" s="70">
        <v>2618</v>
      </c>
      <c r="U78" s="70">
        <v>0</v>
      </c>
      <c r="V78" s="70">
        <v>30280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H78" s="4">
        <f t="shared" si="1"/>
        <v>6466182</v>
      </c>
    </row>
    <row r="79" spans="1:65" s="4" customFormat="1">
      <c r="A79" s="4">
        <v>41</v>
      </c>
      <c r="B79" s="35" t="s">
        <v>128</v>
      </c>
      <c r="C79" s="35"/>
      <c r="D79" s="35" t="s">
        <v>97</v>
      </c>
      <c r="E79" s="35"/>
      <c r="F79" s="70">
        <v>50217.760000000002</v>
      </c>
      <c r="G79" s="70"/>
      <c r="H79" s="70">
        <v>321140.86</v>
      </c>
      <c r="I79" s="70"/>
      <c r="J79" s="70">
        <v>20106.89</v>
      </c>
      <c r="K79" s="70"/>
      <c r="L79" s="70">
        <v>7111.47</v>
      </c>
      <c r="M79" s="70"/>
      <c r="N79" s="70">
        <v>0</v>
      </c>
      <c r="O79" s="70"/>
      <c r="P79" s="70">
        <v>0</v>
      </c>
      <c r="Q79" s="70"/>
      <c r="R79" s="70">
        <v>24159.8</v>
      </c>
      <c r="S79" s="70"/>
      <c r="T79" s="70">
        <v>3215.84</v>
      </c>
      <c r="U79" s="70"/>
      <c r="V79" s="70">
        <v>11648.19</v>
      </c>
      <c r="W79" s="70"/>
      <c r="X79" s="70">
        <v>0</v>
      </c>
      <c r="Y79" s="70"/>
      <c r="Z79" s="70">
        <v>0</v>
      </c>
      <c r="AA79" s="70"/>
      <c r="AB79" s="70">
        <v>0</v>
      </c>
      <c r="AC79" s="70"/>
      <c r="AD79" s="70">
        <v>0</v>
      </c>
      <c r="AE79" s="70"/>
      <c r="AF79" s="70">
        <v>0</v>
      </c>
      <c r="AG79" s="35"/>
      <c r="AH79" s="4">
        <f t="shared" si="1"/>
        <v>437600.81</v>
      </c>
    </row>
    <row r="80" spans="1:65" s="7" customFormat="1">
      <c r="A80" s="4">
        <v>14</v>
      </c>
      <c r="B80" s="4" t="s">
        <v>129</v>
      </c>
      <c r="C80" s="4"/>
      <c r="D80" s="4" t="s">
        <v>42</v>
      </c>
      <c r="E80" s="4"/>
      <c r="F80" s="70">
        <v>107557.22</v>
      </c>
      <c r="G80" s="70"/>
      <c r="H80" s="70">
        <v>218490.96</v>
      </c>
      <c r="I80" s="70"/>
      <c r="J80" s="70">
        <v>23547.57</v>
      </c>
      <c r="K80" s="70"/>
      <c r="L80" s="70">
        <v>12245.63</v>
      </c>
      <c r="M80" s="70"/>
      <c r="N80" s="70">
        <v>0</v>
      </c>
      <c r="O80" s="70"/>
      <c r="P80" s="70">
        <v>0</v>
      </c>
      <c r="Q80" s="70"/>
      <c r="R80" s="70">
        <v>18629.02</v>
      </c>
      <c r="S80" s="70"/>
      <c r="T80" s="70">
        <v>578.70000000000005</v>
      </c>
      <c r="U80" s="70"/>
      <c r="V80" s="70">
        <v>2031.8</v>
      </c>
      <c r="W80" s="70"/>
      <c r="X80" s="70">
        <v>65</v>
      </c>
      <c r="Y80" s="70"/>
      <c r="Z80" s="70">
        <v>127061.15</v>
      </c>
      <c r="AA80" s="70"/>
      <c r="AB80" s="70">
        <v>0</v>
      </c>
      <c r="AC80" s="70"/>
      <c r="AD80" s="70">
        <v>0</v>
      </c>
      <c r="AE80" s="70"/>
      <c r="AF80" s="70">
        <v>0</v>
      </c>
      <c r="AG80" s="4"/>
      <c r="AH80" s="4">
        <f t="shared" si="1"/>
        <v>510207.05000000005</v>
      </c>
    </row>
    <row r="81" spans="1:65" s="4" customFormat="1">
      <c r="A81" s="4">
        <v>256</v>
      </c>
      <c r="B81" s="4" t="s">
        <v>130</v>
      </c>
      <c r="D81" s="4" t="s">
        <v>63</v>
      </c>
      <c r="F81" s="70">
        <v>0</v>
      </c>
      <c r="G81" s="70">
        <v>0</v>
      </c>
      <c r="H81" s="70">
        <v>232780</v>
      </c>
      <c r="I81" s="70">
        <v>0</v>
      </c>
      <c r="J81" s="70">
        <v>0</v>
      </c>
      <c r="K81" s="70">
        <v>0</v>
      </c>
      <c r="L81" s="70">
        <v>11157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39168</v>
      </c>
      <c r="S81" s="70">
        <v>0</v>
      </c>
      <c r="T81" s="70">
        <v>2360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50000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H81" s="4">
        <f t="shared" si="1"/>
        <v>335465</v>
      </c>
    </row>
    <row r="82" spans="1:65" s="4" customFormat="1">
      <c r="A82" s="4">
        <v>250</v>
      </c>
      <c r="B82" s="4" t="s">
        <v>131</v>
      </c>
      <c r="D82" s="4" t="s">
        <v>26</v>
      </c>
      <c r="F82" s="70">
        <v>0</v>
      </c>
      <c r="G82" s="70">
        <v>0</v>
      </c>
      <c r="H82" s="70">
        <v>568445</v>
      </c>
      <c r="I82" s="70">
        <v>0</v>
      </c>
      <c r="J82" s="70">
        <v>0</v>
      </c>
      <c r="K82" s="70">
        <v>0</v>
      </c>
      <c r="L82" s="70">
        <v>27829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8888</v>
      </c>
      <c r="S82" s="70">
        <v>0</v>
      </c>
      <c r="T82" s="70">
        <v>1048</v>
      </c>
      <c r="U82" s="70">
        <v>0</v>
      </c>
      <c r="V82" s="70">
        <v>3814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70">
        <v>0</v>
      </c>
      <c r="AE82" s="70">
        <v>0</v>
      </c>
      <c r="AF82" s="70">
        <v>0</v>
      </c>
      <c r="AH82" s="4">
        <f t="shared" si="1"/>
        <v>610024</v>
      </c>
    </row>
    <row r="83" spans="1:65" s="4" customFormat="1">
      <c r="A83" s="4">
        <v>3</v>
      </c>
      <c r="B83" s="4" t="s">
        <v>302</v>
      </c>
      <c r="D83" s="4" t="s">
        <v>132</v>
      </c>
      <c r="F83" s="70">
        <v>142542.79</v>
      </c>
      <c r="G83" s="70"/>
      <c r="H83" s="70">
        <v>901253.49</v>
      </c>
      <c r="I83" s="70"/>
      <c r="J83" s="70">
        <v>51046.57</v>
      </c>
      <c r="K83" s="70"/>
      <c r="L83" s="70">
        <v>40064.89</v>
      </c>
      <c r="M83" s="70"/>
      <c r="N83" s="70">
        <v>0</v>
      </c>
      <c r="O83" s="70"/>
      <c r="P83" s="70">
        <v>0</v>
      </c>
      <c r="Q83" s="70"/>
      <c r="R83" s="70">
        <v>8502.02</v>
      </c>
      <c r="S83" s="70"/>
      <c r="T83" s="70">
        <v>6350.93</v>
      </c>
      <c r="U83" s="70"/>
      <c r="V83" s="70">
        <v>20002.36</v>
      </c>
      <c r="W83" s="70"/>
      <c r="X83" s="70">
        <v>903.56</v>
      </c>
      <c r="Y83" s="70"/>
      <c r="Z83" s="70">
        <v>0</v>
      </c>
      <c r="AA83" s="70"/>
      <c r="AB83" s="70">
        <v>0</v>
      </c>
      <c r="AC83" s="70"/>
      <c r="AD83" s="70">
        <v>0</v>
      </c>
      <c r="AE83" s="70"/>
      <c r="AF83" s="70">
        <v>0</v>
      </c>
      <c r="AH83" s="4">
        <f t="shared" si="1"/>
        <v>1170666.6100000001</v>
      </c>
    </row>
    <row r="84" spans="1:65" s="4" customFormat="1">
      <c r="A84" s="4">
        <v>235</v>
      </c>
      <c r="B84" s="4" t="s">
        <v>133</v>
      </c>
      <c r="D84" s="4" t="s">
        <v>87</v>
      </c>
      <c r="F84" s="70">
        <v>20552.53</v>
      </c>
      <c r="G84" s="70">
        <v>0</v>
      </c>
      <c r="H84" s="70">
        <v>48451.87</v>
      </c>
      <c r="I84" s="70">
        <v>0</v>
      </c>
      <c r="J84" s="70">
        <v>6468.68</v>
      </c>
      <c r="K84" s="70">
        <v>0</v>
      </c>
      <c r="L84" s="70">
        <v>81.95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48.06</v>
      </c>
      <c r="S84" s="70">
        <v>0</v>
      </c>
      <c r="T84" s="70">
        <v>1304.8399999999999</v>
      </c>
      <c r="U84" s="70">
        <v>0</v>
      </c>
      <c r="V84" s="70">
        <v>1399.26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70">
        <v>0</v>
      </c>
      <c r="AH84" s="4">
        <f t="shared" ref="AH84:AH86" si="2">SUM(F84:AF84)</f>
        <v>78307.189999999973</v>
      </c>
    </row>
    <row r="85" spans="1:65" s="4" customFormat="1">
      <c r="A85" s="4">
        <v>123</v>
      </c>
      <c r="B85" s="35" t="s">
        <v>456</v>
      </c>
      <c r="C85" s="35"/>
      <c r="D85" s="35" t="s">
        <v>19</v>
      </c>
      <c r="E85" s="35"/>
      <c r="F85" s="70">
        <v>1032530.74</v>
      </c>
      <c r="G85" s="70"/>
      <c r="H85" s="70">
        <v>1180424.9099999999</v>
      </c>
      <c r="I85" s="70"/>
      <c r="J85" s="70">
        <v>339396.54</v>
      </c>
      <c r="K85" s="70"/>
      <c r="L85" s="70">
        <v>6111.34</v>
      </c>
      <c r="M85" s="70"/>
      <c r="N85" s="70">
        <v>0</v>
      </c>
      <c r="O85" s="70"/>
      <c r="P85" s="70">
        <v>0</v>
      </c>
      <c r="Q85" s="70"/>
      <c r="R85" s="70">
        <v>65576.100000000006</v>
      </c>
      <c r="S85" s="70"/>
      <c r="T85" s="70">
        <v>71.319999999999993</v>
      </c>
      <c r="U85" s="70"/>
      <c r="V85" s="70">
        <v>14759.12</v>
      </c>
      <c r="W85" s="70"/>
      <c r="X85" s="70">
        <v>0</v>
      </c>
      <c r="Y85" s="70"/>
      <c r="Z85" s="70">
        <v>0</v>
      </c>
      <c r="AA85" s="70"/>
      <c r="AB85" s="70">
        <v>0</v>
      </c>
      <c r="AC85" s="70"/>
      <c r="AD85" s="70">
        <v>0</v>
      </c>
      <c r="AE85" s="70"/>
      <c r="AF85" s="70">
        <v>0</v>
      </c>
      <c r="AG85" s="35"/>
      <c r="AH85" s="4">
        <f t="shared" si="2"/>
        <v>2638870.0699999998</v>
      </c>
    </row>
    <row r="86" spans="1:65" s="4" customFormat="1">
      <c r="A86" s="4">
        <v>148</v>
      </c>
      <c r="B86" s="4" t="s">
        <v>567</v>
      </c>
      <c r="D86" s="4" t="s">
        <v>51</v>
      </c>
      <c r="F86" s="70">
        <v>0</v>
      </c>
      <c r="G86" s="70"/>
      <c r="H86" s="70">
        <v>516779.38</v>
      </c>
      <c r="I86" s="70"/>
      <c r="J86" s="70">
        <v>0</v>
      </c>
      <c r="K86" s="70"/>
      <c r="L86" s="70">
        <v>8076.38</v>
      </c>
      <c r="M86" s="70"/>
      <c r="N86" s="70">
        <v>0</v>
      </c>
      <c r="O86" s="70"/>
      <c r="P86" s="70">
        <v>0</v>
      </c>
      <c r="Q86" s="70"/>
      <c r="R86" s="70">
        <v>3212.1</v>
      </c>
      <c r="S86" s="70"/>
      <c r="T86" s="70">
        <v>1505.26</v>
      </c>
      <c r="U86" s="70"/>
      <c r="V86" s="70">
        <v>21551.83</v>
      </c>
      <c r="W86" s="70"/>
      <c r="X86" s="70">
        <v>0</v>
      </c>
      <c r="Y86" s="70"/>
      <c r="Z86" s="70">
        <v>0</v>
      </c>
      <c r="AA86" s="70"/>
      <c r="AB86" s="70">
        <v>0</v>
      </c>
      <c r="AC86" s="70"/>
      <c r="AD86" s="70">
        <v>0</v>
      </c>
      <c r="AE86" s="70"/>
      <c r="AF86" s="70">
        <v>0</v>
      </c>
      <c r="AH86" s="4">
        <f t="shared" si="2"/>
        <v>551124.94999999995</v>
      </c>
    </row>
    <row r="87" spans="1:65" s="4" customFormat="1">
      <c r="N87" s="35"/>
      <c r="P87" s="35"/>
      <c r="R87" s="35"/>
      <c r="X87" s="35"/>
      <c r="Z87" s="35"/>
      <c r="AB87" s="35"/>
      <c r="AD87" s="35"/>
      <c r="AF87" s="3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s="4" customFormat="1">
      <c r="N88" s="35"/>
      <c r="P88" s="35"/>
      <c r="R88" s="35"/>
      <c r="X88" s="35"/>
      <c r="Z88" s="35"/>
      <c r="AB88" s="35"/>
      <c r="AD88" s="35"/>
      <c r="AF88" s="35"/>
      <c r="AH88" s="44" t="s">
        <v>591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>
      <c r="B89" s="3" t="s">
        <v>523</v>
      </c>
    </row>
    <row r="90" spans="1:65">
      <c r="B90" s="3" t="s">
        <v>635</v>
      </c>
    </row>
    <row r="91" spans="1:65">
      <c r="B91" s="41" t="s">
        <v>7</v>
      </c>
    </row>
    <row r="92" spans="1:65" s="36" customFormat="1">
      <c r="H92" s="36" t="s">
        <v>282</v>
      </c>
    </row>
    <row r="93" spans="1:65" s="36" customFormat="1">
      <c r="F93" s="36" t="s">
        <v>31</v>
      </c>
      <c r="H93" s="36" t="s">
        <v>283</v>
      </c>
      <c r="P93" s="36" t="s">
        <v>29</v>
      </c>
      <c r="R93" s="36" t="s">
        <v>289</v>
      </c>
      <c r="X93" s="36" t="s">
        <v>294</v>
      </c>
      <c r="AD93" s="36" t="s">
        <v>0</v>
      </c>
    </row>
    <row r="94" spans="1:65" s="36" customFormat="1" ht="12" customHeight="1">
      <c r="F94" s="36" t="s">
        <v>0</v>
      </c>
      <c r="H94" s="36" t="s">
        <v>284</v>
      </c>
      <c r="J94" s="36" t="s">
        <v>348</v>
      </c>
      <c r="L94" s="36" t="s">
        <v>286</v>
      </c>
      <c r="P94" s="36" t="s">
        <v>288</v>
      </c>
      <c r="R94" s="36" t="s">
        <v>290</v>
      </c>
      <c r="T94" s="36" t="s">
        <v>292</v>
      </c>
      <c r="X94" s="36" t="s">
        <v>295</v>
      </c>
      <c r="AD94" s="36" t="s">
        <v>296</v>
      </c>
      <c r="AF94" s="36" t="s">
        <v>562</v>
      </c>
    </row>
    <row r="95" spans="1:65" s="36" customFormat="1" ht="12" customHeight="1">
      <c r="A95" s="36" t="s">
        <v>578</v>
      </c>
      <c r="B95" s="37" t="s">
        <v>5</v>
      </c>
      <c r="D95" s="37" t="s">
        <v>6</v>
      </c>
      <c r="F95" s="37" t="s">
        <v>281</v>
      </c>
      <c r="H95" s="37" t="s">
        <v>285</v>
      </c>
      <c r="J95" s="37" t="s">
        <v>349</v>
      </c>
      <c r="L95" s="37" t="s">
        <v>287</v>
      </c>
      <c r="N95" s="37" t="s">
        <v>558</v>
      </c>
      <c r="P95" s="37" t="s">
        <v>560</v>
      </c>
      <c r="R95" s="37" t="s">
        <v>291</v>
      </c>
      <c r="T95" s="37" t="s">
        <v>293</v>
      </c>
      <c r="V95" s="37" t="s">
        <v>1</v>
      </c>
      <c r="X95" s="37" t="s">
        <v>32</v>
      </c>
      <c r="Z95" s="37" t="s">
        <v>509</v>
      </c>
      <c r="AB95" s="37" t="s">
        <v>510</v>
      </c>
      <c r="AD95" s="37" t="s">
        <v>297</v>
      </c>
      <c r="AF95" s="37" t="s">
        <v>424</v>
      </c>
      <c r="AH95" s="46" t="s">
        <v>28</v>
      </c>
    </row>
    <row r="96" spans="1:65" s="4" customFormat="1">
      <c r="A96" s="4">
        <v>151.1</v>
      </c>
      <c r="B96" s="38" t="s">
        <v>134</v>
      </c>
      <c r="C96" s="38"/>
      <c r="D96" s="38" t="s">
        <v>51</v>
      </c>
      <c r="E96" s="38"/>
      <c r="F96" s="2">
        <v>0</v>
      </c>
      <c r="G96" s="2"/>
      <c r="H96" s="2">
        <v>329617.71999999997</v>
      </c>
      <c r="I96" s="2"/>
      <c r="J96" s="2">
        <v>0</v>
      </c>
      <c r="K96" s="2"/>
      <c r="L96" s="2">
        <v>17190.55</v>
      </c>
      <c r="M96" s="2"/>
      <c r="N96" s="2">
        <v>0</v>
      </c>
      <c r="O96" s="2"/>
      <c r="P96" s="2">
        <v>0</v>
      </c>
      <c r="Q96" s="2"/>
      <c r="R96" s="2">
        <v>10952.67</v>
      </c>
      <c r="S96" s="2"/>
      <c r="T96" s="2">
        <v>3327.07</v>
      </c>
      <c r="U96" s="2"/>
      <c r="V96" s="2">
        <v>785.53</v>
      </c>
      <c r="W96" s="2"/>
      <c r="X96" s="2">
        <v>0</v>
      </c>
      <c r="Y96" s="2"/>
      <c r="Z96" s="2">
        <v>0</v>
      </c>
      <c r="AA96" s="2"/>
      <c r="AB96" s="2">
        <v>0</v>
      </c>
      <c r="AC96" s="2"/>
      <c r="AD96" s="2">
        <v>0</v>
      </c>
      <c r="AE96" s="2"/>
      <c r="AF96" s="2">
        <v>0</v>
      </c>
      <c r="AG96" s="38"/>
      <c r="AH96" s="7">
        <f>SUM(F96:AF96)</f>
        <v>361873.54</v>
      </c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s="4" customFormat="1">
      <c r="A97" s="4">
        <v>86</v>
      </c>
      <c r="B97" s="4" t="s">
        <v>429</v>
      </c>
      <c r="D97" s="4" t="s">
        <v>20</v>
      </c>
      <c r="F97" s="1">
        <f>931960</f>
        <v>931960</v>
      </c>
      <c r="G97" s="1">
        <v>0</v>
      </c>
      <c r="H97" s="1">
        <v>818576</v>
      </c>
      <c r="I97" s="1">
        <v>0</v>
      </c>
      <c r="J97" s="1">
        <v>143693</v>
      </c>
      <c r="K97" s="1">
        <v>0</v>
      </c>
      <c r="L97" s="1">
        <v>67099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3237</v>
      </c>
      <c r="S97" s="1">
        <v>0</v>
      </c>
      <c r="T97" s="1">
        <v>8918</v>
      </c>
      <c r="U97" s="1">
        <v>0</v>
      </c>
      <c r="V97" s="1">
        <v>5184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H97" s="4">
        <f t="shared" ref="AH97:AH161" si="3">SUM(F97:AF97)</f>
        <v>1978667</v>
      </c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s="4" customFormat="1">
      <c r="A98" s="4">
        <v>87</v>
      </c>
      <c r="B98" s="4" t="s">
        <v>135</v>
      </c>
      <c r="D98" s="4" t="s">
        <v>57</v>
      </c>
      <c r="F98" s="1">
        <v>1593564</v>
      </c>
      <c r="G98" s="1">
        <v>0</v>
      </c>
      <c r="H98" s="1">
        <v>1895631</v>
      </c>
      <c r="I98" s="1">
        <v>0</v>
      </c>
      <c r="J98" s="1">
        <v>338375</v>
      </c>
      <c r="K98" s="1">
        <v>0</v>
      </c>
      <c r="L98" s="1">
        <v>94552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25814</v>
      </c>
      <c r="S98" s="1">
        <v>0</v>
      </c>
      <c r="T98" s="1">
        <v>4951</v>
      </c>
      <c r="U98" s="1">
        <v>0</v>
      </c>
      <c r="V98" s="1">
        <v>5317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H98" s="4">
        <f t="shared" si="3"/>
        <v>3958204</v>
      </c>
    </row>
    <row r="99" spans="1:65" s="4" customFormat="1">
      <c r="A99" s="4">
        <v>13</v>
      </c>
      <c r="B99" s="4" t="s">
        <v>18</v>
      </c>
      <c r="D99" s="4" t="s">
        <v>19</v>
      </c>
      <c r="F99" s="1">
        <v>2328438</v>
      </c>
      <c r="G99" s="1">
        <v>0</v>
      </c>
      <c r="H99" s="1">
        <v>0</v>
      </c>
      <c r="I99" s="1">
        <v>0</v>
      </c>
      <c r="J99" s="1">
        <v>2228528</v>
      </c>
      <c r="K99" s="1">
        <v>0</v>
      </c>
      <c r="L99" s="1">
        <v>112491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680</v>
      </c>
      <c r="S99" s="1">
        <v>0</v>
      </c>
      <c r="T99" s="1">
        <v>67198</v>
      </c>
      <c r="U99" s="1">
        <v>0</v>
      </c>
      <c r="V99" s="1">
        <v>29221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H99" s="4">
        <f t="shared" si="3"/>
        <v>4766556</v>
      </c>
    </row>
    <row r="100" spans="1:65" s="4" customFormat="1">
      <c r="A100" s="4">
        <v>83</v>
      </c>
      <c r="B100" s="35" t="s">
        <v>136</v>
      </c>
      <c r="C100" s="35"/>
      <c r="D100" s="35" t="s">
        <v>42</v>
      </c>
      <c r="E100" s="35"/>
      <c r="F100" s="1">
        <v>0</v>
      </c>
      <c r="G100" s="1"/>
      <c r="H100" s="1">
        <v>229938.88</v>
      </c>
      <c r="I100" s="1"/>
      <c r="J100" s="1">
        <v>0</v>
      </c>
      <c r="K100" s="1"/>
      <c r="L100" s="1">
        <v>6511.81</v>
      </c>
      <c r="M100" s="1"/>
      <c r="N100" s="1">
        <v>0</v>
      </c>
      <c r="O100" s="1"/>
      <c r="P100" s="1">
        <v>0</v>
      </c>
      <c r="Q100" s="1"/>
      <c r="R100" s="1">
        <v>8165</v>
      </c>
      <c r="S100" s="1"/>
      <c r="T100" s="1">
        <v>570.55999999999995</v>
      </c>
      <c r="U100" s="1"/>
      <c r="V100" s="1">
        <v>10326.549999999999</v>
      </c>
      <c r="W100" s="1"/>
      <c r="X100" s="1">
        <v>0</v>
      </c>
      <c r="Y100" s="1"/>
      <c r="Z100" s="1">
        <v>0</v>
      </c>
      <c r="AA100" s="1"/>
      <c r="AB100" s="1">
        <v>0</v>
      </c>
      <c r="AC100" s="1"/>
      <c r="AD100" s="1">
        <v>0</v>
      </c>
      <c r="AE100" s="1"/>
      <c r="AF100" s="1">
        <v>0</v>
      </c>
      <c r="AG100" s="35"/>
      <c r="AH100" s="4">
        <f t="shared" si="3"/>
        <v>255512.8</v>
      </c>
    </row>
    <row r="101" spans="1:65" s="4" customFormat="1">
      <c r="B101" s="35" t="s">
        <v>637</v>
      </c>
      <c r="C101" s="35"/>
      <c r="D101" s="35" t="s">
        <v>89</v>
      </c>
      <c r="E101" s="35"/>
      <c r="F101" s="1">
        <v>3000</v>
      </c>
      <c r="G101" s="1">
        <v>0</v>
      </c>
      <c r="H101" s="1">
        <v>599630</v>
      </c>
      <c r="I101" s="1">
        <v>0</v>
      </c>
      <c r="J101" s="1">
        <v>0</v>
      </c>
      <c r="K101" s="1">
        <v>0</v>
      </c>
      <c r="L101" s="1">
        <v>30982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23996</v>
      </c>
      <c r="S101" s="1">
        <v>0</v>
      </c>
      <c r="T101" s="1">
        <v>1178</v>
      </c>
      <c r="U101" s="1">
        <v>0</v>
      </c>
      <c r="V101" s="1">
        <v>2788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35"/>
      <c r="AH101" s="4">
        <f t="shared" si="3"/>
        <v>661574</v>
      </c>
    </row>
    <row r="102" spans="1:65" s="4" customFormat="1">
      <c r="A102" s="4">
        <v>231</v>
      </c>
      <c r="B102" s="4" t="s">
        <v>437</v>
      </c>
      <c r="D102" s="4" t="s">
        <v>67</v>
      </c>
      <c r="F102" s="1">
        <v>932336</v>
      </c>
      <c r="G102" s="1">
        <v>0</v>
      </c>
      <c r="H102" s="1">
        <v>2169425</v>
      </c>
      <c r="I102" s="1">
        <v>0</v>
      </c>
      <c r="J102" s="1">
        <v>11269</v>
      </c>
      <c r="K102" s="1">
        <v>0</v>
      </c>
      <c r="L102" s="1">
        <v>124838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1669</v>
      </c>
      <c r="U102" s="1">
        <v>0</v>
      </c>
      <c r="V102" s="1">
        <v>29860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H102" s="4">
        <f t="shared" si="3"/>
        <v>3269397</v>
      </c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s="4" customFormat="1">
      <c r="A103" s="4">
        <v>40</v>
      </c>
      <c r="B103" s="7" t="s">
        <v>137</v>
      </c>
      <c r="C103" s="7"/>
      <c r="D103" s="7" t="s">
        <v>15</v>
      </c>
      <c r="E103" s="7"/>
      <c r="F103" s="1">
        <v>123153</v>
      </c>
      <c r="G103" s="1">
        <v>0</v>
      </c>
      <c r="H103" s="1">
        <v>217366</v>
      </c>
      <c r="I103" s="1">
        <v>0</v>
      </c>
      <c r="J103" s="1">
        <v>0</v>
      </c>
      <c r="K103" s="1">
        <v>0</v>
      </c>
      <c r="L103" s="1">
        <v>1166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1644</v>
      </c>
      <c r="S103" s="1">
        <v>0</v>
      </c>
      <c r="T103" s="1">
        <v>2678</v>
      </c>
      <c r="U103" s="1">
        <v>0</v>
      </c>
      <c r="V103" s="1">
        <v>5046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H103" s="4">
        <f t="shared" si="3"/>
        <v>351053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s="4" customFormat="1">
      <c r="A104" s="4">
        <v>179</v>
      </c>
      <c r="B104" s="4" t="s">
        <v>597</v>
      </c>
      <c r="D104" s="4" t="s">
        <v>139</v>
      </c>
      <c r="F104" s="1">
        <v>0</v>
      </c>
      <c r="G104" s="1"/>
      <c r="H104" s="1">
        <v>1909526.17</v>
      </c>
      <c r="I104" s="1"/>
      <c r="J104" s="1">
        <v>6800</v>
      </c>
      <c r="K104" s="1"/>
      <c r="L104" s="1">
        <v>72195.25</v>
      </c>
      <c r="M104" s="1"/>
      <c r="N104" s="1">
        <v>0</v>
      </c>
      <c r="O104" s="1"/>
      <c r="P104" s="1">
        <v>0</v>
      </c>
      <c r="Q104" s="1"/>
      <c r="R104" s="1">
        <v>12053.29</v>
      </c>
      <c r="S104" s="1"/>
      <c r="T104" s="1">
        <v>13620.99</v>
      </c>
      <c r="U104" s="1"/>
      <c r="V104" s="1">
        <v>212953.12</v>
      </c>
      <c r="W104" s="1"/>
      <c r="X104" s="1">
        <v>0</v>
      </c>
      <c r="Y104" s="1"/>
      <c r="Z104" s="1">
        <v>5285</v>
      </c>
      <c r="AA104" s="1"/>
      <c r="AB104" s="1">
        <v>0</v>
      </c>
      <c r="AC104" s="1"/>
      <c r="AD104" s="1">
        <v>0</v>
      </c>
      <c r="AE104" s="1"/>
      <c r="AF104" s="1">
        <v>0</v>
      </c>
      <c r="AH104" s="4">
        <f t="shared" si="3"/>
        <v>2232433.8199999998</v>
      </c>
    </row>
    <row r="105" spans="1:65" s="4" customFormat="1" hidden="1">
      <c r="A105" s="4">
        <v>179</v>
      </c>
      <c r="B105" s="4" t="s">
        <v>365</v>
      </c>
      <c r="D105" s="4" t="s">
        <v>53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H105" s="4">
        <f t="shared" si="3"/>
        <v>0</v>
      </c>
    </row>
    <row r="106" spans="1:65" s="4" customFormat="1">
      <c r="A106" s="4">
        <v>165</v>
      </c>
      <c r="B106" s="4" t="s">
        <v>140</v>
      </c>
      <c r="D106" s="4" t="s">
        <v>61</v>
      </c>
      <c r="F106" s="1">
        <v>0</v>
      </c>
      <c r="G106" s="1"/>
      <c r="H106" s="1">
        <v>84542.73</v>
      </c>
      <c r="I106" s="1"/>
      <c r="J106" s="1">
        <v>3800</v>
      </c>
      <c r="K106" s="1"/>
      <c r="L106" s="1">
        <v>2422.6999999999998</v>
      </c>
      <c r="M106" s="1"/>
      <c r="N106" s="1">
        <v>0</v>
      </c>
      <c r="O106" s="1"/>
      <c r="P106" s="1">
        <v>0</v>
      </c>
      <c r="Q106" s="1"/>
      <c r="R106" s="1">
        <v>12335.66</v>
      </c>
      <c r="S106" s="1"/>
      <c r="T106" s="1">
        <v>60.41</v>
      </c>
      <c r="U106" s="1"/>
      <c r="V106" s="1">
        <v>1135</v>
      </c>
      <c r="W106" s="1"/>
      <c r="X106" s="1">
        <v>0</v>
      </c>
      <c r="Y106" s="1"/>
      <c r="Z106" s="1">
        <v>0</v>
      </c>
      <c r="AA106" s="1"/>
      <c r="AB106" s="1">
        <v>0</v>
      </c>
      <c r="AC106" s="1"/>
      <c r="AD106" s="1">
        <v>0</v>
      </c>
      <c r="AE106" s="1"/>
      <c r="AF106" s="1">
        <v>0</v>
      </c>
      <c r="AH106" s="4">
        <f t="shared" si="3"/>
        <v>104296.5</v>
      </c>
    </row>
    <row r="107" spans="1:65" s="4" customFormat="1">
      <c r="A107" s="4">
        <v>44</v>
      </c>
      <c r="B107" s="4" t="s">
        <v>141</v>
      </c>
      <c r="D107" s="4" t="s">
        <v>50</v>
      </c>
      <c r="F107" s="1">
        <v>0</v>
      </c>
      <c r="G107" s="1">
        <v>0</v>
      </c>
      <c r="H107" s="1">
        <v>88735</v>
      </c>
      <c r="I107" s="1">
        <v>0</v>
      </c>
      <c r="J107" s="1">
        <v>0</v>
      </c>
      <c r="K107" s="1">
        <v>0</v>
      </c>
      <c r="L107" s="1">
        <v>3569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7065</v>
      </c>
      <c r="S107" s="1">
        <v>0</v>
      </c>
      <c r="T107" s="1">
        <v>338</v>
      </c>
      <c r="U107" s="1">
        <v>0</v>
      </c>
      <c r="V107" s="1">
        <v>1166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H107" s="4">
        <f t="shared" si="3"/>
        <v>100873</v>
      </c>
    </row>
    <row r="108" spans="1:65" s="7" customFormat="1">
      <c r="A108" s="4">
        <v>223</v>
      </c>
      <c r="B108" s="4" t="s">
        <v>142</v>
      </c>
      <c r="C108" s="4"/>
      <c r="D108" s="4" t="s">
        <v>54</v>
      </c>
      <c r="E108" s="4"/>
      <c r="F108" s="1">
        <v>1000327.5</v>
      </c>
      <c r="G108" s="1"/>
      <c r="H108" s="1">
        <v>968716.52</v>
      </c>
      <c r="I108" s="1"/>
      <c r="J108" s="1">
        <v>136400.34</v>
      </c>
      <c r="K108" s="1"/>
      <c r="L108" s="1">
        <v>42422.13</v>
      </c>
      <c r="M108" s="1"/>
      <c r="N108" s="1">
        <v>0</v>
      </c>
      <c r="O108" s="1"/>
      <c r="P108" s="1">
        <v>0</v>
      </c>
      <c r="Q108" s="1"/>
      <c r="R108" s="1">
        <v>12449.32</v>
      </c>
      <c r="S108" s="1"/>
      <c r="T108" s="1">
        <v>652.48</v>
      </c>
      <c r="U108" s="1"/>
      <c r="V108" s="1">
        <v>189.22</v>
      </c>
      <c r="W108" s="1"/>
      <c r="X108" s="1">
        <v>0</v>
      </c>
      <c r="Y108" s="1"/>
      <c r="Z108" s="1">
        <v>0</v>
      </c>
      <c r="AA108" s="1"/>
      <c r="AB108" s="1">
        <v>0</v>
      </c>
      <c r="AC108" s="1"/>
      <c r="AD108" s="1">
        <v>0</v>
      </c>
      <c r="AE108" s="1"/>
      <c r="AF108" s="1">
        <v>0</v>
      </c>
      <c r="AG108" s="4"/>
      <c r="AH108" s="4">
        <f t="shared" si="3"/>
        <v>2161157.5099999998</v>
      </c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</row>
    <row r="109" spans="1:65" s="4" customFormat="1">
      <c r="A109" s="4">
        <v>35</v>
      </c>
      <c r="B109" s="35" t="s">
        <v>143</v>
      </c>
      <c r="C109" s="35"/>
      <c r="D109" s="35" t="s">
        <v>52</v>
      </c>
      <c r="E109" s="35"/>
      <c r="F109" s="1">
        <v>0</v>
      </c>
      <c r="G109" s="1"/>
      <c r="H109" s="1">
        <v>486105.71</v>
      </c>
      <c r="I109" s="1"/>
      <c r="J109" s="1">
        <v>0</v>
      </c>
      <c r="K109" s="1"/>
      <c r="L109" s="1">
        <v>25307.57</v>
      </c>
      <c r="M109" s="1"/>
      <c r="N109" s="1">
        <v>0</v>
      </c>
      <c r="O109" s="1"/>
      <c r="P109" s="1">
        <v>35</v>
      </c>
      <c r="Q109" s="1"/>
      <c r="R109" s="1">
        <v>8033.94</v>
      </c>
      <c r="S109" s="1"/>
      <c r="T109" s="1">
        <v>27038.34</v>
      </c>
      <c r="U109" s="1"/>
      <c r="V109" s="1">
        <v>3389.05</v>
      </c>
      <c r="W109" s="1"/>
      <c r="X109" s="1">
        <v>0</v>
      </c>
      <c r="Y109" s="1"/>
      <c r="Z109" s="1">
        <v>0</v>
      </c>
      <c r="AA109" s="1"/>
      <c r="AB109" s="1">
        <v>0</v>
      </c>
      <c r="AC109" s="1"/>
      <c r="AD109" s="1">
        <v>0</v>
      </c>
      <c r="AE109" s="1"/>
      <c r="AF109" s="1">
        <v>0</v>
      </c>
      <c r="AG109" s="35"/>
      <c r="AH109" s="4">
        <f t="shared" si="3"/>
        <v>549909.6100000001</v>
      </c>
    </row>
    <row r="110" spans="1:65" s="4" customFormat="1">
      <c r="A110" s="4">
        <v>219</v>
      </c>
      <c r="B110" s="4" t="s">
        <v>303</v>
      </c>
      <c r="D110" s="4" t="s">
        <v>145</v>
      </c>
      <c r="F110" s="1">
        <v>351901</v>
      </c>
      <c r="G110" s="1">
        <v>0</v>
      </c>
      <c r="H110" s="1">
        <v>735947</v>
      </c>
      <c r="I110" s="1">
        <v>0</v>
      </c>
      <c r="J110" s="1">
        <v>0</v>
      </c>
      <c r="K110" s="1">
        <v>0</v>
      </c>
      <c r="L110" s="1">
        <v>28263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53927</v>
      </c>
      <c r="S110" s="1">
        <v>0</v>
      </c>
      <c r="T110" s="1">
        <v>2496</v>
      </c>
      <c r="U110" s="1">
        <v>0</v>
      </c>
      <c r="V110" s="1">
        <v>29020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H110" s="4">
        <f t="shared" si="3"/>
        <v>1201554</v>
      </c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s="4" customFormat="1">
      <c r="A111" s="4">
        <v>119</v>
      </c>
      <c r="B111" s="4" t="s">
        <v>146</v>
      </c>
      <c r="D111" s="4" t="s">
        <v>17</v>
      </c>
      <c r="F111" s="1">
        <v>2499268</v>
      </c>
      <c r="G111" s="1">
        <v>0</v>
      </c>
      <c r="H111" s="1">
        <v>2515844</v>
      </c>
      <c r="I111" s="1">
        <v>0</v>
      </c>
      <c r="J111" s="1">
        <v>503438</v>
      </c>
      <c r="K111" s="1">
        <v>0</v>
      </c>
      <c r="L111" s="1">
        <v>180624</v>
      </c>
      <c r="M111" s="1">
        <v>0</v>
      </c>
      <c r="N111" s="1">
        <v>0</v>
      </c>
      <c r="O111" s="1">
        <v>0</v>
      </c>
      <c r="P111" s="1">
        <v>2038</v>
      </c>
      <c r="Q111" s="1">
        <v>0</v>
      </c>
      <c r="R111" s="1">
        <v>23562</v>
      </c>
      <c r="S111" s="1">
        <v>0</v>
      </c>
      <c r="T111" s="1">
        <v>17860</v>
      </c>
      <c r="U111" s="1">
        <v>0</v>
      </c>
      <c r="V111" s="1">
        <v>18088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H111" s="4">
        <f t="shared" si="3"/>
        <v>5760722</v>
      </c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s="4" customFormat="1">
      <c r="A112" s="4">
        <v>181</v>
      </c>
      <c r="B112" s="35" t="s">
        <v>147</v>
      </c>
      <c r="C112" s="35"/>
      <c r="D112" s="35" t="s">
        <v>55</v>
      </c>
      <c r="E112" s="35"/>
      <c r="F112" s="1">
        <v>0</v>
      </c>
      <c r="G112" s="1"/>
      <c r="H112" s="1">
        <v>558226.59</v>
      </c>
      <c r="I112" s="1"/>
      <c r="J112" s="1">
        <v>0</v>
      </c>
      <c r="K112" s="1"/>
      <c r="L112" s="1">
        <v>16417.330000000002</v>
      </c>
      <c r="M112" s="1"/>
      <c r="N112" s="1">
        <v>0</v>
      </c>
      <c r="O112" s="1"/>
      <c r="P112" s="1">
        <v>0</v>
      </c>
      <c r="Q112" s="1"/>
      <c r="R112" s="1">
        <v>3350</v>
      </c>
      <c r="S112" s="1"/>
      <c r="T112" s="1">
        <v>8566.59</v>
      </c>
      <c r="U112" s="1"/>
      <c r="V112" s="1">
        <v>791.43</v>
      </c>
      <c r="W112" s="1"/>
      <c r="X112" s="1">
        <v>0</v>
      </c>
      <c r="Y112" s="1"/>
      <c r="Z112" s="1">
        <v>0</v>
      </c>
      <c r="AA112" s="1"/>
      <c r="AB112" s="1">
        <v>0</v>
      </c>
      <c r="AC112" s="1"/>
      <c r="AD112" s="1">
        <v>0</v>
      </c>
      <c r="AE112" s="1"/>
      <c r="AF112" s="1">
        <v>0</v>
      </c>
      <c r="AG112" s="35"/>
      <c r="AH112" s="4">
        <f t="shared" si="3"/>
        <v>587351.93999999994</v>
      </c>
    </row>
    <row r="113" spans="1:65" s="4" customFormat="1">
      <c r="A113" s="4">
        <v>115</v>
      </c>
      <c r="B113" s="4" t="s">
        <v>34</v>
      </c>
      <c r="D113" s="4" t="s">
        <v>56</v>
      </c>
      <c r="F113" s="1">
        <v>0</v>
      </c>
      <c r="G113" s="1"/>
      <c r="H113" s="1">
        <v>0</v>
      </c>
      <c r="I113" s="1"/>
      <c r="J113" s="1">
        <v>631385.97</v>
      </c>
      <c r="K113" s="1"/>
      <c r="L113" s="1">
        <v>8760.66</v>
      </c>
      <c r="M113" s="1"/>
      <c r="N113" s="1">
        <v>0</v>
      </c>
      <c r="O113" s="1"/>
      <c r="P113" s="1">
        <v>0</v>
      </c>
      <c r="Q113" s="1"/>
      <c r="R113" s="1">
        <v>14205.77</v>
      </c>
      <c r="S113" s="1"/>
      <c r="T113" s="1">
        <v>9447.58</v>
      </c>
      <c r="U113" s="1"/>
      <c r="V113" s="1">
        <v>10753.82</v>
      </c>
      <c r="W113" s="1"/>
      <c r="X113" s="1">
        <v>0</v>
      </c>
      <c r="Y113" s="1"/>
      <c r="Z113" s="1">
        <v>0</v>
      </c>
      <c r="AA113" s="1"/>
      <c r="AB113" s="1">
        <v>0</v>
      </c>
      <c r="AC113" s="1"/>
      <c r="AD113" s="1">
        <v>0</v>
      </c>
      <c r="AE113" s="1"/>
      <c r="AF113" s="1">
        <v>0</v>
      </c>
      <c r="AH113" s="4">
        <f t="shared" si="3"/>
        <v>674553.79999999993</v>
      </c>
    </row>
    <row r="114" spans="1:65" s="4" customFormat="1">
      <c r="A114" s="4">
        <v>115</v>
      </c>
      <c r="B114" s="4" t="s">
        <v>35</v>
      </c>
      <c r="D114" s="4" t="s">
        <v>26</v>
      </c>
      <c r="F114" s="1">
        <v>0</v>
      </c>
      <c r="G114" s="1"/>
      <c r="H114" s="1">
        <v>99099.98</v>
      </c>
      <c r="I114" s="1"/>
      <c r="J114" s="1">
        <v>0</v>
      </c>
      <c r="K114" s="1"/>
      <c r="L114" s="1">
        <v>4066.8</v>
      </c>
      <c r="M114" s="1"/>
      <c r="N114" s="1">
        <v>0</v>
      </c>
      <c r="O114" s="1"/>
      <c r="P114" s="1">
        <v>0</v>
      </c>
      <c r="Q114" s="1"/>
      <c r="R114" s="1">
        <v>5091.58</v>
      </c>
      <c r="S114" s="1"/>
      <c r="T114" s="1">
        <v>119.65</v>
      </c>
      <c r="U114" s="1"/>
      <c r="V114" s="1">
        <v>2815.83</v>
      </c>
      <c r="W114" s="1"/>
      <c r="X114" s="1">
        <v>0</v>
      </c>
      <c r="Y114" s="1"/>
      <c r="Z114" s="1">
        <v>0</v>
      </c>
      <c r="AA114" s="1"/>
      <c r="AB114" s="1">
        <v>0</v>
      </c>
      <c r="AC114" s="1"/>
      <c r="AD114" s="1">
        <v>0</v>
      </c>
      <c r="AE114" s="1"/>
      <c r="AF114" s="1">
        <v>0</v>
      </c>
      <c r="AH114" s="4">
        <f t="shared" si="3"/>
        <v>111193.84</v>
      </c>
    </row>
    <row r="115" spans="1:65" s="4" customFormat="1">
      <c r="A115" s="4">
        <v>19</v>
      </c>
      <c r="B115" s="4" t="s">
        <v>148</v>
      </c>
      <c r="D115" s="4" t="s">
        <v>57</v>
      </c>
      <c r="F115" s="1">
        <v>0</v>
      </c>
      <c r="G115" s="1"/>
      <c r="H115" s="1">
        <v>483519.4</v>
      </c>
      <c r="I115" s="1"/>
      <c r="J115" s="1">
        <v>0</v>
      </c>
      <c r="K115" s="1"/>
      <c r="L115" s="1">
        <v>13821.38</v>
      </c>
      <c r="M115" s="1"/>
      <c r="N115" s="1">
        <v>0</v>
      </c>
      <c r="O115" s="1"/>
      <c r="P115" s="1">
        <v>0</v>
      </c>
      <c r="Q115" s="1"/>
      <c r="R115" s="1">
        <v>5010.4399999999996</v>
      </c>
      <c r="S115" s="1"/>
      <c r="T115" s="1">
        <v>75.98</v>
      </c>
      <c r="U115" s="1"/>
      <c r="V115" s="1">
        <v>1767.09</v>
      </c>
      <c r="W115" s="1"/>
      <c r="X115" s="1">
        <v>0</v>
      </c>
      <c r="Y115" s="1"/>
      <c r="Z115" s="1">
        <v>0</v>
      </c>
      <c r="AA115" s="1"/>
      <c r="AB115" s="1">
        <v>0</v>
      </c>
      <c r="AC115" s="1"/>
      <c r="AD115" s="1">
        <v>0</v>
      </c>
      <c r="AE115" s="1"/>
      <c r="AF115" s="1">
        <v>0</v>
      </c>
      <c r="AH115" s="4">
        <f t="shared" si="3"/>
        <v>504194.29000000004</v>
      </c>
    </row>
    <row r="116" spans="1:65" s="4" customFormat="1">
      <c r="A116" s="4">
        <v>22</v>
      </c>
      <c r="B116" s="35" t="s">
        <v>304</v>
      </c>
      <c r="C116" s="35"/>
      <c r="D116" s="35" t="s">
        <v>43</v>
      </c>
      <c r="E116" s="35"/>
      <c r="F116" s="1">
        <v>0</v>
      </c>
      <c r="G116" s="1"/>
      <c r="H116" s="1">
        <v>140283.43</v>
      </c>
      <c r="I116" s="1"/>
      <c r="J116" s="1">
        <v>10404.620000000001</v>
      </c>
      <c r="K116" s="1"/>
      <c r="L116" s="1">
        <v>12101.84</v>
      </c>
      <c r="M116" s="1"/>
      <c r="N116" s="1">
        <v>0</v>
      </c>
      <c r="O116" s="1"/>
      <c r="P116" s="1">
        <v>0</v>
      </c>
      <c r="Q116" s="1"/>
      <c r="R116" s="1">
        <v>7801.23</v>
      </c>
      <c r="S116" s="1"/>
      <c r="T116" s="1">
        <v>5337.72</v>
      </c>
      <c r="U116" s="1"/>
      <c r="V116" s="1">
        <v>1422.62</v>
      </c>
      <c r="W116" s="1"/>
      <c r="X116" s="1">
        <v>0</v>
      </c>
      <c r="Y116" s="1"/>
      <c r="Z116" s="1">
        <v>0</v>
      </c>
      <c r="AA116" s="1"/>
      <c r="AB116" s="1">
        <v>0</v>
      </c>
      <c r="AC116" s="1"/>
      <c r="AD116" s="1">
        <v>0</v>
      </c>
      <c r="AE116" s="1"/>
      <c r="AF116" s="1">
        <v>0</v>
      </c>
      <c r="AG116" s="35"/>
      <c r="AH116" s="4">
        <f t="shared" si="3"/>
        <v>177351.46</v>
      </c>
    </row>
    <row r="117" spans="1:65" s="4" customFormat="1">
      <c r="A117" s="4">
        <v>226</v>
      </c>
      <c r="B117" s="4" t="s">
        <v>149</v>
      </c>
      <c r="D117" s="4" t="s">
        <v>92</v>
      </c>
      <c r="F117" s="1">
        <v>801846</v>
      </c>
      <c r="G117" s="1">
        <v>0</v>
      </c>
      <c r="H117" s="1">
        <v>1320926</v>
      </c>
      <c r="I117" s="1">
        <v>0</v>
      </c>
      <c r="J117" s="1">
        <v>197150</v>
      </c>
      <c r="K117" s="1">
        <v>0</v>
      </c>
      <c r="L117" s="1">
        <v>104333</v>
      </c>
      <c r="M117" s="1">
        <v>0</v>
      </c>
      <c r="N117" s="1">
        <v>0</v>
      </c>
      <c r="O117" s="1">
        <v>0</v>
      </c>
      <c r="P117" s="1">
        <v>8142</v>
      </c>
      <c r="Q117" s="1">
        <v>0</v>
      </c>
      <c r="R117" s="1">
        <v>29283</v>
      </c>
      <c r="S117" s="1">
        <v>0</v>
      </c>
      <c r="T117" s="1">
        <v>1549</v>
      </c>
      <c r="U117" s="1">
        <v>0</v>
      </c>
      <c r="V117" s="1">
        <f>13883+5181</f>
        <v>19064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H117" s="4">
        <f t="shared" si="3"/>
        <v>2482293</v>
      </c>
    </row>
    <row r="118" spans="1:65" s="4" customFormat="1" hidden="1">
      <c r="A118" s="4">
        <v>12</v>
      </c>
      <c r="B118" s="4" t="s">
        <v>150</v>
      </c>
      <c r="D118" s="4" t="s">
        <v>41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H118" s="4">
        <f t="shared" si="3"/>
        <v>0</v>
      </c>
    </row>
    <row r="119" spans="1:65" s="4" customFormat="1">
      <c r="A119" s="4">
        <v>24</v>
      </c>
      <c r="B119" s="4" t="s">
        <v>598</v>
      </c>
      <c r="D119" s="4" t="s">
        <v>152</v>
      </c>
      <c r="F119" s="1">
        <v>3439914</v>
      </c>
      <c r="G119" s="1">
        <v>0</v>
      </c>
      <c r="H119" s="1">
        <v>0</v>
      </c>
      <c r="I119" s="1">
        <v>0</v>
      </c>
      <c r="J119" s="1">
        <v>4083354</v>
      </c>
      <c r="K119" s="1">
        <v>0</v>
      </c>
      <c r="L119" s="1">
        <v>191570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5194</v>
      </c>
      <c r="S119" s="1">
        <v>0</v>
      </c>
      <c r="T119" s="1">
        <v>83065</v>
      </c>
      <c r="U119" s="1">
        <v>0</v>
      </c>
      <c r="V119" s="1">
        <f>54086+2</f>
        <v>54088</v>
      </c>
      <c r="W119" s="1">
        <v>0</v>
      </c>
      <c r="X119" s="1">
        <v>0</v>
      </c>
      <c r="Y119" s="1">
        <v>0</v>
      </c>
      <c r="Z119" s="1">
        <v>1000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H119" s="4">
        <f t="shared" si="3"/>
        <v>7858185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s="4" customFormat="1">
      <c r="A120" s="4">
        <v>18</v>
      </c>
      <c r="B120" s="4" t="s">
        <v>153</v>
      </c>
      <c r="D120" s="4" t="s">
        <v>81</v>
      </c>
      <c r="F120" s="1">
        <v>0</v>
      </c>
      <c r="G120" s="1"/>
      <c r="H120" s="1">
        <v>724752.66</v>
      </c>
      <c r="I120" s="1"/>
      <c r="J120" s="1">
        <v>0</v>
      </c>
      <c r="K120" s="1"/>
      <c r="L120" s="1">
        <v>14967.11</v>
      </c>
      <c r="M120" s="1"/>
      <c r="N120" s="1">
        <v>0</v>
      </c>
      <c r="O120" s="1"/>
      <c r="P120" s="1">
        <v>0</v>
      </c>
      <c r="Q120" s="1"/>
      <c r="R120" s="1">
        <v>112802.23</v>
      </c>
      <c r="S120" s="1"/>
      <c r="T120" s="1">
        <v>1113</v>
      </c>
      <c r="U120" s="1"/>
      <c r="V120" s="1">
        <v>4644.8900000000003</v>
      </c>
      <c r="W120" s="1"/>
      <c r="X120" s="1">
        <v>150</v>
      </c>
      <c r="Y120" s="1"/>
      <c r="Z120" s="1">
        <v>0</v>
      </c>
      <c r="AA120" s="1"/>
      <c r="AB120" s="1">
        <v>0</v>
      </c>
      <c r="AC120" s="1"/>
      <c r="AD120" s="1">
        <v>0</v>
      </c>
      <c r="AE120" s="1"/>
      <c r="AF120" s="1">
        <v>0</v>
      </c>
      <c r="AH120" s="4">
        <f t="shared" si="3"/>
        <v>858429.89</v>
      </c>
    </row>
    <row r="121" spans="1:65" s="4" customFormat="1">
      <c r="A121" s="4">
        <v>20</v>
      </c>
      <c r="B121" s="4" t="s">
        <v>599</v>
      </c>
      <c r="D121" s="4" t="s">
        <v>154</v>
      </c>
      <c r="F121" s="1">
        <v>0</v>
      </c>
      <c r="G121" s="1">
        <v>0</v>
      </c>
      <c r="H121" s="1">
        <v>1128756</v>
      </c>
      <c r="I121" s="1">
        <v>0</v>
      </c>
      <c r="J121" s="1">
        <v>0</v>
      </c>
      <c r="K121" s="1">
        <v>0</v>
      </c>
      <c r="L121" s="1">
        <v>39939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6858</v>
      </c>
      <c r="S121" s="1">
        <v>0</v>
      </c>
      <c r="T121" s="1">
        <v>33727</v>
      </c>
      <c r="U121" s="1">
        <v>0</v>
      </c>
      <c r="V121" s="1">
        <v>4502</v>
      </c>
      <c r="W121" s="1">
        <v>0</v>
      </c>
      <c r="X121" s="1">
        <v>3607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H121" s="4">
        <f t="shared" si="3"/>
        <v>1217389</v>
      </c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1:65" s="4" customFormat="1">
      <c r="A122" s="4">
        <v>102</v>
      </c>
      <c r="B122" s="35" t="s">
        <v>155</v>
      </c>
      <c r="C122" s="35"/>
      <c r="D122" s="35" t="s">
        <v>43</v>
      </c>
      <c r="E122" s="35"/>
      <c r="F122" s="1">
        <v>243534.85</v>
      </c>
      <c r="G122" s="1"/>
      <c r="H122" s="1">
        <v>313676.92</v>
      </c>
      <c r="I122" s="1"/>
      <c r="J122" s="1">
        <v>46162.96</v>
      </c>
      <c r="K122" s="1"/>
      <c r="L122" s="1">
        <v>9811.99</v>
      </c>
      <c r="M122" s="1"/>
      <c r="N122" s="1">
        <v>0</v>
      </c>
      <c r="O122" s="1"/>
      <c r="P122" s="1">
        <v>0</v>
      </c>
      <c r="Q122" s="1"/>
      <c r="R122" s="1">
        <v>555</v>
      </c>
      <c r="S122" s="1"/>
      <c r="T122" s="1">
        <v>275.83</v>
      </c>
      <c r="U122" s="1"/>
      <c r="V122" s="1">
        <v>595.02</v>
      </c>
      <c r="W122" s="1"/>
      <c r="X122" s="1">
        <v>0</v>
      </c>
      <c r="Y122" s="1"/>
      <c r="Z122" s="1">
        <v>0</v>
      </c>
      <c r="AA122" s="1"/>
      <c r="AB122" s="1">
        <v>0</v>
      </c>
      <c r="AC122" s="1"/>
      <c r="AD122" s="1">
        <v>0</v>
      </c>
      <c r="AE122" s="1"/>
      <c r="AF122" s="1">
        <v>0</v>
      </c>
      <c r="AG122" s="35"/>
      <c r="AH122" s="4">
        <f t="shared" si="3"/>
        <v>614612.56999999995</v>
      </c>
    </row>
    <row r="123" spans="1:65" s="4" customFormat="1">
      <c r="A123" s="4">
        <v>4</v>
      </c>
      <c r="B123" s="4" t="s">
        <v>156</v>
      </c>
      <c r="D123" s="4" t="s">
        <v>61</v>
      </c>
      <c r="F123" s="1">
        <v>0</v>
      </c>
      <c r="G123" s="1">
        <v>0</v>
      </c>
      <c r="H123" s="1">
        <v>61132</v>
      </c>
      <c r="I123" s="1">
        <v>0</v>
      </c>
      <c r="J123" s="1">
        <v>0</v>
      </c>
      <c r="K123" s="1">
        <v>0</v>
      </c>
      <c r="L123" s="1">
        <v>2081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525</v>
      </c>
      <c r="S123" s="1">
        <v>0</v>
      </c>
      <c r="T123" s="1">
        <v>19</v>
      </c>
      <c r="U123" s="1">
        <v>0</v>
      </c>
      <c r="V123" s="1">
        <v>1000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H123" s="4">
        <f t="shared" si="3"/>
        <v>64757</v>
      </c>
    </row>
    <row r="124" spans="1:65" s="4" customFormat="1">
      <c r="A124" s="4">
        <v>173</v>
      </c>
      <c r="B124" s="4" t="s">
        <v>157</v>
      </c>
      <c r="D124" s="4" t="s">
        <v>158</v>
      </c>
      <c r="F124" s="1">
        <v>0</v>
      </c>
      <c r="G124" s="1">
        <v>0</v>
      </c>
      <c r="H124" s="1">
        <v>357048</v>
      </c>
      <c r="I124" s="1">
        <v>0</v>
      </c>
      <c r="J124" s="1">
        <v>0</v>
      </c>
      <c r="K124" s="1">
        <v>0</v>
      </c>
      <c r="L124" s="1">
        <v>18370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1003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H124" s="4">
        <f t="shared" si="3"/>
        <v>376421</v>
      </c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</row>
    <row r="125" spans="1:65" s="4" customFormat="1">
      <c r="A125" s="4">
        <v>168</v>
      </c>
      <c r="B125" s="4" t="s">
        <v>305</v>
      </c>
      <c r="D125" s="4" t="s">
        <v>43</v>
      </c>
      <c r="F125" s="1">
        <v>0</v>
      </c>
      <c r="G125" s="1"/>
      <c r="H125" s="1">
        <v>243225.11</v>
      </c>
      <c r="I125" s="1"/>
      <c r="J125" s="1">
        <v>58878.87</v>
      </c>
      <c r="K125" s="1"/>
      <c r="L125" s="1">
        <v>18215.689999999999</v>
      </c>
      <c r="M125" s="1"/>
      <c r="N125" s="1">
        <v>0</v>
      </c>
      <c r="O125" s="1"/>
      <c r="P125" s="1">
        <v>0</v>
      </c>
      <c r="Q125" s="1"/>
      <c r="R125" s="1">
        <v>76886.39</v>
      </c>
      <c r="S125" s="1"/>
      <c r="T125" s="1">
        <v>163.43</v>
      </c>
      <c r="U125" s="1"/>
      <c r="V125" s="1">
        <v>1803.39</v>
      </c>
      <c r="W125" s="1"/>
      <c r="X125" s="1">
        <v>10804.65</v>
      </c>
      <c r="Y125" s="1"/>
      <c r="Z125" s="1">
        <v>0</v>
      </c>
      <c r="AA125" s="1"/>
      <c r="AB125" s="1">
        <v>0</v>
      </c>
      <c r="AC125" s="1"/>
      <c r="AD125" s="1">
        <v>0</v>
      </c>
      <c r="AE125" s="1"/>
      <c r="AF125" s="1">
        <v>0</v>
      </c>
      <c r="AH125" s="4">
        <f t="shared" si="3"/>
        <v>409977.53</v>
      </c>
    </row>
    <row r="126" spans="1:65" s="4" customFormat="1">
      <c r="A126" s="4">
        <v>144</v>
      </c>
      <c r="B126" s="4" t="s">
        <v>159</v>
      </c>
      <c r="D126" s="4" t="s">
        <v>160</v>
      </c>
      <c r="F126" s="1">
        <v>59308</v>
      </c>
      <c r="G126" s="1">
        <v>0</v>
      </c>
      <c r="H126" s="1">
        <v>329722</v>
      </c>
      <c r="I126" s="1">
        <v>0</v>
      </c>
      <c r="J126" s="1">
        <v>17842</v>
      </c>
      <c r="K126" s="1">
        <v>0</v>
      </c>
      <c r="L126" s="1">
        <v>8225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45026</v>
      </c>
      <c r="S126" s="1">
        <v>0</v>
      </c>
      <c r="T126" s="1">
        <v>37737</v>
      </c>
      <c r="U126" s="1">
        <v>0</v>
      </c>
      <c r="V126" s="1">
        <v>40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H126" s="4">
        <f t="shared" si="3"/>
        <v>497900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</row>
    <row r="127" spans="1:65" s="4" customFormat="1">
      <c r="A127" s="4">
        <v>198</v>
      </c>
      <c r="B127" s="35" t="s">
        <v>458</v>
      </c>
      <c r="C127" s="35"/>
      <c r="D127" s="35" t="s">
        <v>57</v>
      </c>
      <c r="E127" s="35"/>
      <c r="F127" s="1">
        <v>152021.1</v>
      </c>
      <c r="G127" s="1"/>
      <c r="H127" s="1">
        <v>281211.49</v>
      </c>
      <c r="I127" s="1"/>
      <c r="J127" s="1">
        <v>25079.62</v>
      </c>
      <c r="K127" s="1"/>
      <c r="L127" s="1">
        <v>11574.97</v>
      </c>
      <c r="M127" s="1"/>
      <c r="N127" s="1">
        <v>0</v>
      </c>
      <c r="O127" s="1"/>
      <c r="P127" s="1">
        <v>0</v>
      </c>
      <c r="Q127" s="1"/>
      <c r="R127" s="1">
        <v>4576.2299999999996</v>
      </c>
      <c r="S127" s="1"/>
      <c r="T127" s="1">
        <v>4086.59</v>
      </c>
      <c r="U127" s="1"/>
      <c r="V127" s="1">
        <v>0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0</v>
      </c>
      <c r="AE127" s="1"/>
      <c r="AF127" s="1">
        <v>0</v>
      </c>
      <c r="AG127" s="35"/>
      <c r="AH127" s="4">
        <f t="shared" si="3"/>
        <v>478549.99999999994</v>
      </c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 spans="1:65" s="4" customFormat="1">
      <c r="A128" s="4">
        <v>33</v>
      </c>
      <c r="B128" s="4" t="s">
        <v>161</v>
      </c>
      <c r="D128" s="4" t="s">
        <v>58</v>
      </c>
      <c r="F128" s="1">
        <v>1073532.4099999999</v>
      </c>
      <c r="G128" s="1"/>
      <c r="H128" s="1">
        <v>0</v>
      </c>
      <c r="I128" s="1"/>
      <c r="J128" s="1">
        <v>0</v>
      </c>
      <c r="K128" s="1"/>
      <c r="L128" s="1">
        <v>61612.54</v>
      </c>
      <c r="M128" s="1"/>
      <c r="N128" s="1">
        <v>0</v>
      </c>
      <c r="O128" s="1"/>
      <c r="P128" s="1">
        <v>0</v>
      </c>
      <c r="Q128" s="1"/>
      <c r="R128" s="1">
        <v>62423.33</v>
      </c>
      <c r="S128" s="1"/>
      <c r="T128" s="1">
        <v>106522.38</v>
      </c>
      <c r="U128" s="1"/>
      <c r="V128" s="1">
        <v>212.59</v>
      </c>
      <c r="W128" s="1"/>
      <c r="X128" s="1">
        <v>0</v>
      </c>
      <c r="Y128" s="1"/>
      <c r="Z128" s="1">
        <v>0</v>
      </c>
      <c r="AA128" s="1"/>
      <c r="AB128" s="1">
        <v>0</v>
      </c>
      <c r="AC128" s="1"/>
      <c r="AD128" s="1">
        <v>0</v>
      </c>
      <c r="AE128" s="1"/>
      <c r="AF128" s="1">
        <v>0</v>
      </c>
      <c r="AH128" s="4">
        <f t="shared" si="3"/>
        <v>1304303.2500000002</v>
      </c>
    </row>
    <row r="129" spans="1:65" s="4" customFormat="1">
      <c r="A129" s="4">
        <v>166</v>
      </c>
      <c r="B129" s="4" t="s">
        <v>162</v>
      </c>
      <c r="D129" s="4" t="s">
        <v>60</v>
      </c>
      <c r="F129" s="1">
        <v>94361.77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178.9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185</v>
      </c>
      <c r="S129" s="1">
        <v>0</v>
      </c>
      <c r="T129" s="1">
        <v>3453.71</v>
      </c>
      <c r="U129" s="1">
        <v>0</v>
      </c>
      <c r="V129" s="1">
        <v>1376.36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H129" s="4">
        <f t="shared" si="3"/>
        <v>99555.74</v>
      </c>
    </row>
    <row r="130" spans="1:65" s="4" customFormat="1">
      <c r="A130" s="4">
        <v>143</v>
      </c>
      <c r="B130" s="4" t="s">
        <v>600</v>
      </c>
      <c r="D130" s="4" t="s">
        <v>163</v>
      </c>
      <c r="F130" s="1">
        <v>0</v>
      </c>
      <c r="G130" s="1"/>
      <c r="H130" s="1">
        <v>970698.15</v>
      </c>
      <c r="I130" s="1"/>
      <c r="J130" s="1">
        <v>0</v>
      </c>
      <c r="K130" s="1"/>
      <c r="L130" s="1">
        <v>26173.94</v>
      </c>
      <c r="M130" s="1"/>
      <c r="N130" s="1">
        <v>0</v>
      </c>
      <c r="O130" s="1"/>
      <c r="P130" s="1">
        <v>0</v>
      </c>
      <c r="Q130" s="1"/>
      <c r="R130" s="1">
        <v>76272.600000000006</v>
      </c>
      <c r="S130" s="1"/>
      <c r="T130" s="1">
        <v>369.97</v>
      </c>
      <c r="U130" s="1"/>
      <c r="V130" s="1">
        <v>1804.68</v>
      </c>
      <c r="W130" s="1"/>
      <c r="X130" s="1">
        <v>2673.25</v>
      </c>
      <c r="Y130" s="1"/>
      <c r="Z130" s="1">
        <v>0</v>
      </c>
      <c r="AA130" s="1"/>
      <c r="AB130" s="1">
        <v>0</v>
      </c>
      <c r="AC130" s="1"/>
      <c r="AD130" s="1">
        <v>0</v>
      </c>
      <c r="AE130" s="1"/>
      <c r="AF130" s="1">
        <v>0</v>
      </c>
      <c r="AH130" s="4">
        <f t="shared" si="3"/>
        <v>1077992.5899999999</v>
      </c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 spans="1:65" s="4" customFormat="1">
      <c r="A131" s="4">
        <v>47</v>
      </c>
      <c r="B131" s="4" t="s">
        <v>306</v>
      </c>
      <c r="D131" s="4" t="s">
        <v>41</v>
      </c>
      <c r="F131" s="1">
        <v>0</v>
      </c>
      <c r="G131" s="1"/>
      <c r="H131" s="1">
        <v>171662.95</v>
      </c>
      <c r="I131" s="1"/>
      <c r="J131" s="1">
        <v>0</v>
      </c>
      <c r="K131" s="1"/>
      <c r="L131" s="1">
        <v>1845.58</v>
      </c>
      <c r="M131" s="1"/>
      <c r="N131" s="1">
        <v>0</v>
      </c>
      <c r="O131" s="1"/>
      <c r="P131" s="1">
        <v>0</v>
      </c>
      <c r="Q131" s="1"/>
      <c r="R131" s="1">
        <v>654.28</v>
      </c>
      <c r="S131" s="1"/>
      <c r="T131" s="1">
        <v>521.97</v>
      </c>
      <c r="U131" s="1"/>
      <c r="V131" s="1">
        <v>684.02</v>
      </c>
      <c r="W131" s="1"/>
      <c r="X131" s="1">
        <v>0</v>
      </c>
      <c r="Y131" s="1"/>
      <c r="Z131" s="1">
        <v>0</v>
      </c>
      <c r="AA131" s="1"/>
      <c r="AB131" s="1">
        <v>0</v>
      </c>
      <c r="AC131" s="1"/>
      <c r="AD131" s="1">
        <v>0</v>
      </c>
      <c r="AE131" s="1"/>
      <c r="AF131" s="1">
        <v>0</v>
      </c>
      <c r="AH131" s="4">
        <f t="shared" si="3"/>
        <v>175368.8</v>
      </c>
    </row>
    <row r="132" spans="1:65" s="4" customFormat="1">
      <c r="A132" s="4">
        <v>42</v>
      </c>
      <c r="B132" s="35" t="s">
        <v>459</v>
      </c>
      <c r="C132" s="35"/>
      <c r="D132" s="35" t="s">
        <v>56</v>
      </c>
      <c r="E132" s="35"/>
      <c r="F132" s="1">
        <v>0</v>
      </c>
      <c r="G132" s="1"/>
      <c r="H132" s="1">
        <v>631385.97</v>
      </c>
      <c r="I132" s="1"/>
      <c r="J132" s="1">
        <v>0</v>
      </c>
      <c r="K132" s="1"/>
      <c r="L132" s="1">
        <v>13236.43</v>
      </c>
      <c r="M132" s="1"/>
      <c r="N132" s="1">
        <v>0</v>
      </c>
      <c r="O132" s="1"/>
      <c r="P132" s="1">
        <v>4700</v>
      </c>
      <c r="Q132" s="1"/>
      <c r="R132" s="1">
        <v>20544.419999999998</v>
      </c>
      <c r="S132" s="1"/>
      <c r="T132" s="1">
        <v>4026.49</v>
      </c>
      <c r="U132" s="1"/>
      <c r="V132" s="1">
        <v>3111.61</v>
      </c>
      <c r="W132" s="1"/>
      <c r="X132" s="1">
        <v>0</v>
      </c>
      <c r="Y132" s="1"/>
      <c r="Z132" s="1">
        <v>0</v>
      </c>
      <c r="AA132" s="1"/>
      <c r="AB132" s="1">
        <v>0</v>
      </c>
      <c r="AC132" s="1"/>
      <c r="AD132" s="1">
        <v>0</v>
      </c>
      <c r="AE132" s="1"/>
      <c r="AF132" s="1">
        <v>0</v>
      </c>
      <c r="AG132" s="35"/>
      <c r="AH132" s="4">
        <f t="shared" si="3"/>
        <v>677004.92</v>
      </c>
    </row>
    <row r="133" spans="1:65" s="4" customFormat="1" hidden="1">
      <c r="A133" s="4">
        <v>151</v>
      </c>
      <c r="B133" s="4" t="s">
        <v>165</v>
      </c>
      <c r="D133" s="4" t="s">
        <v>22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H133" s="4">
        <f t="shared" si="3"/>
        <v>0</v>
      </c>
    </row>
    <row r="134" spans="1:65" s="4" customFormat="1">
      <c r="A134" s="4">
        <v>10</v>
      </c>
      <c r="B134" s="4" t="s">
        <v>166</v>
      </c>
      <c r="D134" s="4" t="s">
        <v>167</v>
      </c>
      <c r="F134" s="1">
        <v>355633.59</v>
      </c>
      <c r="G134" s="1"/>
      <c r="H134" s="1">
        <v>300324.45</v>
      </c>
      <c r="I134" s="1"/>
      <c r="J134" s="1">
        <v>0</v>
      </c>
      <c r="K134" s="1"/>
      <c r="L134" s="1">
        <v>29850.92</v>
      </c>
      <c r="M134" s="1"/>
      <c r="N134" s="1">
        <v>0</v>
      </c>
      <c r="O134" s="1"/>
      <c r="P134" s="1">
        <v>0</v>
      </c>
      <c r="Q134" s="1"/>
      <c r="R134" s="1">
        <v>3621.67</v>
      </c>
      <c r="S134" s="1"/>
      <c r="T134" s="1">
        <v>718.96</v>
      </c>
      <c r="U134" s="1"/>
      <c r="V134" s="1">
        <v>7083.51</v>
      </c>
      <c r="W134" s="1"/>
      <c r="X134" s="1">
        <v>0</v>
      </c>
      <c r="Y134" s="1"/>
      <c r="Z134" s="1">
        <v>35005.32</v>
      </c>
      <c r="AA134" s="1"/>
      <c r="AB134" s="1">
        <v>0</v>
      </c>
      <c r="AC134" s="1"/>
      <c r="AD134" s="1">
        <v>0</v>
      </c>
      <c r="AE134" s="1"/>
      <c r="AF134" s="1">
        <v>0</v>
      </c>
      <c r="AH134" s="4">
        <f t="shared" si="3"/>
        <v>732238.42</v>
      </c>
    </row>
    <row r="135" spans="1:65" s="4" customFormat="1">
      <c r="A135" s="4">
        <v>63</v>
      </c>
      <c r="B135" s="4" t="s">
        <v>37</v>
      </c>
      <c r="D135" s="4" t="s">
        <v>12</v>
      </c>
      <c r="F135" s="1">
        <v>220144.43</v>
      </c>
      <c r="G135" s="1"/>
      <c r="H135" s="1">
        <v>286104</v>
      </c>
      <c r="I135" s="1"/>
      <c r="J135" s="1">
        <v>29143.33</v>
      </c>
      <c r="K135" s="1"/>
      <c r="L135" s="1">
        <v>11554.2</v>
      </c>
      <c r="M135" s="1"/>
      <c r="N135" s="1">
        <v>0</v>
      </c>
      <c r="O135" s="1"/>
      <c r="P135" s="1">
        <v>0</v>
      </c>
      <c r="Q135" s="1"/>
      <c r="R135" s="1">
        <v>13935.23</v>
      </c>
      <c r="S135" s="1"/>
      <c r="T135" s="1">
        <v>273.93</v>
      </c>
      <c r="U135" s="1"/>
      <c r="V135" s="1">
        <v>2483</v>
      </c>
      <c r="W135" s="1"/>
      <c r="X135" s="1">
        <v>0</v>
      </c>
      <c r="Y135" s="1"/>
      <c r="Z135" s="1">
        <v>0</v>
      </c>
      <c r="AA135" s="1"/>
      <c r="AB135" s="1">
        <v>0</v>
      </c>
      <c r="AC135" s="1"/>
      <c r="AD135" s="1">
        <v>0</v>
      </c>
      <c r="AE135" s="1"/>
      <c r="AF135" s="1">
        <v>0</v>
      </c>
      <c r="AH135" s="4">
        <f t="shared" si="3"/>
        <v>563638.12</v>
      </c>
    </row>
    <row r="136" spans="1:65" s="4" customFormat="1" hidden="1">
      <c r="A136" s="4">
        <v>244</v>
      </c>
      <c r="B136" s="4" t="s">
        <v>37</v>
      </c>
      <c r="D136" s="4" t="s">
        <v>12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H136" s="4">
        <f t="shared" si="3"/>
        <v>0</v>
      </c>
    </row>
    <row r="137" spans="1:65" s="4" customFormat="1" hidden="1">
      <c r="A137" s="4">
        <v>201</v>
      </c>
      <c r="B137" s="4" t="s">
        <v>168</v>
      </c>
      <c r="D137" s="4" t="s">
        <v>158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H137" s="4">
        <f t="shared" si="3"/>
        <v>0</v>
      </c>
    </row>
    <row r="138" spans="1:65" s="4" customFormat="1">
      <c r="A138" s="4">
        <v>7</v>
      </c>
      <c r="B138" s="35" t="s">
        <v>339</v>
      </c>
      <c r="C138" s="35"/>
      <c r="D138" s="35" t="s">
        <v>53</v>
      </c>
      <c r="E138" s="35"/>
      <c r="F138" s="1">
        <v>0</v>
      </c>
      <c r="G138" s="1"/>
      <c r="H138" s="1">
        <v>210198.91</v>
      </c>
      <c r="I138" s="1"/>
      <c r="J138" s="1">
        <v>0</v>
      </c>
      <c r="K138" s="1"/>
      <c r="L138" s="1">
        <v>4634.4799999999996</v>
      </c>
      <c r="M138" s="1"/>
      <c r="N138" s="1">
        <v>0</v>
      </c>
      <c r="O138" s="1"/>
      <c r="P138" s="1">
        <v>0</v>
      </c>
      <c r="Q138" s="1"/>
      <c r="R138" s="1">
        <v>1618.52</v>
      </c>
      <c r="S138" s="1"/>
      <c r="T138" s="1">
        <v>9799.6</v>
      </c>
      <c r="U138" s="1"/>
      <c r="V138" s="1">
        <v>1021.22</v>
      </c>
      <c r="W138" s="1"/>
      <c r="X138" s="1">
        <v>0</v>
      </c>
      <c r="Y138" s="1"/>
      <c r="Z138" s="1">
        <v>0</v>
      </c>
      <c r="AA138" s="1"/>
      <c r="AB138" s="1">
        <v>0</v>
      </c>
      <c r="AC138" s="1"/>
      <c r="AD138" s="1">
        <v>0</v>
      </c>
      <c r="AE138" s="1"/>
      <c r="AF138" s="1">
        <v>0</v>
      </c>
      <c r="AG138" s="35"/>
      <c r="AH138" s="4">
        <f t="shared" si="3"/>
        <v>227272.73</v>
      </c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 spans="1:65" s="4" customFormat="1">
      <c r="A139" s="4">
        <v>239</v>
      </c>
      <c r="B139" s="4" t="s">
        <v>169</v>
      </c>
      <c r="D139" s="4" t="s">
        <v>170</v>
      </c>
      <c r="F139" s="1">
        <v>0</v>
      </c>
      <c r="G139" s="1"/>
      <c r="H139" s="1">
        <v>372485.13</v>
      </c>
      <c r="I139" s="1"/>
      <c r="J139" s="1">
        <v>0</v>
      </c>
      <c r="K139" s="1"/>
      <c r="L139" s="1">
        <v>16120.45</v>
      </c>
      <c r="M139" s="1"/>
      <c r="N139" s="1">
        <v>0</v>
      </c>
      <c r="O139" s="1"/>
      <c r="P139" s="1">
        <v>0</v>
      </c>
      <c r="Q139" s="1"/>
      <c r="R139" s="1">
        <v>11908.34</v>
      </c>
      <c r="S139" s="1"/>
      <c r="T139" s="1">
        <v>5323.06</v>
      </c>
      <c r="U139" s="1"/>
      <c r="V139" s="1">
        <v>5550.6</v>
      </c>
      <c r="W139" s="1"/>
      <c r="X139" s="1">
        <v>1800.2</v>
      </c>
      <c r="Y139" s="1"/>
      <c r="Z139" s="1">
        <v>0</v>
      </c>
      <c r="AA139" s="1"/>
      <c r="AB139" s="1">
        <v>0</v>
      </c>
      <c r="AC139" s="1"/>
      <c r="AD139" s="1">
        <v>0</v>
      </c>
      <c r="AE139" s="1"/>
      <c r="AF139" s="1">
        <v>0</v>
      </c>
      <c r="AH139" s="4">
        <f t="shared" si="3"/>
        <v>413187.78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 spans="1:65" s="4" customFormat="1">
      <c r="A140" s="4">
        <v>210</v>
      </c>
      <c r="B140" s="35" t="s">
        <v>338</v>
      </c>
      <c r="C140" s="35"/>
      <c r="D140" s="35" t="s">
        <v>59</v>
      </c>
      <c r="E140" s="35"/>
      <c r="F140" s="1">
        <v>0</v>
      </c>
      <c r="G140" s="1"/>
      <c r="H140" s="1">
        <v>402275.42</v>
      </c>
      <c r="I140" s="1"/>
      <c r="J140" s="1">
        <v>0</v>
      </c>
      <c r="K140" s="1"/>
      <c r="L140" s="1">
        <v>18111.5</v>
      </c>
      <c r="M140" s="1"/>
      <c r="N140" s="1">
        <v>0</v>
      </c>
      <c r="O140" s="1"/>
      <c r="P140" s="1">
        <v>0</v>
      </c>
      <c r="Q140" s="1"/>
      <c r="R140" s="1">
        <v>2019.2</v>
      </c>
      <c r="S140" s="1"/>
      <c r="T140" s="1">
        <v>15462.94</v>
      </c>
      <c r="U140" s="1"/>
      <c r="V140" s="1">
        <v>13674.92</v>
      </c>
      <c r="W140" s="1"/>
      <c r="X140" s="1">
        <v>0</v>
      </c>
      <c r="Y140" s="1"/>
      <c r="Z140" s="1">
        <v>0</v>
      </c>
      <c r="AA140" s="1"/>
      <c r="AB140" s="1">
        <v>0</v>
      </c>
      <c r="AC140" s="1"/>
      <c r="AD140" s="1">
        <v>0</v>
      </c>
      <c r="AE140" s="1"/>
      <c r="AF140" s="1">
        <v>0</v>
      </c>
      <c r="AG140" s="35"/>
      <c r="AH140" s="4">
        <f t="shared" si="3"/>
        <v>451543.98</v>
      </c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1:65" s="4" customFormat="1">
      <c r="A141" s="4">
        <v>66</v>
      </c>
      <c r="B141" s="4" t="s">
        <v>171</v>
      </c>
      <c r="D141" s="4" t="s">
        <v>45</v>
      </c>
      <c r="F141" s="1">
        <v>529597.65</v>
      </c>
      <c r="G141" s="1">
        <v>0</v>
      </c>
      <c r="H141" s="1">
        <v>30000</v>
      </c>
      <c r="I141" s="1">
        <v>0</v>
      </c>
      <c r="J141" s="1">
        <v>0</v>
      </c>
      <c r="K141" s="1">
        <v>0</v>
      </c>
      <c r="L141" s="1">
        <v>10379.549999999999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26403.25</v>
      </c>
      <c r="S141" s="1">
        <v>0</v>
      </c>
      <c r="T141" s="1">
        <v>7748.82</v>
      </c>
      <c r="U141" s="1">
        <v>0</v>
      </c>
      <c r="V141" s="1">
        <v>26808.11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H141" s="4">
        <f t="shared" si="3"/>
        <v>630937.38</v>
      </c>
    </row>
    <row r="142" spans="1:65" s="4" customFormat="1">
      <c r="A142" s="4">
        <v>242</v>
      </c>
      <c r="B142" s="4" t="s">
        <v>172</v>
      </c>
      <c r="D142" s="4" t="s">
        <v>173</v>
      </c>
      <c r="F142" s="1">
        <v>0</v>
      </c>
      <c r="G142" s="1"/>
      <c r="H142" s="1">
        <v>1236862.6599999999</v>
      </c>
      <c r="I142" s="1"/>
      <c r="J142" s="1">
        <v>2825</v>
      </c>
      <c r="K142" s="1"/>
      <c r="L142" s="1">
        <v>38225.089999999997</v>
      </c>
      <c r="M142" s="1"/>
      <c r="N142" s="1">
        <v>0</v>
      </c>
      <c r="O142" s="1"/>
      <c r="P142" s="1">
        <v>0</v>
      </c>
      <c r="Q142" s="1"/>
      <c r="R142" s="1">
        <v>190</v>
      </c>
      <c r="S142" s="1"/>
      <c r="T142" s="1">
        <v>17374.79</v>
      </c>
      <c r="U142" s="1"/>
      <c r="V142" s="1">
        <v>2105.79</v>
      </c>
      <c r="W142" s="1"/>
      <c r="X142" s="1">
        <v>0</v>
      </c>
      <c r="Y142" s="1"/>
      <c r="Z142" s="1">
        <v>0</v>
      </c>
      <c r="AA142" s="1"/>
      <c r="AB142" s="1">
        <v>0</v>
      </c>
      <c r="AC142" s="1"/>
      <c r="AD142" s="1">
        <v>0</v>
      </c>
      <c r="AE142" s="1"/>
      <c r="AF142" s="1">
        <v>0</v>
      </c>
      <c r="AH142" s="4">
        <f t="shared" si="3"/>
        <v>1297583.33</v>
      </c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 spans="1:65" s="4" customFormat="1">
      <c r="A143" s="4">
        <v>48</v>
      </c>
      <c r="B143" s="35" t="s">
        <v>174</v>
      </c>
      <c r="C143" s="35"/>
      <c r="D143" s="35" t="s">
        <v>43</v>
      </c>
      <c r="E143" s="35"/>
      <c r="F143" s="1">
        <v>103798.35</v>
      </c>
      <c r="G143" s="1"/>
      <c r="H143" s="1">
        <v>206681.18</v>
      </c>
      <c r="I143" s="1"/>
      <c r="J143" s="1">
        <v>25642.92</v>
      </c>
      <c r="K143" s="1"/>
      <c r="L143" s="1">
        <v>6625.1</v>
      </c>
      <c r="M143" s="1"/>
      <c r="N143" s="1">
        <v>0</v>
      </c>
      <c r="O143" s="1"/>
      <c r="P143" s="1">
        <v>0</v>
      </c>
      <c r="Q143" s="1"/>
      <c r="R143" s="1">
        <v>19332.990000000002</v>
      </c>
      <c r="S143" s="1"/>
      <c r="T143" s="1">
        <v>9.82</v>
      </c>
      <c r="U143" s="1"/>
      <c r="V143" s="1">
        <v>4476.2299999999996</v>
      </c>
      <c r="W143" s="1"/>
      <c r="X143" s="1">
        <v>0</v>
      </c>
      <c r="Y143" s="1"/>
      <c r="Z143" s="1">
        <v>0</v>
      </c>
      <c r="AA143" s="1"/>
      <c r="AB143" s="1">
        <v>0</v>
      </c>
      <c r="AC143" s="1"/>
      <c r="AD143" s="1">
        <v>0</v>
      </c>
      <c r="AE143" s="1"/>
      <c r="AF143" s="1">
        <v>0</v>
      </c>
      <c r="AG143" s="35"/>
      <c r="AH143" s="4">
        <f t="shared" si="3"/>
        <v>366566.58999999997</v>
      </c>
    </row>
    <row r="144" spans="1:65" s="4" customFormat="1">
      <c r="A144" s="4">
        <v>46</v>
      </c>
      <c r="B144" s="4" t="s">
        <v>175</v>
      </c>
      <c r="D144" s="4" t="s">
        <v>56</v>
      </c>
      <c r="F144" s="1">
        <v>0</v>
      </c>
      <c r="G144" s="1"/>
      <c r="H144" s="1">
        <v>399394.46</v>
      </c>
      <c r="I144" s="1"/>
      <c r="J144" s="1">
        <v>0</v>
      </c>
      <c r="K144" s="1"/>
      <c r="L144" s="1">
        <v>13597.92</v>
      </c>
      <c r="M144" s="1"/>
      <c r="N144" s="1">
        <v>0</v>
      </c>
      <c r="O144" s="1"/>
      <c r="P144" s="1">
        <v>0</v>
      </c>
      <c r="Q144" s="1"/>
      <c r="R144" s="1">
        <v>1849.95</v>
      </c>
      <c r="S144" s="1"/>
      <c r="T144" s="1">
        <v>68.55</v>
      </c>
      <c r="U144" s="1"/>
      <c r="V144" s="1">
        <v>0</v>
      </c>
      <c r="W144" s="1"/>
      <c r="X144" s="1">
        <v>0</v>
      </c>
      <c r="Y144" s="1"/>
      <c r="Z144" s="1">
        <v>0</v>
      </c>
      <c r="AA144" s="1"/>
      <c r="AB144" s="1">
        <v>0</v>
      </c>
      <c r="AC144" s="1"/>
      <c r="AD144" s="1">
        <v>0</v>
      </c>
      <c r="AE144" s="1"/>
      <c r="AF144" s="1">
        <v>0</v>
      </c>
      <c r="AH144" s="4">
        <f t="shared" si="3"/>
        <v>414910.88</v>
      </c>
    </row>
    <row r="145" spans="1:65" s="4" customFormat="1">
      <c r="A145" s="4">
        <v>37</v>
      </c>
      <c r="B145" s="4" t="s">
        <v>176</v>
      </c>
      <c r="D145" s="4" t="s">
        <v>15</v>
      </c>
      <c r="F145" s="1">
        <v>292799.83</v>
      </c>
      <c r="G145" s="1"/>
      <c r="H145" s="1">
        <v>412266.6</v>
      </c>
      <c r="I145" s="1"/>
      <c r="J145" s="1">
        <v>43228.95</v>
      </c>
      <c r="K145" s="1"/>
      <c r="L145" s="1">
        <v>14862.34</v>
      </c>
      <c r="M145" s="1"/>
      <c r="N145" s="1">
        <v>0</v>
      </c>
      <c r="O145" s="1"/>
      <c r="P145" s="1">
        <v>0</v>
      </c>
      <c r="Q145" s="1"/>
      <c r="R145" s="1">
        <v>14063.61</v>
      </c>
      <c r="S145" s="1"/>
      <c r="T145" s="1">
        <v>1995.55</v>
      </c>
      <c r="U145" s="1"/>
      <c r="V145" s="1">
        <v>3177.3</v>
      </c>
      <c r="W145" s="1"/>
      <c r="X145" s="1">
        <v>0</v>
      </c>
      <c r="Y145" s="1"/>
      <c r="Z145" s="1">
        <v>0</v>
      </c>
      <c r="AA145" s="1"/>
      <c r="AB145" s="1">
        <v>4700</v>
      </c>
      <c r="AC145" s="1"/>
      <c r="AD145" s="1">
        <v>0</v>
      </c>
      <c r="AE145" s="1"/>
      <c r="AF145" s="1">
        <v>0</v>
      </c>
      <c r="AH145" s="4">
        <f t="shared" si="3"/>
        <v>787094.17999999993</v>
      </c>
    </row>
    <row r="146" spans="1:65" s="4" customFormat="1">
      <c r="A146" s="4">
        <v>229</v>
      </c>
      <c r="B146" s="15" t="s">
        <v>438</v>
      </c>
      <c r="C146" s="15"/>
      <c r="D146" s="15" t="s">
        <v>19</v>
      </c>
      <c r="E146" s="15"/>
      <c r="F146" s="1">
        <v>1939485</v>
      </c>
      <c r="G146" s="1">
        <v>0</v>
      </c>
      <c r="H146" s="1">
        <v>0</v>
      </c>
      <c r="I146" s="1">
        <v>0</v>
      </c>
      <c r="J146" s="1">
        <v>2137814</v>
      </c>
      <c r="K146" s="1">
        <v>0</v>
      </c>
      <c r="L146" s="1">
        <v>153964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9887</v>
      </c>
      <c r="S146" s="1">
        <v>0</v>
      </c>
      <c r="T146" s="1">
        <v>20707</v>
      </c>
      <c r="U146" s="1">
        <v>0</v>
      </c>
      <c r="V146" s="1">
        <v>9109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5"/>
      <c r="AH146" s="4">
        <f t="shared" si="3"/>
        <v>4270966</v>
      </c>
    </row>
    <row r="147" spans="1:65" s="4" customFormat="1" hidden="1">
      <c r="A147" s="4">
        <v>99</v>
      </c>
      <c r="B147" s="4" t="s">
        <v>9</v>
      </c>
      <c r="D147" s="4" t="s">
        <v>10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H147" s="4">
        <f t="shared" si="3"/>
        <v>0</v>
      </c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 spans="1:65" s="4" customFormat="1">
      <c r="A148" s="4">
        <v>89</v>
      </c>
      <c r="B148" s="35" t="s">
        <v>177</v>
      </c>
      <c r="C148" s="35"/>
      <c r="D148" s="35" t="s">
        <v>54</v>
      </c>
      <c r="E148" s="35"/>
      <c r="F148" s="1">
        <v>697947.79</v>
      </c>
      <c r="G148" s="1"/>
      <c r="H148" s="1">
        <v>651309.9</v>
      </c>
      <c r="I148" s="1"/>
      <c r="J148" s="1">
        <v>93283.67</v>
      </c>
      <c r="K148" s="1"/>
      <c r="L148" s="1">
        <v>35753.82</v>
      </c>
      <c r="M148" s="1"/>
      <c r="N148" s="1">
        <v>0</v>
      </c>
      <c r="O148" s="1"/>
      <c r="P148" s="1">
        <v>0</v>
      </c>
      <c r="Q148" s="1"/>
      <c r="R148" s="1">
        <v>2018.7</v>
      </c>
      <c r="S148" s="1"/>
      <c r="T148" s="1">
        <v>14672.23</v>
      </c>
      <c r="U148" s="1"/>
      <c r="V148" s="1">
        <v>6</v>
      </c>
      <c r="W148" s="1"/>
      <c r="X148" s="1">
        <v>3738.79</v>
      </c>
      <c r="Y148" s="1"/>
      <c r="Z148" s="1">
        <v>0</v>
      </c>
      <c r="AA148" s="1"/>
      <c r="AB148" s="1">
        <v>9552.51</v>
      </c>
      <c r="AC148" s="1"/>
      <c r="AD148" s="1">
        <v>0</v>
      </c>
      <c r="AE148" s="1"/>
      <c r="AF148" s="1">
        <v>0</v>
      </c>
      <c r="AG148" s="35"/>
      <c r="AH148" s="4">
        <f t="shared" si="3"/>
        <v>1508283.41</v>
      </c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s="4" customFormat="1">
      <c r="A149" s="4">
        <v>170</v>
      </c>
      <c r="B149" s="4" t="s">
        <v>307</v>
      </c>
      <c r="D149" s="4" t="s">
        <v>51</v>
      </c>
      <c r="F149" s="1">
        <v>0</v>
      </c>
      <c r="G149" s="1"/>
      <c r="H149" s="1">
        <v>237529.38</v>
      </c>
      <c r="I149" s="1"/>
      <c r="J149" s="1">
        <v>30000</v>
      </c>
      <c r="K149" s="1"/>
      <c r="L149" s="1">
        <v>6854.4</v>
      </c>
      <c r="M149" s="1"/>
      <c r="N149" s="1">
        <v>0</v>
      </c>
      <c r="O149" s="1"/>
      <c r="P149" s="1">
        <v>0</v>
      </c>
      <c r="Q149" s="1"/>
      <c r="R149" s="1">
        <v>15975.93</v>
      </c>
      <c r="S149" s="1"/>
      <c r="T149" s="1">
        <v>1478.47</v>
      </c>
      <c r="U149" s="1"/>
      <c r="V149" s="1">
        <v>289.47000000000003</v>
      </c>
      <c r="W149" s="1"/>
      <c r="X149" s="1">
        <v>0</v>
      </c>
      <c r="Y149" s="1"/>
      <c r="Z149" s="1">
        <v>0</v>
      </c>
      <c r="AA149" s="1"/>
      <c r="AB149" s="1">
        <v>0</v>
      </c>
      <c r="AC149" s="1"/>
      <c r="AD149" s="1">
        <v>0</v>
      </c>
      <c r="AE149" s="1"/>
      <c r="AF149" s="1">
        <v>0</v>
      </c>
      <c r="AH149" s="4">
        <f t="shared" si="3"/>
        <v>292127.64999999997</v>
      </c>
    </row>
    <row r="150" spans="1:65">
      <c r="A150" s="4">
        <v>39</v>
      </c>
      <c r="B150" s="4" t="s">
        <v>178</v>
      </c>
      <c r="C150" s="4"/>
      <c r="D150" s="4" t="s">
        <v>51</v>
      </c>
      <c r="E150" s="4"/>
      <c r="F150" s="1">
        <v>0</v>
      </c>
      <c r="G150" s="1"/>
      <c r="H150" s="1">
        <v>414326.43</v>
      </c>
      <c r="I150" s="1"/>
      <c r="J150" s="1">
        <v>194978.67</v>
      </c>
      <c r="K150" s="1"/>
      <c r="L150" s="1">
        <v>7192</v>
      </c>
      <c r="M150" s="1"/>
      <c r="N150" s="1">
        <v>0</v>
      </c>
      <c r="O150" s="1"/>
      <c r="P150" s="1">
        <v>0</v>
      </c>
      <c r="Q150" s="1"/>
      <c r="R150" s="1">
        <v>8198.4500000000007</v>
      </c>
      <c r="S150" s="1"/>
      <c r="T150" s="1">
        <v>5543.06</v>
      </c>
      <c r="U150" s="1"/>
      <c r="V150" s="1">
        <v>32983.949999999997</v>
      </c>
      <c r="W150" s="1"/>
      <c r="X150" s="1">
        <v>0</v>
      </c>
      <c r="Y150" s="1"/>
      <c r="Z150" s="1">
        <v>1081259.04</v>
      </c>
      <c r="AA150" s="1"/>
      <c r="AB150" s="1">
        <v>0</v>
      </c>
      <c r="AC150" s="1"/>
      <c r="AD150" s="1">
        <v>0</v>
      </c>
      <c r="AE150" s="1"/>
      <c r="AF150" s="1">
        <v>0</v>
      </c>
      <c r="AG150" s="4"/>
      <c r="AH150" s="4">
        <f t="shared" si="3"/>
        <v>1744481.6</v>
      </c>
    </row>
    <row r="151" spans="1:65">
      <c r="A151" s="4">
        <v>205</v>
      </c>
      <c r="B151" s="4" t="s">
        <v>179</v>
      </c>
      <c r="C151" s="4"/>
      <c r="D151" s="4" t="s">
        <v>60</v>
      </c>
      <c r="E151" s="4"/>
      <c r="F151" s="1">
        <v>0</v>
      </c>
      <c r="G151" s="1"/>
      <c r="H151" s="1">
        <v>137106.48000000001</v>
      </c>
      <c r="I151" s="1"/>
      <c r="J151" s="1">
        <v>8386</v>
      </c>
      <c r="K151" s="1"/>
      <c r="L151" s="1">
        <v>4781.8500000000004</v>
      </c>
      <c r="M151" s="1"/>
      <c r="N151" s="1">
        <v>0</v>
      </c>
      <c r="O151" s="1"/>
      <c r="P151" s="1">
        <v>135.6</v>
      </c>
      <c r="Q151" s="1"/>
      <c r="R151" s="1">
        <v>13633.31</v>
      </c>
      <c r="S151" s="1"/>
      <c r="T151" s="1">
        <v>15.12</v>
      </c>
      <c r="U151" s="1"/>
      <c r="V151" s="1">
        <v>375.01</v>
      </c>
      <c r="W151" s="1"/>
      <c r="X151" s="1">
        <v>0</v>
      </c>
      <c r="Y151" s="1"/>
      <c r="Z151" s="1">
        <v>0</v>
      </c>
      <c r="AA151" s="1"/>
      <c r="AB151" s="1">
        <v>0</v>
      </c>
      <c r="AC151" s="1"/>
      <c r="AD151" s="1">
        <v>0</v>
      </c>
      <c r="AE151" s="1"/>
      <c r="AF151" s="1">
        <v>0</v>
      </c>
      <c r="AG151" s="4"/>
      <c r="AH151" s="4">
        <f t="shared" si="3"/>
        <v>164433.37000000002</v>
      </c>
    </row>
    <row r="152" spans="1:65">
      <c r="A152" s="4">
        <v>232</v>
      </c>
      <c r="B152" s="4" t="s">
        <v>572</v>
      </c>
      <c r="C152" s="4"/>
      <c r="D152" s="4" t="s">
        <v>41</v>
      </c>
      <c r="E152" s="4"/>
      <c r="F152" s="1">
        <v>434</v>
      </c>
      <c r="G152" s="1">
        <v>0</v>
      </c>
      <c r="H152" s="1">
        <v>2365134</v>
      </c>
      <c r="I152" s="1">
        <v>0</v>
      </c>
      <c r="J152" s="1">
        <v>0</v>
      </c>
      <c r="K152" s="1">
        <v>0</v>
      </c>
      <c r="L152" s="1">
        <v>95096</v>
      </c>
      <c r="M152" s="1">
        <v>0</v>
      </c>
      <c r="N152" s="1">
        <v>0</v>
      </c>
      <c r="O152" s="1">
        <v>0</v>
      </c>
      <c r="P152" s="1">
        <v>5210</v>
      </c>
      <c r="Q152" s="1">
        <v>0</v>
      </c>
      <c r="R152" s="1">
        <v>9390</v>
      </c>
      <c r="S152" s="1">
        <v>0</v>
      </c>
      <c r="T152" s="1">
        <v>168</v>
      </c>
      <c r="U152" s="1">
        <v>0</v>
      </c>
      <c r="V152" s="1">
        <v>39066</v>
      </c>
      <c r="W152" s="1">
        <v>0</v>
      </c>
      <c r="X152" s="1">
        <v>0</v>
      </c>
      <c r="Y152" s="1">
        <v>0</v>
      </c>
      <c r="Z152" s="1">
        <v>415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4"/>
      <c r="AH152" s="4">
        <f t="shared" si="3"/>
        <v>2514913</v>
      </c>
    </row>
    <row r="153" spans="1:65" s="4" customFormat="1">
      <c r="A153" s="4">
        <v>228</v>
      </c>
      <c r="B153" s="4" t="s">
        <v>180</v>
      </c>
      <c r="D153" s="4" t="s">
        <v>97</v>
      </c>
      <c r="F153" s="1">
        <v>0</v>
      </c>
      <c r="G153" s="1">
        <v>0</v>
      </c>
      <c r="H153" s="1">
        <v>2794346</v>
      </c>
      <c r="I153" s="1">
        <v>0</v>
      </c>
      <c r="J153" s="1">
        <v>0</v>
      </c>
      <c r="K153" s="1">
        <v>0</v>
      </c>
      <c r="L153" s="1">
        <v>53499</v>
      </c>
      <c r="M153" s="1">
        <v>0</v>
      </c>
      <c r="N153" s="1">
        <v>0</v>
      </c>
      <c r="O153" s="1">
        <v>0</v>
      </c>
      <c r="P153" s="1">
        <v>6582</v>
      </c>
      <c r="Q153" s="1">
        <v>0</v>
      </c>
      <c r="R153" s="1">
        <v>2405</v>
      </c>
      <c r="S153" s="1">
        <v>0</v>
      </c>
      <c r="T153" s="1">
        <v>10924</v>
      </c>
      <c r="U153" s="1">
        <v>0</v>
      </c>
      <c r="V153" s="1">
        <v>183254</v>
      </c>
      <c r="W153" s="1">
        <v>0</v>
      </c>
      <c r="X153" s="1">
        <v>0</v>
      </c>
      <c r="Y153" s="1">
        <v>0</v>
      </c>
      <c r="Z153" s="1">
        <v>17314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H153" s="4">
        <f t="shared" si="3"/>
        <v>3068324</v>
      </c>
    </row>
    <row r="154" spans="1:65" s="14" customFormat="1">
      <c r="A154" s="4">
        <v>105</v>
      </c>
      <c r="B154" s="4" t="s">
        <v>573</v>
      </c>
      <c r="C154" s="4"/>
      <c r="D154" s="4" t="s">
        <v>87</v>
      </c>
      <c r="E154" s="4"/>
      <c r="F154" s="1">
        <v>0</v>
      </c>
      <c r="G154" s="1">
        <v>0</v>
      </c>
      <c r="H154" s="1">
        <v>1129301</v>
      </c>
      <c r="I154" s="1">
        <v>0</v>
      </c>
      <c r="J154" s="1">
        <v>20260</v>
      </c>
      <c r="K154" s="1">
        <v>0</v>
      </c>
      <c r="L154" s="1">
        <v>19747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5653</v>
      </c>
      <c r="S154" s="1">
        <v>0</v>
      </c>
      <c r="T154" s="1">
        <v>287</v>
      </c>
      <c r="U154" s="1">
        <v>0</v>
      </c>
      <c r="V154" s="1">
        <v>29064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4"/>
      <c r="AH154" s="4">
        <f t="shared" si="3"/>
        <v>1204312</v>
      </c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</row>
    <row r="155" spans="1:65" s="4" customFormat="1">
      <c r="A155" s="4">
        <v>182</v>
      </c>
      <c r="B155" s="4" t="s">
        <v>574</v>
      </c>
      <c r="D155" s="4" t="s">
        <v>181</v>
      </c>
      <c r="F155" s="1">
        <v>0</v>
      </c>
      <c r="G155" s="1">
        <v>0</v>
      </c>
      <c r="H155" s="1">
        <v>762113</v>
      </c>
      <c r="I155" s="1">
        <v>0</v>
      </c>
      <c r="J155" s="1">
        <v>0</v>
      </c>
      <c r="K155" s="1">
        <v>0</v>
      </c>
      <c r="L155" s="1">
        <v>38941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245</v>
      </c>
      <c r="S155" s="1">
        <v>0</v>
      </c>
      <c r="T155" s="1">
        <v>13494</v>
      </c>
      <c r="U155" s="1">
        <v>0</v>
      </c>
      <c r="V155" s="1">
        <v>22759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H155" s="4">
        <f t="shared" si="3"/>
        <v>837552</v>
      </c>
    </row>
    <row r="156" spans="1:65" s="4" customFormat="1">
      <c r="A156" s="4">
        <v>27</v>
      </c>
      <c r="B156" s="4" t="s">
        <v>11</v>
      </c>
      <c r="D156" s="4" t="s">
        <v>12</v>
      </c>
      <c r="F156" s="1">
        <v>381022</v>
      </c>
      <c r="G156" s="1">
        <v>0</v>
      </c>
      <c r="H156" s="1">
        <v>0</v>
      </c>
      <c r="I156" s="1">
        <v>0</v>
      </c>
      <c r="J156" s="1">
        <v>462168</v>
      </c>
      <c r="K156" s="1">
        <v>0</v>
      </c>
      <c r="L156" s="1">
        <v>22028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8387</v>
      </c>
      <c r="S156" s="1">
        <v>0</v>
      </c>
      <c r="T156" s="1">
        <v>9756</v>
      </c>
      <c r="U156" s="1">
        <v>0</v>
      </c>
      <c r="V156" s="1">
        <v>1365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H156" s="4">
        <f t="shared" si="3"/>
        <v>884726</v>
      </c>
    </row>
    <row r="157" spans="1:65" s="4" customFormat="1">
      <c r="A157" s="4">
        <v>114</v>
      </c>
      <c r="B157" s="12" t="s">
        <v>563</v>
      </c>
      <c r="C157" s="12"/>
      <c r="D157" s="12" t="s">
        <v>83</v>
      </c>
      <c r="E157" s="12"/>
      <c r="F157" s="1">
        <v>762</v>
      </c>
      <c r="G157" s="1">
        <v>0</v>
      </c>
      <c r="H157" s="1">
        <v>527707</v>
      </c>
      <c r="I157" s="1">
        <v>0</v>
      </c>
      <c r="J157" s="1">
        <v>0</v>
      </c>
      <c r="K157" s="1">
        <v>0</v>
      </c>
      <c r="L157" s="1">
        <v>14647</v>
      </c>
      <c r="M157" s="1">
        <v>0</v>
      </c>
      <c r="N157" s="1">
        <v>0</v>
      </c>
      <c r="O157" s="1">
        <v>0</v>
      </c>
      <c r="P157" s="1">
        <v>379</v>
      </c>
      <c r="Q157" s="1">
        <v>0</v>
      </c>
      <c r="R157" s="1">
        <v>17813</v>
      </c>
      <c r="S157" s="1">
        <v>0</v>
      </c>
      <c r="T157" s="1">
        <v>633</v>
      </c>
      <c r="U157" s="1">
        <v>0</v>
      </c>
      <c r="V157" s="1">
        <v>4471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5"/>
      <c r="AH157" s="4">
        <f t="shared" si="3"/>
        <v>566412</v>
      </c>
    </row>
    <row r="158" spans="1:65">
      <c r="A158" s="4">
        <v>67</v>
      </c>
      <c r="B158" s="4" t="s">
        <v>182</v>
      </c>
      <c r="C158" s="4"/>
      <c r="D158" s="4" t="s">
        <v>57</v>
      </c>
      <c r="E158" s="4"/>
      <c r="F158" s="1">
        <v>0</v>
      </c>
      <c r="G158" s="1">
        <v>0</v>
      </c>
      <c r="H158" s="1">
        <v>0</v>
      </c>
      <c r="I158" s="1">
        <v>0</v>
      </c>
      <c r="J158" s="1">
        <v>3467994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146331</v>
      </c>
      <c r="Q158" s="1">
        <v>0</v>
      </c>
      <c r="R158" s="1">
        <f>10497+1131</f>
        <v>11628</v>
      </c>
      <c r="S158" s="1">
        <v>0</v>
      </c>
      <c r="T158" s="1">
        <v>2103</v>
      </c>
      <c r="U158" s="1">
        <v>0</v>
      </c>
      <c r="V158" s="1">
        <v>37334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1158298</v>
      </c>
      <c r="AE158" s="1">
        <v>0</v>
      </c>
      <c r="AF158" s="1">
        <v>0</v>
      </c>
      <c r="AG158" s="4"/>
      <c r="AH158" s="4">
        <f t="shared" si="3"/>
        <v>4823688</v>
      </c>
    </row>
    <row r="159" spans="1:65" s="4" customFormat="1">
      <c r="A159" s="4">
        <v>225</v>
      </c>
      <c r="B159" s="4" t="s">
        <v>308</v>
      </c>
      <c r="D159" s="4" t="s">
        <v>25</v>
      </c>
      <c r="F159" s="1">
        <v>0</v>
      </c>
      <c r="G159" s="1"/>
      <c r="H159" s="1">
        <v>491489.74</v>
      </c>
      <c r="I159" s="1"/>
      <c r="J159" s="1">
        <v>0</v>
      </c>
      <c r="K159" s="1"/>
      <c r="L159" s="1">
        <v>21503.51</v>
      </c>
      <c r="M159" s="1"/>
      <c r="N159" s="1">
        <v>0</v>
      </c>
      <c r="O159" s="1"/>
      <c r="P159" s="1">
        <v>10556.69</v>
      </c>
      <c r="Q159" s="1"/>
      <c r="R159" s="1">
        <v>7154.28</v>
      </c>
      <c r="S159" s="1"/>
      <c r="T159" s="1">
        <v>0</v>
      </c>
      <c r="U159" s="1"/>
      <c r="V159" s="1">
        <v>7948.77</v>
      </c>
      <c r="W159" s="1"/>
      <c r="X159" s="1">
        <v>15</v>
      </c>
      <c r="Y159" s="1"/>
      <c r="Z159" s="1">
        <v>0</v>
      </c>
      <c r="AA159" s="1"/>
      <c r="AB159" s="1">
        <v>0</v>
      </c>
      <c r="AC159" s="1"/>
      <c r="AD159" s="1">
        <v>0</v>
      </c>
      <c r="AE159" s="1"/>
      <c r="AF159" s="1">
        <v>0</v>
      </c>
      <c r="AH159" s="4">
        <f t="shared" si="3"/>
        <v>538667.99</v>
      </c>
    </row>
    <row r="160" spans="1:65" s="4" customFormat="1">
      <c r="A160" s="4">
        <v>224</v>
      </c>
      <c r="B160" s="4" t="s">
        <v>184</v>
      </c>
      <c r="D160" s="4" t="s">
        <v>15</v>
      </c>
      <c r="F160" s="1">
        <v>281986</v>
      </c>
      <c r="G160" s="1">
        <v>0</v>
      </c>
      <c r="H160" s="1">
        <v>0</v>
      </c>
      <c r="I160" s="1">
        <v>0</v>
      </c>
      <c r="J160" s="1">
        <v>606355</v>
      </c>
      <c r="K160" s="1">
        <v>0</v>
      </c>
      <c r="L160" s="1">
        <v>34865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16095</v>
      </c>
      <c r="S160" s="1">
        <v>0</v>
      </c>
      <c r="T160" s="1">
        <v>16869</v>
      </c>
      <c r="U160" s="1">
        <v>0</v>
      </c>
      <c r="V160" s="1">
        <v>948</v>
      </c>
      <c r="W160" s="1">
        <v>0</v>
      </c>
      <c r="X160" s="1">
        <v>0</v>
      </c>
      <c r="Y160" s="1">
        <v>0</v>
      </c>
      <c r="Z160" s="1">
        <v>90000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H160" s="4">
        <f t="shared" si="3"/>
        <v>1047118</v>
      </c>
    </row>
    <row r="161" spans="1:65" s="4" customFormat="1">
      <c r="A161" s="4">
        <v>184</v>
      </c>
      <c r="B161" s="4" t="s">
        <v>601</v>
      </c>
      <c r="D161" s="4" t="s">
        <v>185</v>
      </c>
      <c r="F161" s="1">
        <v>3425084</v>
      </c>
      <c r="G161" s="1">
        <v>0</v>
      </c>
      <c r="H161" s="1">
        <v>3389515</v>
      </c>
      <c r="I161" s="1">
        <v>0</v>
      </c>
      <c r="J161" s="1">
        <v>432507</v>
      </c>
      <c r="K161" s="1">
        <v>0</v>
      </c>
      <c r="L161" s="1">
        <v>242167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19324</v>
      </c>
      <c r="S161" s="1">
        <v>0</v>
      </c>
      <c r="T161" s="1">
        <v>75729</v>
      </c>
      <c r="U161" s="1">
        <v>0</v>
      </c>
      <c r="V161" s="1">
        <f>190324+2570</f>
        <v>192894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H161" s="4">
        <f t="shared" si="3"/>
        <v>7777220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 spans="1:65" s="4" customFormat="1">
      <c r="A162" s="4">
        <v>212</v>
      </c>
      <c r="B162" s="4" t="s">
        <v>186</v>
      </c>
      <c r="D162" s="4" t="s">
        <v>102</v>
      </c>
      <c r="F162" s="1">
        <v>0</v>
      </c>
      <c r="G162" s="1"/>
      <c r="H162" s="1">
        <v>46559.48</v>
      </c>
      <c r="I162" s="1"/>
      <c r="J162" s="1">
        <v>0</v>
      </c>
      <c r="K162" s="1"/>
      <c r="L162" s="1">
        <v>1541.25</v>
      </c>
      <c r="M162" s="1"/>
      <c r="N162" s="1">
        <v>0</v>
      </c>
      <c r="O162" s="1"/>
      <c r="P162" s="1">
        <v>0</v>
      </c>
      <c r="Q162" s="1"/>
      <c r="R162" s="1">
        <v>0</v>
      </c>
      <c r="S162" s="1"/>
      <c r="T162" s="1">
        <v>3681.73</v>
      </c>
      <c r="U162" s="1"/>
      <c r="V162" s="1">
        <v>0</v>
      </c>
      <c r="W162" s="1"/>
      <c r="X162" s="1">
        <v>0</v>
      </c>
      <c r="Y162" s="1"/>
      <c r="Z162" s="1">
        <v>0</v>
      </c>
      <c r="AA162" s="1"/>
      <c r="AB162" s="1">
        <v>0</v>
      </c>
      <c r="AC162" s="1"/>
      <c r="AD162" s="1">
        <v>0</v>
      </c>
      <c r="AE162" s="1"/>
      <c r="AF162" s="1">
        <v>0</v>
      </c>
      <c r="AH162" s="4">
        <f t="shared" ref="AH162:AH164" si="4">SUM(F162:AF162)</f>
        <v>51782.460000000006</v>
      </c>
    </row>
    <row r="163" spans="1:65">
      <c r="A163" s="4">
        <v>124</v>
      </c>
      <c r="B163" s="4" t="s">
        <v>187</v>
      </c>
      <c r="C163" s="4"/>
      <c r="D163" s="4" t="s">
        <v>188</v>
      </c>
      <c r="E163" s="4"/>
      <c r="F163" s="1">
        <v>0</v>
      </c>
      <c r="G163" s="1">
        <v>0</v>
      </c>
      <c r="H163" s="1">
        <v>1858632</v>
      </c>
      <c r="I163" s="1">
        <v>0</v>
      </c>
      <c r="J163" s="1">
        <v>0</v>
      </c>
      <c r="K163" s="1">
        <v>0</v>
      </c>
      <c r="L163" s="1">
        <v>54085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77387</v>
      </c>
      <c r="S163" s="1">
        <v>0</v>
      </c>
      <c r="T163" s="1">
        <v>11244</v>
      </c>
      <c r="U163" s="1">
        <v>0</v>
      </c>
      <c r="V163" s="1">
        <v>18409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4"/>
      <c r="AH163" s="4">
        <f t="shared" si="4"/>
        <v>2019757</v>
      </c>
    </row>
    <row r="164" spans="1:65">
      <c r="A164" s="4">
        <v>38</v>
      </c>
      <c r="B164" s="35" t="s">
        <v>430</v>
      </c>
      <c r="C164" s="35"/>
      <c r="D164" s="35" t="s">
        <v>13</v>
      </c>
      <c r="E164" s="35"/>
      <c r="F164" s="1">
        <v>0</v>
      </c>
      <c r="G164" s="1"/>
      <c r="H164" s="1">
        <v>883220.51</v>
      </c>
      <c r="I164" s="1"/>
      <c r="J164" s="1">
        <v>0</v>
      </c>
      <c r="K164" s="1"/>
      <c r="L164" s="1">
        <v>29255.41</v>
      </c>
      <c r="M164" s="1"/>
      <c r="N164" s="1">
        <v>0</v>
      </c>
      <c r="O164" s="1"/>
      <c r="P164" s="1">
        <v>0</v>
      </c>
      <c r="Q164" s="1"/>
      <c r="R164" s="1">
        <v>39174.300000000003</v>
      </c>
      <c r="S164" s="1"/>
      <c r="T164" s="1">
        <v>1023.31</v>
      </c>
      <c r="U164" s="1"/>
      <c r="V164" s="1">
        <v>40113.53</v>
      </c>
      <c r="W164" s="1"/>
      <c r="X164" s="1">
        <v>0</v>
      </c>
      <c r="Y164" s="1"/>
      <c r="Z164" s="1">
        <v>75751.539999999994</v>
      </c>
      <c r="AA164" s="1"/>
      <c r="AB164" s="1">
        <v>0</v>
      </c>
      <c r="AC164" s="1"/>
      <c r="AD164" s="1">
        <v>0</v>
      </c>
      <c r="AE164" s="1"/>
      <c r="AF164" s="1">
        <v>0</v>
      </c>
      <c r="AG164" s="35"/>
      <c r="AH164" s="4">
        <f t="shared" si="4"/>
        <v>1068538.6000000001</v>
      </c>
    </row>
    <row r="165" spans="1:65" s="4" customFormat="1">
      <c r="N165" s="35"/>
      <c r="P165" s="35"/>
      <c r="R165" s="35"/>
      <c r="X165" s="35"/>
      <c r="Z165" s="35"/>
      <c r="AB165" s="35"/>
      <c r="AD165" s="35"/>
      <c r="AF165" s="3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  <row r="166" spans="1:65" s="4" customFormat="1">
      <c r="N166" s="35"/>
      <c r="P166" s="35"/>
      <c r="R166" s="35"/>
      <c r="X166" s="35"/>
      <c r="Z166" s="35"/>
      <c r="AB166" s="35"/>
      <c r="AD166" s="35"/>
      <c r="AF166" s="35"/>
      <c r="AH166" s="44" t="s">
        <v>591</v>
      </c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 spans="1:65">
      <c r="B167" s="3" t="s">
        <v>523</v>
      </c>
    </row>
    <row r="168" spans="1:65">
      <c r="B168" s="3" t="s">
        <v>635</v>
      </c>
    </row>
    <row r="169" spans="1:65">
      <c r="B169" s="41" t="s">
        <v>7</v>
      </c>
    </row>
    <row r="170" spans="1:65" s="36" customFormat="1">
      <c r="H170" s="36" t="s">
        <v>282</v>
      </c>
    </row>
    <row r="171" spans="1:65" s="36" customFormat="1">
      <c r="F171" s="36" t="s">
        <v>31</v>
      </c>
      <c r="H171" s="36" t="s">
        <v>283</v>
      </c>
      <c r="P171" s="36" t="s">
        <v>29</v>
      </c>
      <c r="R171" s="36" t="s">
        <v>289</v>
      </c>
      <c r="X171" s="36" t="s">
        <v>294</v>
      </c>
      <c r="AD171" s="36" t="s">
        <v>0</v>
      </c>
    </row>
    <row r="172" spans="1:65" s="36" customFormat="1" ht="12" customHeight="1">
      <c r="F172" s="36" t="s">
        <v>0</v>
      </c>
      <c r="H172" s="36" t="s">
        <v>284</v>
      </c>
      <c r="J172" s="36" t="s">
        <v>348</v>
      </c>
      <c r="L172" s="36" t="s">
        <v>286</v>
      </c>
      <c r="P172" s="36" t="s">
        <v>288</v>
      </c>
      <c r="R172" s="36" t="s">
        <v>290</v>
      </c>
      <c r="T172" s="36" t="s">
        <v>292</v>
      </c>
      <c r="X172" s="36" t="s">
        <v>295</v>
      </c>
      <c r="AD172" s="36" t="s">
        <v>296</v>
      </c>
      <c r="AF172" s="36" t="s">
        <v>562</v>
      </c>
    </row>
    <row r="173" spans="1:65" s="36" customFormat="1" ht="12" customHeight="1">
      <c r="A173" s="36" t="s">
        <v>578</v>
      </c>
      <c r="B173" s="37" t="s">
        <v>5</v>
      </c>
      <c r="D173" s="37" t="s">
        <v>6</v>
      </c>
      <c r="F173" s="37" t="s">
        <v>281</v>
      </c>
      <c r="H173" s="37" t="s">
        <v>285</v>
      </c>
      <c r="J173" s="37" t="s">
        <v>349</v>
      </c>
      <c r="L173" s="37" t="s">
        <v>287</v>
      </c>
      <c r="N173" s="37" t="s">
        <v>558</v>
      </c>
      <c r="P173" s="37" t="s">
        <v>560</v>
      </c>
      <c r="R173" s="37" t="s">
        <v>291</v>
      </c>
      <c r="T173" s="37" t="s">
        <v>293</v>
      </c>
      <c r="V173" s="37" t="s">
        <v>1</v>
      </c>
      <c r="X173" s="37" t="s">
        <v>32</v>
      </c>
      <c r="Z173" s="37" t="s">
        <v>509</v>
      </c>
      <c r="AB173" s="37" t="s">
        <v>510</v>
      </c>
      <c r="AD173" s="37" t="s">
        <v>297</v>
      </c>
      <c r="AF173" s="37" t="s">
        <v>424</v>
      </c>
      <c r="AH173" s="46" t="s">
        <v>28</v>
      </c>
    </row>
    <row r="174" spans="1:65" s="4" customFormat="1">
      <c r="A174" s="4">
        <v>209</v>
      </c>
      <c r="B174" s="38" t="s">
        <v>189</v>
      </c>
      <c r="C174" s="38"/>
      <c r="D174" s="38" t="s">
        <v>185</v>
      </c>
      <c r="E174" s="38"/>
      <c r="F174" s="72">
        <v>0</v>
      </c>
      <c r="G174" s="72"/>
      <c r="H174" s="72">
        <v>430245.81</v>
      </c>
      <c r="I174" s="72"/>
      <c r="J174" s="72">
        <v>76.319999999999993</v>
      </c>
      <c r="K174" s="72"/>
      <c r="L174" s="72">
        <v>21546.97</v>
      </c>
      <c r="M174" s="72"/>
      <c r="N174" s="72">
        <v>0</v>
      </c>
      <c r="O174" s="72"/>
      <c r="P174" s="72">
        <v>0</v>
      </c>
      <c r="Q174" s="72"/>
      <c r="R174" s="72">
        <v>7655.71</v>
      </c>
      <c r="S174" s="72"/>
      <c r="T174" s="72">
        <v>17384.64</v>
      </c>
      <c r="U174" s="72"/>
      <c r="V174" s="72">
        <v>4322.08</v>
      </c>
      <c r="W174" s="72"/>
      <c r="X174" s="72">
        <v>0</v>
      </c>
      <c r="Y174" s="72"/>
      <c r="Z174" s="72">
        <v>0</v>
      </c>
      <c r="AA174" s="72"/>
      <c r="AB174" s="72">
        <v>0</v>
      </c>
      <c r="AC174" s="72"/>
      <c r="AD174" s="72">
        <v>0</v>
      </c>
      <c r="AE174" s="72"/>
      <c r="AF174" s="72">
        <v>0</v>
      </c>
      <c r="AG174" s="38"/>
      <c r="AH174" s="7">
        <f>SUM(F174:AF174)</f>
        <v>481231.53</v>
      </c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</row>
    <row r="175" spans="1:65" s="4" customFormat="1">
      <c r="A175" s="4">
        <v>23</v>
      </c>
      <c r="B175" s="35" t="s">
        <v>190</v>
      </c>
      <c r="C175" s="35"/>
      <c r="D175" s="35" t="s">
        <v>54</v>
      </c>
      <c r="E175" s="35"/>
      <c r="F175" s="69">
        <v>484457.4</v>
      </c>
      <c r="G175" s="69"/>
      <c r="H175" s="69">
        <v>494677.28</v>
      </c>
      <c r="I175" s="69"/>
      <c r="J175" s="69">
        <v>67653.75</v>
      </c>
      <c r="K175" s="69"/>
      <c r="L175" s="69">
        <v>17573.490000000002</v>
      </c>
      <c r="M175" s="69"/>
      <c r="N175" s="69">
        <v>0</v>
      </c>
      <c r="O175" s="69"/>
      <c r="P175" s="69">
        <v>0</v>
      </c>
      <c r="Q175" s="69"/>
      <c r="R175" s="69">
        <v>2039.62</v>
      </c>
      <c r="S175" s="69"/>
      <c r="T175" s="69">
        <v>10120.86</v>
      </c>
      <c r="U175" s="69"/>
      <c r="V175" s="69">
        <v>1542.08</v>
      </c>
      <c r="W175" s="69"/>
      <c r="X175" s="69">
        <v>0</v>
      </c>
      <c r="Y175" s="69"/>
      <c r="Z175" s="69">
        <v>0</v>
      </c>
      <c r="AA175" s="69"/>
      <c r="AB175" s="69">
        <v>0</v>
      </c>
      <c r="AC175" s="69"/>
      <c r="AD175" s="69">
        <v>0</v>
      </c>
      <c r="AE175" s="69"/>
      <c r="AF175" s="69">
        <v>0</v>
      </c>
      <c r="AG175" s="35"/>
      <c r="AH175" s="4">
        <f t="shared" ref="AH175:AH238" si="5">SUM(F175:AF175)</f>
        <v>1078064.4800000004</v>
      </c>
    </row>
    <row r="176" spans="1:65" s="4" customFormat="1">
      <c r="A176" s="4">
        <v>241</v>
      </c>
      <c r="B176" s="4" t="s">
        <v>191</v>
      </c>
      <c r="D176" s="4" t="s">
        <v>61</v>
      </c>
      <c r="F176" s="69">
        <v>0</v>
      </c>
      <c r="G176" s="69"/>
      <c r="H176" s="69">
        <v>423164.88</v>
      </c>
      <c r="I176" s="69"/>
      <c r="J176" s="69">
        <v>4039.52</v>
      </c>
      <c r="K176" s="69"/>
      <c r="L176" s="69">
        <v>20958.23</v>
      </c>
      <c r="M176" s="69"/>
      <c r="N176" s="69">
        <v>0</v>
      </c>
      <c r="O176" s="69"/>
      <c r="P176" s="69">
        <v>0</v>
      </c>
      <c r="Q176" s="69"/>
      <c r="R176" s="69">
        <v>7617.78</v>
      </c>
      <c r="S176" s="69"/>
      <c r="T176" s="69">
        <v>132079.85</v>
      </c>
      <c r="U176" s="69"/>
      <c r="V176" s="69">
        <v>3359.66</v>
      </c>
      <c r="W176" s="69"/>
      <c r="X176" s="69">
        <v>0</v>
      </c>
      <c r="Y176" s="69"/>
      <c r="Z176" s="69">
        <v>0</v>
      </c>
      <c r="AA176" s="69"/>
      <c r="AB176" s="69">
        <v>0</v>
      </c>
      <c r="AC176" s="69"/>
      <c r="AD176" s="69">
        <v>0</v>
      </c>
      <c r="AE176" s="69"/>
      <c r="AF176" s="69">
        <v>1690.71</v>
      </c>
      <c r="AH176" s="4">
        <f t="shared" si="5"/>
        <v>592910.63</v>
      </c>
    </row>
    <row r="177" spans="1:65" s="4" customFormat="1">
      <c r="A177" s="4">
        <v>246</v>
      </c>
      <c r="B177" s="4" t="s">
        <v>192</v>
      </c>
      <c r="D177" s="4" t="s">
        <v>193</v>
      </c>
      <c r="F177" s="69">
        <v>614812</v>
      </c>
      <c r="G177" s="69">
        <v>0</v>
      </c>
      <c r="H177" s="69">
        <v>600506</v>
      </c>
      <c r="I177" s="69">
        <v>0</v>
      </c>
      <c r="J177" s="69">
        <v>278629</v>
      </c>
      <c r="K177" s="69">
        <v>0</v>
      </c>
      <c r="L177" s="69">
        <v>67868</v>
      </c>
      <c r="M177" s="69">
        <v>0</v>
      </c>
      <c r="N177" s="69">
        <v>0</v>
      </c>
      <c r="O177" s="69">
        <v>0</v>
      </c>
      <c r="P177" s="69">
        <v>0</v>
      </c>
      <c r="Q177" s="69">
        <v>0</v>
      </c>
      <c r="R177" s="69">
        <v>15366</v>
      </c>
      <c r="S177" s="69">
        <v>0</v>
      </c>
      <c r="T177" s="69">
        <v>1533</v>
      </c>
      <c r="U177" s="69">
        <v>0</v>
      </c>
      <c r="V177" s="69">
        <v>0</v>
      </c>
      <c r="W177" s="69">
        <v>0</v>
      </c>
      <c r="X177" s="69">
        <v>0</v>
      </c>
      <c r="Y177" s="69">
        <v>0</v>
      </c>
      <c r="Z177" s="69">
        <v>0</v>
      </c>
      <c r="AA177" s="69">
        <v>0</v>
      </c>
      <c r="AB177" s="69">
        <v>0</v>
      </c>
      <c r="AC177" s="69">
        <v>0</v>
      </c>
      <c r="AD177" s="69">
        <v>0</v>
      </c>
      <c r="AE177" s="69">
        <v>0</v>
      </c>
      <c r="AF177" s="69">
        <v>0</v>
      </c>
      <c r="AH177" s="4">
        <f t="shared" si="5"/>
        <v>1578714</v>
      </c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</row>
    <row r="178" spans="1:65" s="4" customFormat="1">
      <c r="A178" s="4">
        <v>157</v>
      </c>
      <c r="B178" s="35" t="s">
        <v>194</v>
      </c>
      <c r="C178" s="35"/>
      <c r="D178" s="35" t="s">
        <v>54</v>
      </c>
      <c r="E178" s="35"/>
      <c r="F178" s="69">
        <v>0</v>
      </c>
      <c r="G178" s="69"/>
      <c r="H178" s="69">
        <v>995873.99</v>
      </c>
      <c r="I178" s="69"/>
      <c r="J178" s="69">
        <v>0</v>
      </c>
      <c r="K178" s="69"/>
      <c r="L178" s="69">
        <v>56734.720000000001</v>
      </c>
      <c r="M178" s="69"/>
      <c r="N178" s="69">
        <v>0</v>
      </c>
      <c r="O178" s="69"/>
      <c r="P178" s="69">
        <v>0</v>
      </c>
      <c r="Q178" s="69"/>
      <c r="R178" s="69">
        <v>12710.16</v>
      </c>
      <c r="S178" s="69"/>
      <c r="T178" s="69">
        <v>9392.08</v>
      </c>
      <c r="U178" s="69"/>
      <c r="V178" s="69">
        <v>2544.13</v>
      </c>
      <c r="W178" s="69"/>
      <c r="X178" s="69">
        <v>0</v>
      </c>
      <c r="Y178" s="69"/>
      <c r="Z178" s="69">
        <v>0</v>
      </c>
      <c r="AA178" s="69"/>
      <c r="AB178" s="69">
        <v>0</v>
      </c>
      <c r="AC178" s="69"/>
      <c r="AD178" s="69">
        <v>0</v>
      </c>
      <c r="AE178" s="69"/>
      <c r="AF178" s="69">
        <v>0</v>
      </c>
      <c r="AG178" s="35"/>
      <c r="AH178" s="4">
        <f t="shared" si="5"/>
        <v>1077255.0799999998</v>
      </c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</row>
    <row r="179" spans="1:65" s="4" customFormat="1">
      <c r="A179" s="4">
        <v>43</v>
      </c>
      <c r="B179" s="35" t="s">
        <v>460</v>
      </c>
      <c r="C179" s="35"/>
      <c r="D179" s="35" t="s">
        <v>25</v>
      </c>
      <c r="E179" s="35"/>
      <c r="F179" s="69">
        <v>773831.85</v>
      </c>
      <c r="G179" s="69">
        <v>0</v>
      </c>
      <c r="H179" s="69">
        <v>1218457.04</v>
      </c>
      <c r="I179" s="69">
        <v>0</v>
      </c>
      <c r="J179" s="69">
        <v>116827.75</v>
      </c>
      <c r="K179" s="69">
        <v>0</v>
      </c>
      <c r="L179" s="69">
        <v>50783.59</v>
      </c>
      <c r="M179" s="69">
        <v>0</v>
      </c>
      <c r="N179" s="69">
        <v>0</v>
      </c>
      <c r="O179" s="69">
        <v>0</v>
      </c>
      <c r="P179" s="69">
        <v>0</v>
      </c>
      <c r="Q179" s="69">
        <v>0</v>
      </c>
      <c r="R179" s="69">
        <v>7843.17</v>
      </c>
      <c r="S179" s="69">
        <v>0</v>
      </c>
      <c r="T179" s="69">
        <v>933.35</v>
      </c>
      <c r="U179" s="69">
        <v>0</v>
      </c>
      <c r="V179" s="69">
        <v>32372.87</v>
      </c>
      <c r="W179" s="69">
        <v>0</v>
      </c>
      <c r="X179" s="69">
        <v>0</v>
      </c>
      <c r="Y179" s="69">
        <v>0</v>
      </c>
      <c r="Z179" s="69">
        <v>1408.08</v>
      </c>
      <c r="AA179" s="69">
        <v>0</v>
      </c>
      <c r="AB179" s="69">
        <v>0</v>
      </c>
      <c r="AC179" s="69">
        <v>0</v>
      </c>
      <c r="AD179" s="69">
        <v>0</v>
      </c>
      <c r="AE179" s="69">
        <v>0</v>
      </c>
      <c r="AF179" s="69">
        <v>0</v>
      </c>
      <c r="AG179" s="35"/>
      <c r="AH179" s="4">
        <f t="shared" si="5"/>
        <v>2202457.7000000002</v>
      </c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</row>
    <row r="180" spans="1:65" s="4" customFormat="1">
      <c r="A180" s="4">
        <v>28</v>
      </c>
      <c r="B180" s="3" t="s">
        <v>340</v>
      </c>
      <c r="D180" s="4" t="s">
        <v>139</v>
      </c>
      <c r="F180" s="69">
        <v>0</v>
      </c>
      <c r="G180" s="69"/>
      <c r="H180" s="69">
        <v>238520.22</v>
      </c>
      <c r="I180" s="69"/>
      <c r="J180" s="69">
        <v>0</v>
      </c>
      <c r="K180" s="69"/>
      <c r="L180" s="69">
        <v>8631.3700000000008</v>
      </c>
      <c r="M180" s="69"/>
      <c r="N180" s="69">
        <v>0</v>
      </c>
      <c r="O180" s="69"/>
      <c r="P180" s="69">
        <v>0</v>
      </c>
      <c r="Q180" s="69"/>
      <c r="R180" s="69">
        <v>28030.09</v>
      </c>
      <c r="S180" s="69"/>
      <c r="T180" s="69">
        <v>8282.9500000000007</v>
      </c>
      <c r="U180" s="69"/>
      <c r="V180" s="69">
        <v>407.94</v>
      </c>
      <c r="W180" s="69"/>
      <c r="X180" s="69">
        <v>0</v>
      </c>
      <c r="Y180" s="69"/>
      <c r="Z180" s="69">
        <v>0</v>
      </c>
      <c r="AA180" s="69"/>
      <c r="AB180" s="69">
        <v>0</v>
      </c>
      <c r="AC180" s="69"/>
      <c r="AD180" s="69">
        <v>0</v>
      </c>
      <c r="AE180" s="69"/>
      <c r="AF180" s="69">
        <v>0</v>
      </c>
      <c r="AH180" s="4">
        <f t="shared" si="5"/>
        <v>283872.57</v>
      </c>
    </row>
    <row r="181" spans="1:65" s="4" customFormat="1">
      <c r="A181" s="4">
        <v>113</v>
      </c>
      <c r="B181" s="4" t="s">
        <v>440</v>
      </c>
      <c r="D181" s="4" t="s">
        <v>56</v>
      </c>
      <c r="F181" s="69">
        <v>0</v>
      </c>
      <c r="G181" s="69">
        <v>0</v>
      </c>
      <c r="H181" s="69">
        <v>822515</v>
      </c>
      <c r="I181" s="69">
        <v>0</v>
      </c>
      <c r="J181" s="69">
        <v>0</v>
      </c>
      <c r="K181" s="69">
        <v>0</v>
      </c>
      <c r="L181" s="69">
        <v>22674</v>
      </c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69">
        <v>25315</v>
      </c>
      <c r="S181" s="69">
        <v>0</v>
      </c>
      <c r="T181" s="69">
        <v>5765</v>
      </c>
      <c r="U181" s="69">
        <v>0</v>
      </c>
      <c r="V181" s="69">
        <v>12605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9">
        <v>0</v>
      </c>
      <c r="AC181" s="69">
        <v>0</v>
      </c>
      <c r="AD181" s="69">
        <v>0</v>
      </c>
      <c r="AE181" s="69">
        <v>0</v>
      </c>
      <c r="AF181" s="69">
        <v>0</v>
      </c>
      <c r="AH181" s="4">
        <f t="shared" si="5"/>
        <v>888874</v>
      </c>
    </row>
    <row r="182" spans="1:65" s="4" customFormat="1">
      <c r="A182" s="4">
        <v>136</v>
      </c>
      <c r="B182" s="35" t="s">
        <v>196</v>
      </c>
      <c r="C182" s="35"/>
      <c r="D182" s="35" t="s">
        <v>62</v>
      </c>
      <c r="E182" s="35"/>
      <c r="F182" s="69">
        <v>0</v>
      </c>
      <c r="G182" s="69"/>
      <c r="H182" s="69">
        <v>236790.31</v>
      </c>
      <c r="I182" s="69"/>
      <c r="J182" s="69">
        <v>7000</v>
      </c>
      <c r="K182" s="69"/>
      <c r="L182" s="69">
        <v>6437.78</v>
      </c>
      <c r="M182" s="69"/>
      <c r="N182" s="69">
        <v>0</v>
      </c>
      <c r="O182" s="69"/>
      <c r="P182" s="69">
        <v>0</v>
      </c>
      <c r="Q182" s="69"/>
      <c r="R182" s="69">
        <v>1346.83</v>
      </c>
      <c r="S182" s="69"/>
      <c r="T182" s="69">
        <v>130.32</v>
      </c>
      <c r="U182" s="69"/>
      <c r="V182" s="69">
        <v>5948.14</v>
      </c>
      <c r="W182" s="69"/>
      <c r="X182" s="69">
        <v>0</v>
      </c>
      <c r="Y182" s="69"/>
      <c r="Z182" s="69">
        <v>35000</v>
      </c>
      <c r="AA182" s="69"/>
      <c r="AB182" s="69">
        <v>0</v>
      </c>
      <c r="AC182" s="69"/>
      <c r="AD182" s="69">
        <v>0</v>
      </c>
      <c r="AE182" s="69"/>
      <c r="AF182" s="69">
        <v>0</v>
      </c>
      <c r="AG182" s="35"/>
      <c r="AH182" s="4">
        <f t="shared" si="5"/>
        <v>292653.38</v>
      </c>
    </row>
    <row r="183" spans="1:65" s="4" customFormat="1">
      <c r="A183" s="4">
        <v>160</v>
      </c>
      <c r="B183" s="7" t="s">
        <v>602</v>
      </c>
      <c r="C183" s="7"/>
      <c r="D183" s="7" t="s">
        <v>20</v>
      </c>
      <c r="E183" s="7"/>
      <c r="F183" s="69">
        <v>5005968</v>
      </c>
      <c r="G183" s="69">
        <v>0</v>
      </c>
      <c r="H183" s="69">
        <v>2960628</v>
      </c>
      <c r="I183" s="69">
        <v>0</v>
      </c>
      <c r="J183" s="69">
        <v>0</v>
      </c>
      <c r="K183" s="69">
        <v>0</v>
      </c>
      <c r="L183" s="69">
        <v>255566</v>
      </c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23194</v>
      </c>
      <c r="S183" s="69">
        <v>0</v>
      </c>
      <c r="T183" s="69">
        <v>22870</v>
      </c>
      <c r="U183" s="69">
        <v>0</v>
      </c>
      <c r="V183" s="69">
        <v>66304</v>
      </c>
      <c r="W183" s="69">
        <v>0</v>
      </c>
      <c r="X183" s="69">
        <v>0</v>
      </c>
      <c r="Y183" s="69">
        <v>0</v>
      </c>
      <c r="Z183" s="69">
        <v>0</v>
      </c>
      <c r="AA183" s="69">
        <v>0</v>
      </c>
      <c r="AB183" s="69">
        <v>0</v>
      </c>
      <c r="AC183" s="69">
        <v>0</v>
      </c>
      <c r="AD183" s="69">
        <v>0</v>
      </c>
      <c r="AE183" s="69">
        <v>0</v>
      </c>
      <c r="AF183" s="69">
        <v>0</v>
      </c>
      <c r="AH183" s="4">
        <f t="shared" si="5"/>
        <v>8334530</v>
      </c>
    </row>
    <row r="184" spans="1:65" s="4" customFormat="1">
      <c r="A184" s="4">
        <v>190</v>
      </c>
      <c r="B184" s="35" t="s">
        <v>490</v>
      </c>
      <c r="C184" s="35"/>
      <c r="D184" s="35" t="s">
        <v>433</v>
      </c>
      <c r="E184" s="35"/>
      <c r="F184" s="69">
        <v>0</v>
      </c>
      <c r="G184" s="69"/>
      <c r="H184" s="69">
        <v>664051.85</v>
      </c>
      <c r="I184" s="69"/>
      <c r="J184" s="69">
        <v>0</v>
      </c>
      <c r="K184" s="69"/>
      <c r="L184" s="69">
        <v>19414.599999999999</v>
      </c>
      <c r="M184" s="69"/>
      <c r="N184" s="69">
        <v>0</v>
      </c>
      <c r="O184" s="69"/>
      <c r="P184" s="69">
        <v>0</v>
      </c>
      <c r="Q184" s="69"/>
      <c r="R184" s="69">
        <v>2669.77</v>
      </c>
      <c r="S184" s="69"/>
      <c r="T184" s="69">
        <v>13992.81</v>
      </c>
      <c r="U184" s="69"/>
      <c r="V184" s="69">
        <v>24233.55</v>
      </c>
      <c r="W184" s="69"/>
      <c r="X184" s="69">
        <v>0</v>
      </c>
      <c r="Y184" s="69"/>
      <c r="Z184" s="69">
        <v>0</v>
      </c>
      <c r="AA184" s="69"/>
      <c r="AB184" s="69">
        <v>0</v>
      </c>
      <c r="AC184" s="69"/>
      <c r="AD184" s="69">
        <v>0</v>
      </c>
      <c r="AE184" s="69"/>
      <c r="AF184" s="69">
        <v>0</v>
      </c>
      <c r="AG184" s="35"/>
      <c r="AH184" s="4">
        <f t="shared" si="5"/>
        <v>724362.58000000007</v>
      </c>
    </row>
    <row r="185" spans="1:65" s="4" customFormat="1">
      <c r="A185" s="4">
        <v>149</v>
      </c>
      <c r="B185" s="4" t="s">
        <v>14</v>
      </c>
      <c r="D185" s="4" t="s">
        <v>15</v>
      </c>
      <c r="F185" s="69">
        <v>2117798</v>
      </c>
      <c r="G185" s="69">
        <v>0</v>
      </c>
      <c r="H185" s="69">
        <v>1485238</v>
      </c>
      <c r="I185" s="69">
        <v>0</v>
      </c>
      <c r="J185" s="69">
        <v>0</v>
      </c>
      <c r="K185" s="69">
        <v>0</v>
      </c>
      <c r="L185" s="69">
        <v>97956</v>
      </c>
      <c r="M185" s="69">
        <v>0</v>
      </c>
      <c r="N185" s="69">
        <v>0</v>
      </c>
      <c r="O185" s="69">
        <v>0</v>
      </c>
      <c r="P185" s="69">
        <v>10659</v>
      </c>
      <c r="Q185" s="69">
        <v>0</v>
      </c>
      <c r="R185" s="69">
        <v>68711</v>
      </c>
      <c r="S185" s="69">
        <v>0</v>
      </c>
      <c r="T185" s="69">
        <v>2757</v>
      </c>
      <c r="U185" s="69">
        <v>0</v>
      </c>
      <c r="V185" s="69">
        <v>10360</v>
      </c>
      <c r="W185" s="69">
        <v>0</v>
      </c>
      <c r="X185" s="69">
        <v>0</v>
      </c>
      <c r="Y185" s="69">
        <v>0</v>
      </c>
      <c r="Z185" s="69">
        <v>0</v>
      </c>
      <c r="AA185" s="69">
        <v>0</v>
      </c>
      <c r="AB185" s="69">
        <v>0</v>
      </c>
      <c r="AC185" s="69">
        <v>0</v>
      </c>
      <c r="AD185" s="69">
        <v>0</v>
      </c>
      <c r="AE185" s="69">
        <v>0</v>
      </c>
      <c r="AF185" s="69">
        <v>0</v>
      </c>
      <c r="AH185" s="4">
        <f t="shared" si="5"/>
        <v>3793479</v>
      </c>
    </row>
    <row r="186" spans="1:65" s="4" customFormat="1">
      <c r="A186" s="4">
        <v>128</v>
      </c>
      <c r="B186" s="35" t="s">
        <v>603</v>
      </c>
      <c r="C186" s="35"/>
      <c r="D186" s="35" t="s">
        <v>50</v>
      </c>
      <c r="E186" s="35"/>
      <c r="F186" s="69">
        <v>257983.71</v>
      </c>
      <c r="G186" s="69"/>
      <c r="H186" s="69">
        <v>731804.89</v>
      </c>
      <c r="I186" s="69"/>
      <c r="J186" s="69">
        <v>0</v>
      </c>
      <c r="K186" s="69"/>
      <c r="L186" s="69">
        <v>10480.89</v>
      </c>
      <c r="M186" s="69"/>
      <c r="N186" s="69">
        <v>0</v>
      </c>
      <c r="O186" s="69"/>
      <c r="P186" s="69">
        <v>0</v>
      </c>
      <c r="Q186" s="69"/>
      <c r="R186" s="69">
        <v>155</v>
      </c>
      <c r="S186" s="69"/>
      <c r="T186" s="69">
        <v>194.62</v>
      </c>
      <c r="U186" s="69"/>
      <c r="V186" s="69">
        <v>3008.92</v>
      </c>
      <c r="W186" s="69"/>
      <c r="X186" s="69">
        <v>0</v>
      </c>
      <c r="Y186" s="69"/>
      <c r="Z186" s="69">
        <v>0</v>
      </c>
      <c r="AA186" s="69"/>
      <c r="AB186" s="69">
        <v>0</v>
      </c>
      <c r="AC186" s="69"/>
      <c r="AD186" s="69">
        <v>0</v>
      </c>
      <c r="AE186" s="69"/>
      <c r="AF186" s="69">
        <v>0</v>
      </c>
      <c r="AG186" s="35"/>
      <c r="AH186" s="4">
        <f t="shared" si="5"/>
        <v>1003628.03</v>
      </c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 spans="1:65" s="4" customFormat="1">
      <c r="A187" s="4">
        <v>110</v>
      </c>
      <c r="B187" s="4" t="s">
        <v>197</v>
      </c>
      <c r="D187" s="4" t="s">
        <v>10</v>
      </c>
      <c r="F187" s="69">
        <v>0</v>
      </c>
      <c r="G187" s="69">
        <v>0</v>
      </c>
      <c r="H187" s="69">
        <v>4225944</v>
      </c>
      <c r="I187" s="69">
        <v>0</v>
      </c>
      <c r="J187" s="69">
        <v>0</v>
      </c>
      <c r="K187" s="69">
        <v>0</v>
      </c>
      <c r="L187" s="69">
        <f>230610+7332</f>
        <v>237942</v>
      </c>
      <c r="M187" s="69">
        <v>0</v>
      </c>
      <c r="N187" s="69">
        <v>0</v>
      </c>
      <c r="O187" s="69">
        <v>0</v>
      </c>
      <c r="P187" s="69">
        <v>0</v>
      </c>
      <c r="Q187" s="69">
        <v>0</v>
      </c>
      <c r="R187" s="69">
        <f>5700+20997</f>
        <v>26697</v>
      </c>
      <c r="S187" s="69">
        <v>0</v>
      </c>
      <c r="T187" s="69">
        <v>9527</v>
      </c>
      <c r="U187" s="69">
        <v>0</v>
      </c>
      <c r="V187" s="69">
        <f>52501+560+4245</f>
        <v>57306</v>
      </c>
      <c r="W187" s="69">
        <v>0</v>
      </c>
      <c r="X187" s="69">
        <v>0</v>
      </c>
      <c r="Y187" s="69">
        <v>0</v>
      </c>
      <c r="Z187" s="69">
        <v>0</v>
      </c>
      <c r="AA187" s="69">
        <v>0</v>
      </c>
      <c r="AB187" s="69">
        <v>0</v>
      </c>
      <c r="AC187" s="69">
        <v>0</v>
      </c>
      <c r="AD187" s="69">
        <v>0</v>
      </c>
      <c r="AE187" s="69">
        <v>0</v>
      </c>
      <c r="AF187" s="69">
        <v>0</v>
      </c>
      <c r="AH187" s="4">
        <f t="shared" si="5"/>
        <v>4557416</v>
      </c>
    </row>
    <row r="188" spans="1:65" s="4" customFormat="1">
      <c r="A188" s="4">
        <v>253</v>
      </c>
      <c r="B188" s="4" t="s">
        <v>198</v>
      </c>
      <c r="D188" s="4" t="s">
        <v>167</v>
      </c>
      <c r="F188" s="69">
        <v>340766.94</v>
      </c>
      <c r="G188" s="69"/>
      <c r="H188" s="69">
        <v>318763.55</v>
      </c>
      <c r="I188" s="69"/>
      <c r="J188" s="69">
        <v>48167.74</v>
      </c>
      <c r="K188" s="69"/>
      <c r="L188" s="69">
        <v>18643.71</v>
      </c>
      <c r="M188" s="69"/>
      <c r="N188" s="69">
        <v>0</v>
      </c>
      <c r="O188" s="69"/>
      <c r="P188" s="69">
        <v>4.95</v>
      </c>
      <c r="Q188" s="69"/>
      <c r="R188" s="69">
        <v>2860.85</v>
      </c>
      <c r="S188" s="69"/>
      <c r="T188" s="69">
        <v>18062.52</v>
      </c>
      <c r="U188" s="69"/>
      <c r="V188" s="69">
        <v>924.96</v>
      </c>
      <c r="W188" s="69"/>
      <c r="X188" s="69">
        <v>974.45</v>
      </c>
      <c r="Y188" s="69"/>
      <c r="Z188" s="69">
        <v>0</v>
      </c>
      <c r="AA188" s="69"/>
      <c r="AB188" s="69">
        <v>0</v>
      </c>
      <c r="AC188" s="69"/>
      <c r="AD188" s="69">
        <v>0</v>
      </c>
      <c r="AE188" s="69"/>
      <c r="AF188" s="69">
        <v>13.75</v>
      </c>
      <c r="AH188" s="4">
        <f t="shared" si="5"/>
        <v>749183.41999999981</v>
      </c>
    </row>
    <row r="189" spans="1:65" s="4" customFormat="1">
      <c r="A189" s="4">
        <v>1</v>
      </c>
      <c r="B189" s="4" t="s">
        <v>199</v>
      </c>
      <c r="D189" s="4" t="s">
        <v>53</v>
      </c>
      <c r="F189" s="69">
        <v>0</v>
      </c>
      <c r="G189" s="69"/>
      <c r="H189" s="69">
        <v>323556.15000000002</v>
      </c>
      <c r="I189" s="69"/>
      <c r="J189" s="69">
        <v>0</v>
      </c>
      <c r="K189" s="69"/>
      <c r="L189" s="69">
        <v>10028.06</v>
      </c>
      <c r="M189" s="69"/>
      <c r="N189" s="69">
        <v>0</v>
      </c>
      <c r="O189" s="69"/>
      <c r="P189" s="69">
        <v>0</v>
      </c>
      <c r="Q189" s="69"/>
      <c r="R189" s="69">
        <v>1505</v>
      </c>
      <c r="S189" s="69"/>
      <c r="T189" s="69">
        <v>2027</v>
      </c>
      <c r="U189" s="69"/>
      <c r="V189" s="69">
        <v>1707.6</v>
      </c>
      <c r="W189" s="69"/>
      <c r="X189" s="69">
        <v>0</v>
      </c>
      <c r="Y189" s="69"/>
      <c r="Z189" s="69">
        <v>0</v>
      </c>
      <c r="AA189" s="69"/>
      <c r="AB189" s="69">
        <v>0</v>
      </c>
      <c r="AC189" s="69"/>
      <c r="AD189" s="69">
        <v>0</v>
      </c>
      <c r="AE189" s="69"/>
      <c r="AF189" s="69">
        <v>0</v>
      </c>
      <c r="AH189" s="4">
        <f t="shared" si="5"/>
        <v>338823.81</v>
      </c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 spans="1:65" s="4" customFormat="1">
      <c r="A190" s="4">
        <v>73</v>
      </c>
      <c r="B190" s="4" t="s">
        <v>200</v>
      </c>
      <c r="D190" s="4" t="s">
        <v>25</v>
      </c>
      <c r="F190" s="69">
        <v>7.72</v>
      </c>
      <c r="G190" s="69"/>
      <c r="H190" s="69">
        <v>647237.64</v>
      </c>
      <c r="I190" s="69"/>
      <c r="J190" s="69">
        <v>0</v>
      </c>
      <c r="K190" s="69"/>
      <c r="L190" s="69">
        <v>21820.55</v>
      </c>
      <c r="M190" s="69"/>
      <c r="N190" s="69">
        <v>0</v>
      </c>
      <c r="O190" s="69"/>
      <c r="P190" s="69">
        <v>0</v>
      </c>
      <c r="Q190" s="69"/>
      <c r="R190" s="69">
        <v>7933.36</v>
      </c>
      <c r="S190" s="69"/>
      <c r="T190" s="69">
        <v>216.59</v>
      </c>
      <c r="U190" s="69"/>
      <c r="V190" s="69">
        <v>2474.1799999999998</v>
      </c>
      <c r="W190" s="69"/>
      <c r="X190" s="69">
        <v>0</v>
      </c>
      <c r="Y190" s="69"/>
      <c r="Z190" s="69">
        <v>0</v>
      </c>
      <c r="AA190" s="69"/>
      <c r="AB190" s="69">
        <v>0</v>
      </c>
      <c r="AC190" s="69"/>
      <c r="AD190" s="69">
        <v>0</v>
      </c>
      <c r="AE190" s="69"/>
      <c r="AF190" s="69">
        <v>0</v>
      </c>
      <c r="AH190" s="4">
        <f t="shared" si="5"/>
        <v>679690.04</v>
      </c>
    </row>
    <row r="191" spans="1:65" s="4" customFormat="1">
      <c r="A191" s="4">
        <v>163</v>
      </c>
      <c r="B191" s="4" t="s">
        <v>309</v>
      </c>
      <c r="D191" s="4" t="s">
        <v>63</v>
      </c>
      <c r="F191" s="69">
        <v>0</v>
      </c>
      <c r="G191" s="69"/>
      <c r="H191" s="69">
        <v>197871.99</v>
      </c>
      <c r="I191" s="69"/>
      <c r="J191" s="69">
        <v>0</v>
      </c>
      <c r="K191" s="69"/>
      <c r="L191" s="69">
        <v>6845.34</v>
      </c>
      <c r="M191" s="69"/>
      <c r="N191" s="69">
        <v>0</v>
      </c>
      <c r="O191" s="69"/>
      <c r="P191" s="69">
        <v>0</v>
      </c>
      <c r="Q191" s="69"/>
      <c r="R191" s="69">
        <v>8723.27</v>
      </c>
      <c r="S191" s="69"/>
      <c r="T191" s="69">
        <v>1746.4</v>
      </c>
      <c r="U191" s="69"/>
      <c r="V191" s="69">
        <v>907.96</v>
      </c>
      <c r="W191" s="69"/>
      <c r="X191" s="69">
        <v>0</v>
      </c>
      <c r="Y191" s="69"/>
      <c r="Z191" s="69">
        <v>0</v>
      </c>
      <c r="AA191" s="69"/>
      <c r="AB191" s="69">
        <v>0</v>
      </c>
      <c r="AC191" s="69"/>
      <c r="AD191" s="69">
        <v>0</v>
      </c>
      <c r="AE191" s="69"/>
      <c r="AF191" s="69">
        <v>0</v>
      </c>
      <c r="AH191" s="4">
        <f t="shared" si="5"/>
        <v>216094.95999999996</v>
      </c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</row>
    <row r="192" spans="1:65" s="4" customFormat="1">
      <c r="A192" s="4">
        <v>146</v>
      </c>
      <c r="B192" s="35" t="s">
        <v>508</v>
      </c>
      <c r="C192" s="35"/>
      <c r="D192" s="35" t="s">
        <v>64</v>
      </c>
      <c r="E192" s="35"/>
      <c r="F192" s="69">
        <v>0</v>
      </c>
      <c r="G192" s="69"/>
      <c r="H192" s="69">
        <v>431726.86</v>
      </c>
      <c r="I192" s="69"/>
      <c r="J192" s="69">
        <v>0</v>
      </c>
      <c r="K192" s="69"/>
      <c r="L192" s="69">
        <v>14634.7</v>
      </c>
      <c r="M192" s="69"/>
      <c r="N192" s="69">
        <v>0</v>
      </c>
      <c r="O192" s="69"/>
      <c r="P192" s="69">
        <v>0</v>
      </c>
      <c r="Q192" s="69"/>
      <c r="R192" s="69">
        <v>897.3</v>
      </c>
      <c r="S192" s="69"/>
      <c r="T192" s="69">
        <v>160.41</v>
      </c>
      <c r="U192" s="69"/>
      <c r="V192" s="69">
        <v>3476.54</v>
      </c>
      <c r="W192" s="69"/>
      <c r="X192" s="69">
        <v>0</v>
      </c>
      <c r="Y192" s="69"/>
      <c r="Z192" s="69">
        <v>0</v>
      </c>
      <c r="AA192" s="69"/>
      <c r="AB192" s="69">
        <v>0</v>
      </c>
      <c r="AC192" s="69"/>
      <c r="AD192" s="69">
        <v>0</v>
      </c>
      <c r="AE192" s="69"/>
      <c r="AF192" s="69">
        <v>0</v>
      </c>
      <c r="AG192" s="35"/>
      <c r="AH192" s="4">
        <f t="shared" si="5"/>
        <v>450895.80999999994</v>
      </c>
    </row>
    <row r="193" spans="1:65" s="4" customFormat="1">
      <c r="A193" s="4">
        <v>227</v>
      </c>
      <c r="B193" s="4" t="s">
        <v>202</v>
      </c>
      <c r="D193" s="4" t="s">
        <v>89</v>
      </c>
      <c r="F193" s="69">
        <v>92765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3281</v>
      </c>
      <c r="M193" s="69">
        <v>0</v>
      </c>
      <c r="N193" s="69">
        <v>0</v>
      </c>
      <c r="O193" s="69">
        <v>0</v>
      </c>
      <c r="P193" s="69">
        <v>0</v>
      </c>
      <c r="Q193" s="69">
        <v>0</v>
      </c>
      <c r="R193" s="69">
        <v>4119</v>
      </c>
      <c r="S193" s="69">
        <v>0</v>
      </c>
      <c r="T193" s="69">
        <v>2170</v>
      </c>
      <c r="U193" s="69">
        <v>0</v>
      </c>
      <c r="V193" s="69">
        <v>41</v>
      </c>
      <c r="W193" s="69">
        <v>0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9">
        <v>0</v>
      </c>
      <c r="AD193" s="69">
        <v>0</v>
      </c>
      <c r="AE193" s="69">
        <v>0</v>
      </c>
      <c r="AF193" s="69">
        <v>0</v>
      </c>
      <c r="AH193" s="4">
        <f t="shared" si="5"/>
        <v>102376</v>
      </c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</row>
    <row r="194" spans="1:65" s="4" customFormat="1">
      <c r="A194" s="4">
        <v>108</v>
      </c>
      <c r="B194" s="4" t="s">
        <v>203</v>
      </c>
      <c r="D194" s="4" t="s">
        <v>204</v>
      </c>
      <c r="F194" s="69">
        <v>0</v>
      </c>
      <c r="G194" s="69">
        <v>0</v>
      </c>
      <c r="H194" s="69">
        <v>206163</v>
      </c>
      <c r="I194" s="69">
        <v>0</v>
      </c>
      <c r="J194" s="69">
        <v>0</v>
      </c>
      <c r="K194" s="69">
        <v>0</v>
      </c>
      <c r="L194" s="69">
        <v>9962</v>
      </c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R194" s="69">
        <v>4522</v>
      </c>
      <c r="S194" s="69">
        <v>0</v>
      </c>
      <c r="T194" s="69">
        <v>4086</v>
      </c>
      <c r="U194" s="69">
        <v>0</v>
      </c>
      <c r="V194" s="69">
        <v>5545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9">
        <v>0</v>
      </c>
      <c r="AD194" s="69">
        <v>0</v>
      </c>
      <c r="AE194" s="69">
        <v>0</v>
      </c>
      <c r="AF194" s="69">
        <v>0</v>
      </c>
      <c r="AH194" s="4">
        <f t="shared" si="5"/>
        <v>230278</v>
      </c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</row>
    <row r="195" spans="1:65" s="4" customFormat="1">
      <c r="A195" s="4">
        <v>72</v>
      </c>
      <c r="B195" s="4" t="s">
        <v>205</v>
      </c>
      <c r="D195" s="4" t="s">
        <v>15</v>
      </c>
      <c r="F195" s="69">
        <v>1026051</v>
      </c>
      <c r="G195" s="69">
        <v>0</v>
      </c>
      <c r="H195" s="69">
        <v>1271700</v>
      </c>
      <c r="I195" s="69">
        <v>0</v>
      </c>
      <c r="J195" s="69">
        <v>257444</v>
      </c>
      <c r="K195" s="69">
        <v>0</v>
      </c>
      <c r="L195" s="69">
        <v>99513</v>
      </c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69">
        <v>5147</v>
      </c>
      <c r="S195" s="69">
        <v>0</v>
      </c>
      <c r="T195" s="69">
        <v>7641</v>
      </c>
      <c r="U195" s="69">
        <v>0</v>
      </c>
      <c r="V195" s="69">
        <v>948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9">
        <v>0</v>
      </c>
      <c r="AC195" s="69">
        <v>0</v>
      </c>
      <c r="AD195" s="69">
        <v>0</v>
      </c>
      <c r="AE195" s="69">
        <v>0</v>
      </c>
      <c r="AF195" s="69">
        <v>0</v>
      </c>
      <c r="AH195" s="4">
        <f t="shared" si="5"/>
        <v>2668444</v>
      </c>
    </row>
    <row r="196" spans="1:65" s="4" customFormat="1">
      <c r="A196" s="4">
        <v>21</v>
      </c>
      <c r="B196" s="4" t="s">
        <v>206</v>
      </c>
      <c r="D196" s="4" t="s">
        <v>68</v>
      </c>
      <c r="F196" s="69">
        <v>0</v>
      </c>
      <c r="G196" s="69"/>
      <c r="H196" s="69">
        <v>212734.67</v>
      </c>
      <c r="I196" s="69"/>
      <c r="J196" s="69">
        <v>0</v>
      </c>
      <c r="K196" s="69"/>
      <c r="L196" s="69">
        <v>8814.7800000000007</v>
      </c>
      <c r="M196" s="69"/>
      <c r="N196" s="69">
        <v>0</v>
      </c>
      <c r="O196" s="69"/>
      <c r="P196" s="69">
        <v>0</v>
      </c>
      <c r="Q196" s="69"/>
      <c r="R196" s="69">
        <v>6202.03</v>
      </c>
      <c r="S196" s="69"/>
      <c r="T196" s="69">
        <v>1356.32</v>
      </c>
      <c r="U196" s="69"/>
      <c r="V196" s="69">
        <v>6570.52</v>
      </c>
      <c r="W196" s="69"/>
      <c r="X196" s="69">
        <v>60708.12</v>
      </c>
      <c r="Y196" s="69"/>
      <c r="Z196" s="69">
        <v>0</v>
      </c>
      <c r="AA196" s="69"/>
      <c r="AB196" s="69">
        <v>0</v>
      </c>
      <c r="AC196" s="69"/>
      <c r="AD196" s="69">
        <v>0</v>
      </c>
      <c r="AE196" s="69"/>
      <c r="AF196" s="69">
        <v>0</v>
      </c>
      <c r="AH196" s="4">
        <f t="shared" si="5"/>
        <v>296386.44</v>
      </c>
    </row>
    <row r="197" spans="1:65" s="4" customFormat="1">
      <c r="A197" s="4">
        <v>125</v>
      </c>
      <c r="B197" s="4" t="s">
        <v>207</v>
      </c>
      <c r="D197" s="4" t="s">
        <v>12</v>
      </c>
      <c r="F197" s="69">
        <v>0</v>
      </c>
      <c r="G197" s="69"/>
      <c r="H197" s="69">
        <v>176064.03</v>
      </c>
      <c r="I197" s="69"/>
      <c r="J197" s="69">
        <v>0</v>
      </c>
      <c r="K197" s="69"/>
      <c r="L197" s="69">
        <v>3304.85</v>
      </c>
      <c r="M197" s="69"/>
      <c r="N197" s="69">
        <v>0</v>
      </c>
      <c r="O197" s="69"/>
      <c r="P197" s="69">
        <v>0</v>
      </c>
      <c r="Q197" s="69"/>
      <c r="R197" s="69">
        <v>3405.83</v>
      </c>
      <c r="S197" s="69"/>
      <c r="T197" s="69">
        <v>6309.73</v>
      </c>
      <c r="U197" s="69"/>
      <c r="V197" s="69">
        <v>211.37</v>
      </c>
      <c r="W197" s="69"/>
      <c r="X197" s="69">
        <v>0</v>
      </c>
      <c r="Y197" s="69"/>
      <c r="Z197" s="69">
        <v>0</v>
      </c>
      <c r="AA197" s="69"/>
      <c r="AB197" s="69">
        <v>0</v>
      </c>
      <c r="AC197" s="69"/>
      <c r="AD197" s="69">
        <v>36</v>
      </c>
      <c r="AE197" s="69"/>
      <c r="AF197" s="69">
        <v>0</v>
      </c>
      <c r="AH197" s="4">
        <f t="shared" si="5"/>
        <v>189331.81</v>
      </c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</row>
    <row r="198" spans="1:65" s="4" customFormat="1">
      <c r="A198" s="4">
        <v>140</v>
      </c>
      <c r="B198" s="4" t="s">
        <v>431</v>
      </c>
      <c r="D198" s="4" t="s">
        <v>16</v>
      </c>
      <c r="F198" s="69">
        <v>1060548</v>
      </c>
      <c r="G198" s="69">
        <v>0</v>
      </c>
      <c r="H198" s="69">
        <v>1264052</v>
      </c>
      <c r="I198" s="69">
        <v>0</v>
      </c>
      <c r="J198" s="69">
        <v>187278</v>
      </c>
      <c r="K198" s="69">
        <v>0</v>
      </c>
      <c r="L198" s="69">
        <v>34473</v>
      </c>
      <c r="M198" s="69">
        <v>0</v>
      </c>
      <c r="N198" s="69">
        <v>0</v>
      </c>
      <c r="O198" s="69">
        <v>0</v>
      </c>
      <c r="P198" s="69">
        <v>0</v>
      </c>
      <c r="Q198" s="69">
        <v>0</v>
      </c>
      <c r="R198" s="69">
        <v>0</v>
      </c>
      <c r="S198" s="69">
        <v>0</v>
      </c>
      <c r="T198" s="69">
        <v>4129</v>
      </c>
      <c r="U198" s="69">
        <v>0</v>
      </c>
      <c r="V198" s="69">
        <v>16088</v>
      </c>
      <c r="W198" s="69">
        <v>0</v>
      </c>
      <c r="X198" s="69">
        <v>0</v>
      </c>
      <c r="Y198" s="69">
        <v>0</v>
      </c>
      <c r="Z198" s="69">
        <v>0</v>
      </c>
      <c r="AA198" s="69">
        <v>0</v>
      </c>
      <c r="AB198" s="69">
        <v>0</v>
      </c>
      <c r="AC198" s="69">
        <v>0</v>
      </c>
      <c r="AD198" s="69">
        <v>0</v>
      </c>
      <c r="AE198" s="69">
        <v>0</v>
      </c>
      <c r="AF198" s="69">
        <v>0</v>
      </c>
      <c r="AH198" s="4">
        <f t="shared" si="5"/>
        <v>2566568</v>
      </c>
    </row>
    <row r="199" spans="1:65" s="4" customFormat="1">
      <c r="A199" s="4">
        <v>187</v>
      </c>
      <c r="B199" s="4" t="s">
        <v>604</v>
      </c>
      <c r="D199" s="4" t="s">
        <v>209</v>
      </c>
      <c r="F199" s="69">
        <v>1447254</v>
      </c>
      <c r="G199" s="69">
        <v>0</v>
      </c>
      <c r="H199" s="69">
        <v>0</v>
      </c>
      <c r="I199" s="69">
        <v>0</v>
      </c>
      <c r="J199" s="69">
        <v>2391747</v>
      </c>
      <c r="K199" s="69">
        <v>0</v>
      </c>
      <c r="L199" s="69">
        <v>88778</v>
      </c>
      <c r="M199" s="69">
        <v>0</v>
      </c>
      <c r="N199" s="69">
        <v>18085</v>
      </c>
      <c r="O199" s="69">
        <v>0</v>
      </c>
      <c r="P199" s="69">
        <v>0</v>
      </c>
      <c r="Q199" s="69">
        <v>0</v>
      </c>
      <c r="R199" s="69">
        <v>16600</v>
      </c>
      <c r="S199" s="69">
        <v>0</v>
      </c>
      <c r="T199" s="69">
        <v>4869</v>
      </c>
      <c r="U199" s="69">
        <v>0</v>
      </c>
      <c r="V199" s="69">
        <v>8990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9">
        <v>0</v>
      </c>
      <c r="AD199" s="69">
        <v>0</v>
      </c>
      <c r="AE199" s="69">
        <v>0</v>
      </c>
      <c r="AF199" s="69">
        <v>0</v>
      </c>
      <c r="AH199" s="4">
        <f t="shared" si="5"/>
        <v>3976323</v>
      </c>
    </row>
    <row r="200" spans="1:65" s="4" customFormat="1">
      <c r="A200" s="4">
        <v>17</v>
      </c>
      <c r="B200" s="4" t="s">
        <v>310</v>
      </c>
      <c r="D200" s="4" t="s">
        <v>60</v>
      </c>
      <c r="F200" s="69">
        <v>148912</v>
      </c>
      <c r="G200" s="69">
        <v>0</v>
      </c>
      <c r="H200" s="69">
        <v>416833</v>
      </c>
      <c r="I200" s="69">
        <v>0</v>
      </c>
      <c r="J200" s="69">
        <v>82396</v>
      </c>
      <c r="K200" s="69">
        <v>0</v>
      </c>
      <c r="L200" s="69">
        <v>13975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3378</v>
      </c>
      <c r="S200" s="69">
        <v>0</v>
      </c>
      <c r="T200" s="69">
        <v>7837</v>
      </c>
      <c r="U200" s="69">
        <v>0</v>
      </c>
      <c r="V200" s="69">
        <v>5361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9">
        <v>0</v>
      </c>
      <c r="AD200" s="69">
        <v>0</v>
      </c>
      <c r="AE200" s="69">
        <v>0</v>
      </c>
      <c r="AF200" s="69">
        <v>0</v>
      </c>
      <c r="AH200" s="4">
        <f t="shared" si="5"/>
        <v>678692</v>
      </c>
    </row>
    <row r="201" spans="1:65" s="4" customFormat="1">
      <c r="A201" s="4">
        <v>109</v>
      </c>
      <c r="B201" s="35" t="s">
        <v>461</v>
      </c>
      <c r="C201" s="35"/>
      <c r="D201" s="35" t="s">
        <v>210</v>
      </c>
      <c r="E201" s="35"/>
      <c r="F201" s="69">
        <v>0</v>
      </c>
      <c r="G201" s="69"/>
      <c r="H201" s="69">
        <v>1678299.19</v>
      </c>
      <c r="I201" s="69"/>
      <c r="J201" s="69">
        <v>2241.15</v>
      </c>
      <c r="K201" s="69"/>
      <c r="L201" s="69">
        <v>29806.720000000001</v>
      </c>
      <c r="M201" s="69"/>
      <c r="N201" s="69">
        <v>0</v>
      </c>
      <c r="O201" s="69"/>
      <c r="P201" s="69">
        <v>0</v>
      </c>
      <c r="Q201" s="69"/>
      <c r="R201" s="69">
        <v>17899.41</v>
      </c>
      <c r="S201" s="69"/>
      <c r="T201" s="69">
        <v>3036.37</v>
      </c>
      <c r="U201" s="69"/>
      <c r="V201" s="69">
        <v>8742.83</v>
      </c>
      <c r="W201" s="69"/>
      <c r="X201" s="69">
        <v>0</v>
      </c>
      <c r="Y201" s="69"/>
      <c r="Z201" s="69">
        <v>0</v>
      </c>
      <c r="AA201" s="69"/>
      <c r="AB201" s="69">
        <v>0</v>
      </c>
      <c r="AC201" s="69"/>
      <c r="AD201" s="69">
        <v>0</v>
      </c>
      <c r="AE201" s="69"/>
      <c r="AF201" s="69">
        <v>0</v>
      </c>
      <c r="AG201" s="35"/>
      <c r="AH201" s="4">
        <f t="shared" si="5"/>
        <v>1740025.67</v>
      </c>
    </row>
    <row r="202" spans="1:65" s="4" customFormat="1" hidden="1">
      <c r="A202" s="4">
        <v>207</v>
      </c>
      <c r="B202" s="4" t="s">
        <v>441</v>
      </c>
      <c r="D202" s="4" t="s">
        <v>56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69">
        <v>0</v>
      </c>
      <c r="P202" s="69">
        <v>0</v>
      </c>
      <c r="Q202" s="69">
        <v>0</v>
      </c>
      <c r="R202" s="69">
        <v>0</v>
      </c>
      <c r="S202" s="69">
        <v>0</v>
      </c>
      <c r="T202" s="69">
        <v>0</v>
      </c>
      <c r="U202" s="69">
        <v>0</v>
      </c>
      <c r="V202" s="69">
        <v>0</v>
      </c>
      <c r="W202" s="69">
        <v>0</v>
      </c>
      <c r="X202" s="69">
        <v>0</v>
      </c>
      <c r="Y202" s="69">
        <v>0</v>
      </c>
      <c r="Z202" s="69">
        <v>0</v>
      </c>
      <c r="AA202" s="69">
        <v>0</v>
      </c>
      <c r="AB202" s="69">
        <v>0</v>
      </c>
      <c r="AC202" s="69">
        <v>0</v>
      </c>
      <c r="AD202" s="69">
        <v>0</v>
      </c>
      <c r="AE202" s="69">
        <v>0</v>
      </c>
      <c r="AF202" s="69">
        <v>0</v>
      </c>
      <c r="AH202" s="4">
        <f t="shared" si="5"/>
        <v>0</v>
      </c>
    </row>
    <row r="203" spans="1:65" s="4" customFormat="1">
      <c r="A203" s="4">
        <v>243</v>
      </c>
      <c r="B203" s="35" t="s">
        <v>462</v>
      </c>
      <c r="C203" s="35"/>
      <c r="D203" s="35" t="s">
        <v>114</v>
      </c>
      <c r="E203" s="35"/>
      <c r="F203" s="69">
        <v>0</v>
      </c>
      <c r="G203" s="69"/>
      <c r="H203" s="69">
        <v>447391.47</v>
      </c>
      <c r="I203" s="69"/>
      <c r="J203" s="69">
        <v>0</v>
      </c>
      <c r="K203" s="69"/>
      <c r="L203" s="69">
        <v>11793.36</v>
      </c>
      <c r="M203" s="69"/>
      <c r="N203" s="69">
        <v>0</v>
      </c>
      <c r="O203" s="69"/>
      <c r="P203" s="69">
        <v>0</v>
      </c>
      <c r="Q203" s="69"/>
      <c r="R203" s="69">
        <v>0</v>
      </c>
      <c r="S203" s="69"/>
      <c r="T203" s="69">
        <v>111.53</v>
      </c>
      <c r="U203" s="69"/>
      <c r="V203" s="69">
        <v>1647.59</v>
      </c>
      <c r="W203" s="69"/>
      <c r="X203" s="69">
        <v>0</v>
      </c>
      <c r="Y203" s="69"/>
      <c r="Z203" s="69">
        <v>0</v>
      </c>
      <c r="AA203" s="69"/>
      <c r="AB203" s="69">
        <v>0</v>
      </c>
      <c r="AC203" s="69"/>
      <c r="AD203" s="69">
        <v>0</v>
      </c>
      <c r="AE203" s="69"/>
      <c r="AF203" s="69">
        <v>0</v>
      </c>
      <c r="AG203" s="35"/>
      <c r="AH203" s="4">
        <f t="shared" si="5"/>
        <v>460943.95</v>
      </c>
    </row>
    <row r="204" spans="1:65" s="4" customFormat="1">
      <c r="A204" s="4">
        <v>6</v>
      </c>
      <c r="B204" s="4" t="s">
        <v>341</v>
      </c>
      <c r="D204" s="4" t="s">
        <v>89</v>
      </c>
      <c r="F204" s="69">
        <v>199345</v>
      </c>
      <c r="G204" s="69">
        <v>0</v>
      </c>
      <c r="H204" s="69">
        <v>0</v>
      </c>
      <c r="I204" s="69">
        <v>0</v>
      </c>
      <c r="J204" s="69">
        <v>3555</v>
      </c>
      <c r="K204" s="69">
        <v>0</v>
      </c>
      <c r="L204" s="69">
        <f>4306+1969</f>
        <v>6275</v>
      </c>
      <c r="M204" s="69">
        <v>0</v>
      </c>
      <c r="N204" s="69">
        <v>0</v>
      </c>
      <c r="O204" s="69">
        <v>0</v>
      </c>
      <c r="P204" s="69">
        <v>0</v>
      </c>
      <c r="Q204" s="69">
        <v>0</v>
      </c>
      <c r="R204" s="69">
        <v>0</v>
      </c>
      <c r="S204" s="69">
        <v>0</v>
      </c>
      <c r="T204" s="69">
        <v>2192</v>
      </c>
      <c r="U204" s="69">
        <v>0</v>
      </c>
      <c r="V204" s="69">
        <f>9305+1865</f>
        <v>11170</v>
      </c>
      <c r="W204" s="69">
        <v>0</v>
      </c>
      <c r="X204" s="69">
        <v>0</v>
      </c>
      <c r="Y204" s="69">
        <v>0</v>
      </c>
      <c r="Z204" s="69">
        <v>26709</v>
      </c>
      <c r="AA204" s="69">
        <v>0</v>
      </c>
      <c r="AB204" s="69">
        <v>0</v>
      </c>
      <c r="AC204" s="69">
        <v>0</v>
      </c>
      <c r="AD204" s="69">
        <v>0</v>
      </c>
      <c r="AE204" s="69">
        <v>0</v>
      </c>
      <c r="AF204" s="69">
        <v>0</v>
      </c>
      <c r="AH204" s="4">
        <f t="shared" si="5"/>
        <v>249246</v>
      </c>
    </row>
    <row r="205" spans="1:65" s="4" customFormat="1">
      <c r="A205" s="4">
        <v>68</v>
      </c>
      <c r="B205" s="35" t="s">
        <v>211</v>
      </c>
      <c r="C205" s="35"/>
      <c r="D205" s="35" t="s">
        <v>81</v>
      </c>
      <c r="E205" s="35"/>
      <c r="F205" s="69">
        <v>0</v>
      </c>
      <c r="G205" s="69"/>
      <c r="H205" s="69">
        <v>246724.34</v>
      </c>
      <c r="I205" s="69"/>
      <c r="J205" s="69">
        <v>0</v>
      </c>
      <c r="K205" s="69"/>
      <c r="L205" s="69">
        <v>4874.8599999999997</v>
      </c>
      <c r="M205" s="69"/>
      <c r="N205" s="69">
        <v>0</v>
      </c>
      <c r="O205" s="69"/>
      <c r="P205" s="69">
        <v>0</v>
      </c>
      <c r="Q205" s="69"/>
      <c r="R205" s="69">
        <v>470</v>
      </c>
      <c r="S205" s="69"/>
      <c r="T205" s="69">
        <v>310.52999999999997</v>
      </c>
      <c r="U205" s="69"/>
      <c r="V205" s="69">
        <v>2734.02</v>
      </c>
      <c r="W205" s="69"/>
      <c r="X205" s="69">
        <v>0</v>
      </c>
      <c r="Y205" s="69"/>
      <c r="Z205" s="69">
        <v>0</v>
      </c>
      <c r="AA205" s="69"/>
      <c r="AB205" s="69">
        <v>0</v>
      </c>
      <c r="AC205" s="69"/>
      <c r="AD205" s="69">
        <v>0</v>
      </c>
      <c r="AE205" s="69"/>
      <c r="AF205" s="69">
        <v>0</v>
      </c>
      <c r="AG205" s="35"/>
      <c r="AH205" s="4">
        <f t="shared" si="5"/>
        <v>255113.74999999997</v>
      </c>
    </row>
    <row r="206" spans="1:65" s="4" customFormat="1">
      <c r="A206" s="4">
        <v>196</v>
      </c>
      <c r="B206" s="35" t="s">
        <v>463</v>
      </c>
      <c r="C206" s="35"/>
      <c r="D206" s="35" t="s">
        <v>66</v>
      </c>
      <c r="E206" s="35"/>
      <c r="F206" s="69">
        <v>0</v>
      </c>
      <c r="G206" s="69"/>
      <c r="H206" s="69">
        <v>92452.47</v>
      </c>
      <c r="I206" s="69"/>
      <c r="J206" s="69">
        <v>0</v>
      </c>
      <c r="K206" s="69"/>
      <c r="L206" s="69">
        <v>1309.79</v>
      </c>
      <c r="M206" s="69"/>
      <c r="N206" s="69">
        <v>0</v>
      </c>
      <c r="O206" s="69"/>
      <c r="P206" s="69">
        <v>0</v>
      </c>
      <c r="Q206" s="69"/>
      <c r="R206" s="69">
        <v>498.58</v>
      </c>
      <c r="S206" s="69"/>
      <c r="T206" s="69">
        <v>0</v>
      </c>
      <c r="U206" s="69"/>
      <c r="V206" s="69">
        <v>5944.13</v>
      </c>
      <c r="W206" s="69"/>
      <c r="X206" s="69">
        <v>185</v>
      </c>
      <c r="Y206" s="69"/>
      <c r="Z206" s="69">
        <v>0</v>
      </c>
      <c r="AA206" s="69"/>
      <c r="AB206" s="69">
        <v>0</v>
      </c>
      <c r="AC206" s="69"/>
      <c r="AD206" s="69">
        <v>0</v>
      </c>
      <c r="AE206" s="69"/>
      <c r="AF206" s="69">
        <v>0</v>
      </c>
      <c r="AG206" s="35"/>
      <c r="AH206" s="4">
        <f t="shared" si="5"/>
        <v>100389.97</v>
      </c>
    </row>
    <row r="207" spans="1:65" s="4" customFormat="1">
      <c r="A207" s="4">
        <v>45</v>
      </c>
      <c r="B207" s="4" t="s">
        <v>212</v>
      </c>
      <c r="D207" s="4" t="s">
        <v>26</v>
      </c>
      <c r="F207" s="69">
        <v>37088.31</v>
      </c>
      <c r="G207" s="69"/>
      <c r="H207" s="69">
        <v>226127.16</v>
      </c>
      <c r="I207" s="69"/>
      <c r="J207" s="69">
        <v>16314.9</v>
      </c>
      <c r="K207" s="69"/>
      <c r="L207" s="69">
        <v>9891.23</v>
      </c>
      <c r="M207" s="69"/>
      <c r="N207" s="69">
        <v>0</v>
      </c>
      <c r="O207" s="69"/>
      <c r="P207" s="69">
        <v>0</v>
      </c>
      <c r="Q207" s="69"/>
      <c r="R207" s="69">
        <v>6365.19</v>
      </c>
      <c r="S207" s="69"/>
      <c r="T207" s="69">
        <v>0</v>
      </c>
      <c r="U207" s="69"/>
      <c r="V207" s="69">
        <v>1312.1</v>
      </c>
      <c r="W207" s="69"/>
      <c r="X207" s="69">
        <v>0</v>
      </c>
      <c r="Y207" s="69"/>
      <c r="Z207" s="69">
        <v>0</v>
      </c>
      <c r="AA207" s="69"/>
      <c r="AB207" s="69">
        <v>0</v>
      </c>
      <c r="AC207" s="69"/>
      <c r="AD207" s="69">
        <v>0</v>
      </c>
      <c r="AE207" s="69"/>
      <c r="AF207" s="69">
        <v>0</v>
      </c>
      <c r="AH207" s="4">
        <f t="shared" si="5"/>
        <v>297098.88999999996</v>
      </c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</row>
    <row r="208" spans="1:65" s="4" customFormat="1" hidden="1">
      <c r="A208" s="4">
        <v>88</v>
      </c>
      <c r="B208" s="4" t="s">
        <v>213</v>
      </c>
      <c r="D208" s="4" t="s">
        <v>56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9">
        <v>0</v>
      </c>
      <c r="AD208" s="69">
        <v>0</v>
      </c>
      <c r="AE208" s="69">
        <v>0</v>
      </c>
      <c r="AF208" s="69">
        <v>0</v>
      </c>
      <c r="AH208" s="4">
        <f t="shared" si="5"/>
        <v>0</v>
      </c>
    </row>
    <row r="209" spans="1:65" s="4" customFormat="1">
      <c r="A209" s="39">
        <v>197.1</v>
      </c>
      <c r="B209" s="4" t="s">
        <v>216</v>
      </c>
      <c r="D209" s="4" t="s">
        <v>42</v>
      </c>
      <c r="F209" s="69">
        <v>0</v>
      </c>
      <c r="G209" s="69"/>
      <c r="H209" s="69">
        <v>92924.67</v>
      </c>
      <c r="I209" s="69"/>
      <c r="J209" s="69">
        <v>22682.69</v>
      </c>
      <c r="K209" s="69"/>
      <c r="L209" s="69">
        <v>3921.4</v>
      </c>
      <c r="M209" s="69"/>
      <c r="N209" s="69">
        <v>0</v>
      </c>
      <c r="O209" s="69"/>
      <c r="P209" s="69">
        <v>0</v>
      </c>
      <c r="Q209" s="69"/>
      <c r="R209" s="69">
        <v>1493.85</v>
      </c>
      <c r="S209" s="69"/>
      <c r="T209" s="69">
        <v>273.12</v>
      </c>
      <c r="U209" s="69"/>
      <c r="V209" s="69">
        <v>98.93</v>
      </c>
      <c r="W209" s="69"/>
      <c r="X209" s="69">
        <v>360.01</v>
      </c>
      <c r="Y209" s="69"/>
      <c r="Z209" s="69">
        <v>0</v>
      </c>
      <c r="AA209" s="69"/>
      <c r="AB209" s="69">
        <v>0</v>
      </c>
      <c r="AC209" s="69"/>
      <c r="AD209" s="69">
        <v>0</v>
      </c>
      <c r="AE209" s="69"/>
      <c r="AF209" s="69">
        <v>0</v>
      </c>
      <c r="AH209" s="4">
        <f t="shared" si="5"/>
        <v>121754.66999999998</v>
      </c>
    </row>
    <row r="210" spans="1:65" s="4" customFormat="1">
      <c r="A210" s="4">
        <v>92</v>
      </c>
      <c r="B210" s="35" t="s">
        <v>217</v>
      </c>
      <c r="C210" s="35"/>
      <c r="D210" s="35" t="s">
        <v>65</v>
      </c>
      <c r="E210" s="35"/>
      <c r="F210" s="69">
        <v>0</v>
      </c>
      <c r="G210" s="69"/>
      <c r="H210" s="69">
        <v>295802.74</v>
      </c>
      <c r="I210" s="69"/>
      <c r="J210" s="69">
        <v>0</v>
      </c>
      <c r="K210" s="69"/>
      <c r="L210" s="69">
        <v>7988.9</v>
      </c>
      <c r="M210" s="69"/>
      <c r="N210" s="69">
        <v>0</v>
      </c>
      <c r="O210" s="69"/>
      <c r="P210" s="69">
        <v>0</v>
      </c>
      <c r="Q210" s="69"/>
      <c r="R210" s="69">
        <v>7387.82</v>
      </c>
      <c r="S210" s="69"/>
      <c r="T210" s="69">
        <v>801.46</v>
      </c>
      <c r="U210" s="69"/>
      <c r="V210" s="69">
        <v>2188.29</v>
      </c>
      <c r="W210" s="69"/>
      <c r="X210" s="69">
        <v>0</v>
      </c>
      <c r="Y210" s="69"/>
      <c r="Z210" s="69">
        <v>0</v>
      </c>
      <c r="AA210" s="69"/>
      <c r="AB210" s="69">
        <v>0</v>
      </c>
      <c r="AC210" s="69"/>
      <c r="AD210" s="69">
        <v>0</v>
      </c>
      <c r="AE210" s="69"/>
      <c r="AF210" s="69">
        <v>0</v>
      </c>
      <c r="AG210" s="35"/>
      <c r="AH210" s="4">
        <f t="shared" si="5"/>
        <v>314169.21000000002</v>
      </c>
    </row>
    <row r="211" spans="1:65" s="4" customFormat="1">
      <c r="A211" s="4">
        <v>139</v>
      </c>
      <c r="B211" s="4" t="s">
        <v>218</v>
      </c>
      <c r="D211" s="4" t="s">
        <v>25</v>
      </c>
      <c r="F211" s="69">
        <v>169889</v>
      </c>
      <c r="G211" s="69">
        <v>0</v>
      </c>
      <c r="H211" s="69">
        <v>0</v>
      </c>
      <c r="I211" s="69">
        <v>0</v>
      </c>
      <c r="J211" s="69">
        <v>1240548</v>
      </c>
      <c r="K211" s="69">
        <v>0</v>
      </c>
      <c r="L211" s="69">
        <v>77893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201</v>
      </c>
      <c r="S211" s="69">
        <v>0</v>
      </c>
      <c r="T211" s="69">
        <v>786</v>
      </c>
      <c r="U211" s="69">
        <v>0</v>
      </c>
      <c r="V211" s="69">
        <v>11983</v>
      </c>
      <c r="W211" s="69">
        <v>0</v>
      </c>
      <c r="X211" s="69">
        <v>0</v>
      </c>
      <c r="Y211" s="69">
        <v>0</v>
      </c>
      <c r="Z211" s="69">
        <v>0</v>
      </c>
      <c r="AA211" s="69">
        <v>0</v>
      </c>
      <c r="AB211" s="69">
        <v>0</v>
      </c>
      <c r="AC211" s="69">
        <v>0</v>
      </c>
      <c r="AD211" s="69">
        <v>0</v>
      </c>
      <c r="AE211" s="69">
        <v>0</v>
      </c>
      <c r="AF211" s="69">
        <v>0</v>
      </c>
      <c r="AH211" s="4">
        <f t="shared" si="5"/>
        <v>1501300</v>
      </c>
    </row>
    <row r="212" spans="1:65" s="4" customFormat="1">
      <c r="B212" s="4" t="s">
        <v>619</v>
      </c>
      <c r="D212" s="4" t="s">
        <v>56</v>
      </c>
      <c r="F212" s="69">
        <v>0</v>
      </c>
      <c r="G212" s="69">
        <v>0</v>
      </c>
      <c r="H212" s="69">
        <v>0</v>
      </c>
      <c r="I212" s="69">
        <v>0</v>
      </c>
      <c r="J212" s="69">
        <v>234976</v>
      </c>
      <c r="K212" s="69">
        <v>0</v>
      </c>
      <c r="L212" s="69">
        <v>304765</v>
      </c>
      <c r="M212" s="69">
        <v>0</v>
      </c>
      <c r="N212" s="69">
        <v>0</v>
      </c>
      <c r="O212" s="69">
        <v>0</v>
      </c>
      <c r="P212" s="69">
        <v>0</v>
      </c>
      <c r="Q212" s="69">
        <v>0</v>
      </c>
      <c r="R212" s="69">
        <v>0</v>
      </c>
      <c r="S212" s="69">
        <v>0</v>
      </c>
      <c r="T212" s="69">
        <v>4322</v>
      </c>
      <c r="U212" s="69">
        <v>0</v>
      </c>
      <c r="V212" s="69">
        <v>51909</v>
      </c>
      <c r="W212" s="69">
        <v>0</v>
      </c>
      <c r="X212" s="69">
        <v>0</v>
      </c>
      <c r="Y212" s="69">
        <v>0</v>
      </c>
      <c r="Z212" s="69">
        <v>8005</v>
      </c>
      <c r="AA212" s="69">
        <v>0</v>
      </c>
      <c r="AB212" s="69">
        <v>0</v>
      </c>
      <c r="AC212" s="69">
        <v>0</v>
      </c>
      <c r="AD212" s="69">
        <v>0</v>
      </c>
      <c r="AE212" s="69">
        <v>0</v>
      </c>
      <c r="AF212" s="69">
        <v>0</v>
      </c>
      <c r="AH212" s="4">
        <f t="shared" si="5"/>
        <v>603977</v>
      </c>
    </row>
    <row r="213" spans="1:65" s="4" customFormat="1">
      <c r="A213" s="4">
        <v>132</v>
      </c>
      <c r="B213" s="4" t="s">
        <v>443</v>
      </c>
      <c r="D213" s="4" t="s">
        <v>65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69">
        <v>0</v>
      </c>
      <c r="O213" s="69">
        <v>0</v>
      </c>
      <c r="P213" s="69">
        <v>19546</v>
      </c>
      <c r="Q213" s="69">
        <v>0</v>
      </c>
      <c r="R213" s="69">
        <v>0</v>
      </c>
      <c r="S213" s="69">
        <v>0</v>
      </c>
      <c r="T213" s="69">
        <v>109</v>
      </c>
      <c r="U213" s="69">
        <v>0</v>
      </c>
      <c r="V213" s="69">
        <v>0</v>
      </c>
      <c r="W213" s="69">
        <v>0</v>
      </c>
      <c r="X213" s="69">
        <v>0</v>
      </c>
      <c r="Y213" s="69">
        <v>0</v>
      </c>
      <c r="Z213" s="69">
        <v>10473</v>
      </c>
      <c r="AA213" s="69">
        <v>0</v>
      </c>
      <c r="AB213" s="69">
        <v>0</v>
      </c>
      <c r="AC213" s="69">
        <v>0</v>
      </c>
      <c r="AD213" s="69">
        <v>0</v>
      </c>
      <c r="AE213" s="69">
        <v>0</v>
      </c>
      <c r="AF213" s="69">
        <v>0</v>
      </c>
      <c r="AH213" s="4">
        <f t="shared" si="5"/>
        <v>30128</v>
      </c>
    </row>
    <row r="214" spans="1:65" s="4" customFormat="1">
      <c r="A214" s="4">
        <v>9</v>
      </c>
      <c r="B214" s="4" t="s">
        <v>219</v>
      </c>
      <c r="D214" s="4" t="s">
        <v>89</v>
      </c>
      <c r="F214" s="69">
        <v>136384.78</v>
      </c>
      <c r="G214" s="69"/>
      <c r="H214" s="69">
        <v>542915.39</v>
      </c>
      <c r="I214" s="69"/>
      <c r="J214" s="69">
        <v>39201.32</v>
      </c>
      <c r="K214" s="69"/>
      <c r="L214" s="69">
        <v>26070.37</v>
      </c>
      <c r="M214" s="69"/>
      <c r="N214" s="69">
        <v>0</v>
      </c>
      <c r="O214" s="69"/>
      <c r="P214" s="69">
        <v>0</v>
      </c>
      <c r="Q214" s="69"/>
      <c r="R214" s="69">
        <v>28518.01</v>
      </c>
      <c r="S214" s="69"/>
      <c r="T214" s="69">
        <v>4444.51</v>
      </c>
      <c r="U214" s="69"/>
      <c r="V214" s="69">
        <v>31542.41</v>
      </c>
      <c r="W214" s="69"/>
      <c r="X214" s="69">
        <v>0</v>
      </c>
      <c r="Y214" s="69"/>
      <c r="Z214" s="69">
        <v>0</v>
      </c>
      <c r="AA214" s="69"/>
      <c r="AB214" s="69">
        <v>0</v>
      </c>
      <c r="AC214" s="69"/>
      <c r="AD214" s="69">
        <v>0</v>
      </c>
      <c r="AE214" s="69"/>
      <c r="AF214" s="69">
        <v>0</v>
      </c>
      <c r="AH214" s="4">
        <f t="shared" si="5"/>
        <v>809076.79</v>
      </c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</row>
    <row r="215" spans="1:65" s="4" customFormat="1">
      <c r="A215" s="4">
        <v>107</v>
      </c>
      <c r="B215" s="4" t="s">
        <v>220</v>
      </c>
      <c r="D215" s="4" t="s">
        <v>158</v>
      </c>
      <c r="F215" s="69">
        <v>238032</v>
      </c>
      <c r="G215" s="69">
        <v>0</v>
      </c>
      <c r="H215" s="69">
        <v>0</v>
      </c>
      <c r="I215" s="69">
        <v>0</v>
      </c>
      <c r="J215" s="69">
        <v>1500</v>
      </c>
      <c r="K215" s="69">
        <v>0</v>
      </c>
      <c r="L215" s="69">
        <v>12059</v>
      </c>
      <c r="M215" s="69">
        <v>0</v>
      </c>
      <c r="N215" s="69">
        <v>0</v>
      </c>
      <c r="O215" s="69">
        <v>0</v>
      </c>
      <c r="P215" s="69">
        <v>0</v>
      </c>
      <c r="Q215" s="69">
        <v>0</v>
      </c>
      <c r="R215" s="69">
        <v>1605</v>
      </c>
      <c r="S215" s="69">
        <v>0</v>
      </c>
      <c r="T215" s="69">
        <v>837</v>
      </c>
      <c r="U215" s="69">
        <v>0</v>
      </c>
      <c r="V215" s="69">
        <v>12336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9">
        <v>0</v>
      </c>
      <c r="AD215" s="69">
        <v>363</v>
      </c>
      <c r="AE215" s="69">
        <v>0</v>
      </c>
      <c r="AF215" s="69">
        <v>0</v>
      </c>
      <c r="AH215" s="4">
        <f t="shared" si="5"/>
        <v>266732</v>
      </c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</row>
    <row r="216" spans="1:65" s="4" customFormat="1">
      <c r="A216" s="4">
        <v>240</v>
      </c>
      <c r="B216" s="4" t="s">
        <v>221</v>
      </c>
      <c r="D216" s="4" t="s">
        <v>170</v>
      </c>
      <c r="F216" s="69">
        <v>199854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11175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1505</v>
      </c>
      <c r="S216" s="69">
        <v>0</v>
      </c>
      <c r="T216" s="69">
        <v>10483</v>
      </c>
      <c r="U216" s="69">
        <v>0</v>
      </c>
      <c r="V216" s="69">
        <v>2701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9">
        <v>0</v>
      </c>
      <c r="AC216" s="69">
        <v>0</v>
      </c>
      <c r="AD216" s="69">
        <v>0</v>
      </c>
      <c r="AE216" s="69">
        <v>0</v>
      </c>
      <c r="AF216" s="69">
        <v>0</v>
      </c>
      <c r="AH216" s="4">
        <f t="shared" si="5"/>
        <v>225718</v>
      </c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</row>
    <row r="217" spans="1:65" s="4" customFormat="1">
      <c r="A217" s="4">
        <v>237</v>
      </c>
      <c r="B217" s="4" t="s">
        <v>222</v>
      </c>
      <c r="D217" s="4" t="s">
        <v>57</v>
      </c>
      <c r="F217" s="69">
        <v>794405.62</v>
      </c>
      <c r="G217" s="69"/>
      <c r="H217" s="69">
        <v>329420.09999999998</v>
      </c>
      <c r="I217" s="69"/>
      <c r="J217" s="69">
        <v>101178.62</v>
      </c>
      <c r="K217" s="69"/>
      <c r="L217" s="69">
        <v>31765.31</v>
      </c>
      <c r="M217" s="69"/>
      <c r="N217" s="69">
        <v>0</v>
      </c>
      <c r="O217" s="69"/>
      <c r="P217" s="69">
        <v>0</v>
      </c>
      <c r="Q217" s="69"/>
      <c r="R217" s="69">
        <v>45268.9</v>
      </c>
      <c r="S217" s="69"/>
      <c r="T217" s="69">
        <v>192.51</v>
      </c>
      <c r="U217" s="69"/>
      <c r="V217" s="69">
        <v>1250.75</v>
      </c>
      <c r="W217" s="69"/>
      <c r="X217" s="69">
        <v>0</v>
      </c>
      <c r="Y217" s="69"/>
      <c r="Z217" s="69">
        <v>0</v>
      </c>
      <c r="AA217" s="69"/>
      <c r="AB217" s="69">
        <v>0</v>
      </c>
      <c r="AC217" s="69"/>
      <c r="AD217" s="69">
        <v>0</v>
      </c>
      <c r="AE217" s="69"/>
      <c r="AF217" s="69">
        <v>0</v>
      </c>
      <c r="AH217" s="4">
        <f t="shared" si="5"/>
        <v>1303481.8099999998</v>
      </c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</row>
    <row r="218" spans="1:65" s="7" customFormat="1">
      <c r="A218" s="4">
        <v>167</v>
      </c>
      <c r="B218" s="4" t="s">
        <v>224</v>
      </c>
      <c r="C218" s="4"/>
      <c r="D218" s="4" t="s">
        <v>225</v>
      </c>
      <c r="E218" s="4"/>
      <c r="F218" s="69">
        <v>125404</v>
      </c>
      <c r="G218" s="69">
        <v>0</v>
      </c>
      <c r="H218" s="69">
        <v>0</v>
      </c>
      <c r="I218" s="69">
        <v>0</v>
      </c>
      <c r="J218" s="69">
        <v>541680</v>
      </c>
      <c r="K218" s="69">
        <v>0</v>
      </c>
      <c r="L218" s="69">
        <v>37981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28226</v>
      </c>
      <c r="S218" s="69">
        <v>0</v>
      </c>
      <c r="T218" s="69">
        <v>17844</v>
      </c>
      <c r="U218" s="69">
        <v>0</v>
      </c>
      <c r="V218" s="69">
        <v>75</v>
      </c>
      <c r="W218" s="69">
        <v>0</v>
      </c>
      <c r="X218" s="69">
        <v>0</v>
      </c>
      <c r="Y218" s="69">
        <v>0</v>
      </c>
      <c r="Z218" s="69">
        <v>0</v>
      </c>
      <c r="AA218" s="69">
        <v>0</v>
      </c>
      <c r="AB218" s="69">
        <v>0</v>
      </c>
      <c r="AC218" s="69">
        <v>0</v>
      </c>
      <c r="AD218" s="69">
        <v>0</v>
      </c>
      <c r="AE218" s="69">
        <v>0</v>
      </c>
      <c r="AF218" s="69">
        <v>0</v>
      </c>
      <c r="AG218" s="4"/>
      <c r="AH218" s="4">
        <f t="shared" si="5"/>
        <v>751210</v>
      </c>
    </row>
    <row r="219" spans="1:65" s="4" customFormat="1">
      <c r="A219" s="4">
        <v>217</v>
      </c>
      <c r="B219" s="35" t="s">
        <v>226</v>
      </c>
      <c r="C219" s="35"/>
      <c r="D219" s="35" t="s">
        <v>41</v>
      </c>
      <c r="E219" s="35"/>
      <c r="F219" s="69">
        <v>254996.82</v>
      </c>
      <c r="G219" s="69"/>
      <c r="H219" s="69">
        <v>467304.7</v>
      </c>
      <c r="I219" s="69"/>
      <c r="J219" s="69">
        <v>34936.660000000003</v>
      </c>
      <c r="K219" s="69"/>
      <c r="L219" s="69">
        <v>24805.65</v>
      </c>
      <c r="M219" s="69"/>
      <c r="N219" s="69">
        <v>0</v>
      </c>
      <c r="O219" s="69"/>
      <c r="P219" s="69">
        <v>0</v>
      </c>
      <c r="Q219" s="69"/>
      <c r="R219" s="69">
        <v>627.30999999999995</v>
      </c>
      <c r="S219" s="69"/>
      <c r="T219" s="69">
        <v>6563.4</v>
      </c>
      <c r="U219" s="69"/>
      <c r="V219" s="69">
        <v>1464.63</v>
      </c>
      <c r="W219" s="69"/>
      <c r="X219" s="69">
        <v>0</v>
      </c>
      <c r="Y219" s="69"/>
      <c r="Z219" s="69">
        <v>0</v>
      </c>
      <c r="AA219" s="69"/>
      <c r="AB219" s="69">
        <v>0</v>
      </c>
      <c r="AC219" s="69"/>
      <c r="AD219" s="69">
        <v>0</v>
      </c>
      <c r="AE219" s="69"/>
      <c r="AF219" s="69">
        <v>0</v>
      </c>
      <c r="AG219" s="35"/>
      <c r="AH219" s="4">
        <f t="shared" si="5"/>
        <v>790699.17000000016</v>
      </c>
    </row>
    <row r="220" spans="1:65" s="4" customFormat="1">
      <c r="A220" s="4">
        <v>193</v>
      </c>
      <c r="B220" s="35" t="s">
        <v>465</v>
      </c>
      <c r="C220" s="35"/>
      <c r="D220" s="35" t="s">
        <v>60</v>
      </c>
      <c r="E220" s="35"/>
      <c r="F220" s="69">
        <v>27192.28</v>
      </c>
      <c r="G220" s="69"/>
      <c r="H220" s="69">
        <v>177236.01</v>
      </c>
      <c r="I220" s="69"/>
      <c r="J220" s="69">
        <v>0</v>
      </c>
      <c r="K220" s="69"/>
      <c r="L220" s="69">
        <v>3535.24</v>
      </c>
      <c r="M220" s="69"/>
      <c r="N220" s="69">
        <v>0</v>
      </c>
      <c r="O220" s="69"/>
      <c r="P220" s="69">
        <v>0</v>
      </c>
      <c r="Q220" s="69"/>
      <c r="R220" s="69">
        <v>17011.11</v>
      </c>
      <c r="S220" s="69"/>
      <c r="T220" s="69">
        <v>4479.07</v>
      </c>
      <c r="U220" s="69"/>
      <c r="V220" s="69">
        <v>1501.27</v>
      </c>
      <c r="W220" s="69"/>
      <c r="X220" s="69">
        <v>45</v>
      </c>
      <c r="Y220" s="69"/>
      <c r="Z220" s="69">
        <v>0</v>
      </c>
      <c r="AA220" s="69"/>
      <c r="AB220" s="69">
        <v>0</v>
      </c>
      <c r="AC220" s="69"/>
      <c r="AD220" s="69">
        <v>0</v>
      </c>
      <c r="AE220" s="69"/>
      <c r="AF220" s="69">
        <v>0</v>
      </c>
      <c r="AG220" s="35"/>
      <c r="AH220" s="4">
        <f t="shared" si="5"/>
        <v>230999.98</v>
      </c>
    </row>
    <row r="221" spans="1:65" s="4" customFormat="1">
      <c r="A221" s="4">
        <v>191</v>
      </c>
      <c r="B221" s="4" t="s">
        <v>228</v>
      </c>
      <c r="D221" s="4" t="s">
        <v>229</v>
      </c>
      <c r="F221" s="69">
        <v>676079.56</v>
      </c>
      <c r="G221" s="69"/>
      <c r="H221" s="69">
        <v>571745.88</v>
      </c>
      <c r="I221" s="69"/>
      <c r="J221" s="69">
        <v>0</v>
      </c>
      <c r="K221" s="69"/>
      <c r="L221" s="69">
        <v>27824.59</v>
      </c>
      <c r="M221" s="69"/>
      <c r="N221" s="69">
        <v>0</v>
      </c>
      <c r="O221" s="69"/>
      <c r="P221" s="69">
        <v>0</v>
      </c>
      <c r="Q221" s="69"/>
      <c r="R221" s="69">
        <v>4277.5</v>
      </c>
      <c r="S221" s="69"/>
      <c r="T221" s="69">
        <v>11975.27</v>
      </c>
      <c r="U221" s="69"/>
      <c r="V221" s="69">
        <v>21312.81</v>
      </c>
      <c r="W221" s="69"/>
      <c r="X221" s="69">
        <v>0</v>
      </c>
      <c r="Y221" s="69"/>
      <c r="Z221" s="69">
        <v>0</v>
      </c>
      <c r="AA221" s="69"/>
      <c r="AB221" s="69">
        <v>0</v>
      </c>
      <c r="AC221" s="69"/>
      <c r="AD221" s="69">
        <v>0</v>
      </c>
      <c r="AE221" s="69"/>
      <c r="AF221" s="69">
        <v>0</v>
      </c>
      <c r="AH221" s="4">
        <f t="shared" si="5"/>
        <v>1313215.6100000001</v>
      </c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</row>
    <row r="222" spans="1:65" s="4" customFormat="1">
      <c r="A222" s="4">
        <v>255</v>
      </c>
      <c r="B222" s="4" t="s">
        <v>231</v>
      </c>
      <c r="D222" s="4" t="s">
        <v>65</v>
      </c>
      <c r="F222" s="69">
        <v>0</v>
      </c>
      <c r="G222" s="69"/>
      <c r="H222" s="69">
        <v>292298.32</v>
      </c>
      <c r="I222" s="69"/>
      <c r="J222" s="69">
        <v>0</v>
      </c>
      <c r="K222" s="69"/>
      <c r="L222" s="69">
        <v>9266.35</v>
      </c>
      <c r="M222" s="69"/>
      <c r="N222" s="69">
        <v>0</v>
      </c>
      <c r="O222" s="69"/>
      <c r="P222" s="69">
        <v>0</v>
      </c>
      <c r="Q222" s="69"/>
      <c r="R222" s="69">
        <v>29599.77</v>
      </c>
      <c r="S222" s="69"/>
      <c r="T222" s="69">
        <v>7735.07</v>
      </c>
      <c r="U222" s="69"/>
      <c r="V222" s="69">
        <v>2317.8200000000002</v>
      </c>
      <c r="W222" s="69"/>
      <c r="X222" s="69">
        <v>0</v>
      </c>
      <c r="Y222" s="69"/>
      <c r="Z222" s="69">
        <v>0</v>
      </c>
      <c r="AA222" s="69"/>
      <c r="AB222" s="69">
        <v>175738.12</v>
      </c>
      <c r="AC222" s="69"/>
      <c r="AD222" s="69">
        <v>0</v>
      </c>
      <c r="AE222" s="69"/>
      <c r="AF222" s="69">
        <v>0</v>
      </c>
      <c r="AH222" s="4">
        <f t="shared" si="5"/>
        <v>516955.45</v>
      </c>
    </row>
    <row r="223" spans="1:65" s="4" customFormat="1">
      <c r="A223" s="4">
        <v>214</v>
      </c>
      <c r="B223" s="4" t="s">
        <v>232</v>
      </c>
      <c r="D223" s="4" t="s">
        <v>22</v>
      </c>
      <c r="F223" s="69">
        <v>75643.31</v>
      </c>
      <c r="G223" s="69"/>
      <c r="H223" s="69">
        <v>288818.19</v>
      </c>
      <c r="I223" s="69"/>
      <c r="J223" s="69">
        <v>10133.540000000001</v>
      </c>
      <c r="K223" s="69"/>
      <c r="L223" s="69">
        <v>4994.75</v>
      </c>
      <c r="M223" s="69"/>
      <c r="N223" s="69">
        <v>0</v>
      </c>
      <c r="O223" s="69"/>
      <c r="P223" s="69">
        <v>0</v>
      </c>
      <c r="Q223" s="69"/>
      <c r="R223" s="69">
        <v>0</v>
      </c>
      <c r="S223" s="69"/>
      <c r="T223" s="69">
        <v>108.52</v>
      </c>
      <c r="U223" s="69"/>
      <c r="V223" s="69">
        <v>1495</v>
      </c>
      <c r="W223" s="69"/>
      <c r="X223" s="69">
        <v>0</v>
      </c>
      <c r="Y223" s="69"/>
      <c r="Z223" s="69">
        <v>0</v>
      </c>
      <c r="AA223" s="69"/>
      <c r="AB223" s="69">
        <v>0</v>
      </c>
      <c r="AC223" s="69"/>
      <c r="AD223" s="69">
        <v>0</v>
      </c>
      <c r="AE223" s="69"/>
      <c r="AF223" s="69">
        <v>0</v>
      </c>
      <c r="AH223" s="4">
        <f t="shared" si="5"/>
        <v>381193.31</v>
      </c>
    </row>
    <row r="224" spans="1:65" s="4" customFormat="1">
      <c r="A224" s="4">
        <v>129</v>
      </c>
      <c r="B224" s="35" t="s">
        <v>605</v>
      </c>
      <c r="C224" s="35"/>
      <c r="D224" s="35" t="s">
        <v>66</v>
      </c>
      <c r="E224" s="35"/>
      <c r="F224" s="69">
        <v>529162.48</v>
      </c>
      <c r="G224" s="69"/>
      <c r="H224" s="69">
        <v>832007.72</v>
      </c>
      <c r="I224" s="69"/>
      <c r="J224" s="69">
        <v>100178</v>
      </c>
      <c r="K224" s="69"/>
      <c r="L224" s="69">
        <v>32262.66</v>
      </c>
      <c r="M224" s="69"/>
      <c r="N224" s="69">
        <v>0</v>
      </c>
      <c r="O224" s="69"/>
      <c r="P224" s="69">
        <v>0</v>
      </c>
      <c r="Q224" s="69"/>
      <c r="R224" s="69">
        <v>24591.47</v>
      </c>
      <c r="S224" s="69"/>
      <c r="T224" s="69">
        <v>1364.2</v>
      </c>
      <c r="U224" s="69"/>
      <c r="V224" s="69">
        <v>44046.080000000002</v>
      </c>
      <c r="W224" s="69"/>
      <c r="X224" s="69">
        <v>164</v>
      </c>
      <c r="Y224" s="69"/>
      <c r="Z224" s="69">
        <v>0</v>
      </c>
      <c r="AA224" s="69"/>
      <c r="AB224" s="69">
        <v>0</v>
      </c>
      <c r="AC224" s="69"/>
      <c r="AD224" s="69">
        <v>0</v>
      </c>
      <c r="AE224" s="69"/>
      <c r="AF224" s="69">
        <v>0</v>
      </c>
      <c r="AG224" s="35"/>
      <c r="AH224" s="4">
        <f t="shared" si="5"/>
        <v>1563776.6099999999</v>
      </c>
    </row>
    <row r="225" spans="1:65" s="4" customFormat="1">
      <c r="A225" s="4">
        <v>200</v>
      </c>
      <c r="B225" s="4" t="s">
        <v>233</v>
      </c>
      <c r="D225" s="4" t="s">
        <v>68</v>
      </c>
      <c r="F225" s="69">
        <v>0</v>
      </c>
      <c r="G225" s="69">
        <v>0</v>
      </c>
      <c r="H225" s="69">
        <v>204473</v>
      </c>
      <c r="I225" s="69">
        <v>0</v>
      </c>
      <c r="J225" s="69">
        <v>0</v>
      </c>
      <c r="K225" s="69">
        <v>0</v>
      </c>
      <c r="L225" s="69">
        <v>5469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112</v>
      </c>
      <c r="U225" s="69">
        <v>0</v>
      </c>
      <c r="V225" s="69">
        <v>348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9">
        <v>0</v>
      </c>
      <c r="AC225" s="69">
        <v>0</v>
      </c>
      <c r="AD225" s="69">
        <v>0</v>
      </c>
      <c r="AE225" s="69">
        <v>0</v>
      </c>
      <c r="AF225" s="69">
        <v>0</v>
      </c>
      <c r="AH225" s="4">
        <f t="shared" si="5"/>
        <v>210402</v>
      </c>
    </row>
    <row r="226" spans="1:65" s="4" customFormat="1">
      <c r="A226" s="4">
        <v>172</v>
      </c>
      <c r="B226" s="4" t="s">
        <v>234</v>
      </c>
      <c r="D226" s="4" t="s">
        <v>15</v>
      </c>
      <c r="F226" s="69">
        <v>517461.76000000001</v>
      </c>
      <c r="G226" s="69"/>
      <c r="H226" s="69">
        <v>307104.52</v>
      </c>
      <c r="I226" s="69"/>
      <c r="J226" s="69">
        <v>26420.46</v>
      </c>
      <c r="K226" s="69"/>
      <c r="L226" s="69">
        <v>22893.88</v>
      </c>
      <c r="M226" s="69"/>
      <c r="N226" s="69">
        <v>0</v>
      </c>
      <c r="O226" s="69"/>
      <c r="P226" s="69">
        <v>0</v>
      </c>
      <c r="Q226" s="69"/>
      <c r="R226" s="69">
        <v>3000</v>
      </c>
      <c r="S226" s="69"/>
      <c r="T226" s="69">
        <v>1470.88</v>
      </c>
      <c r="U226" s="69"/>
      <c r="V226" s="69">
        <v>21907.599999999999</v>
      </c>
      <c r="W226" s="69"/>
      <c r="X226" s="69">
        <v>0</v>
      </c>
      <c r="Y226" s="69"/>
      <c r="Z226" s="69">
        <v>0</v>
      </c>
      <c r="AA226" s="69"/>
      <c r="AB226" s="69">
        <v>0</v>
      </c>
      <c r="AC226" s="69"/>
      <c r="AD226" s="69">
        <v>0</v>
      </c>
      <c r="AE226" s="69"/>
      <c r="AF226" s="69">
        <v>0</v>
      </c>
      <c r="AH226" s="4">
        <f t="shared" si="5"/>
        <v>900259.1</v>
      </c>
    </row>
    <row r="227" spans="1:65" s="4" customFormat="1">
      <c r="A227" s="4">
        <v>213</v>
      </c>
      <c r="B227" s="4" t="s">
        <v>235</v>
      </c>
      <c r="D227" s="4" t="s">
        <v>236</v>
      </c>
      <c r="F227" s="69">
        <v>0</v>
      </c>
      <c r="G227" s="69">
        <v>0</v>
      </c>
      <c r="H227" s="69">
        <v>0</v>
      </c>
      <c r="I227" s="69">
        <v>0</v>
      </c>
      <c r="J227" s="69">
        <v>1409117</v>
      </c>
      <c r="K227" s="69">
        <v>0</v>
      </c>
      <c r="L227" s="69">
        <v>66946</v>
      </c>
      <c r="M227" s="69">
        <v>0</v>
      </c>
      <c r="N227" s="69">
        <v>0</v>
      </c>
      <c r="O227" s="69">
        <v>0</v>
      </c>
      <c r="P227" s="69">
        <v>0</v>
      </c>
      <c r="Q227" s="69">
        <v>0</v>
      </c>
      <c r="R227" s="69">
        <v>1528</v>
      </c>
      <c r="S227" s="69">
        <v>0</v>
      </c>
      <c r="T227" s="69">
        <v>71241</v>
      </c>
      <c r="U227" s="69">
        <v>0</v>
      </c>
      <c r="V227" s="69">
        <v>9561</v>
      </c>
      <c r="W227" s="69">
        <v>0</v>
      </c>
      <c r="X227" s="69">
        <v>0</v>
      </c>
      <c r="Y227" s="69">
        <v>0</v>
      </c>
      <c r="Z227" s="69">
        <v>0</v>
      </c>
      <c r="AA227" s="69">
        <v>0</v>
      </c>
      <c r="AB227" s="69">
        <v>0</v>
      </c>
      <c r="AC227" s="69">
        <v>0</v>
      </c>
      <c r="AD227" s="69">
        <v>0</v>
      </c>
      <c r="AE227" s="69">
        <v>0</v>
      </c>
      <c r="AF227" s="69">
        <v>0</v>
      </c>
      <c r="AH227" s="4">
        <f t="shared" si="5"/>
        <v>1558393</v>
      </c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</row>
    <row r="228" spans="1:65" s="4" customFormat="1">
      <c r="A228" s="4">
        <v>122</v>
      </c>
      <c r="B228" s="4" t="s">
        <v>312</v>
      </c>
      <c r="D228" s="4" t="s">
        <v>67</v>
      </c>
      <c r="F228" s="69">
        <v>761351.51</v>
      </c>
      <c r="G228" s="69"/>
      <c r="H228" s="69">
        <v>810662.92</v>
      </c>
      <c r="I228" s="69"/>
      <c r="J228" s="69">
        <v>100610.06</v>
      </c>
      <c r="K228" s="69"/>
      <c r="L228" s="69">
        <v>39504.67</v>
      </c>
      <c r="M228" s="69"/>
      <c r="N228" s="69">
        <v>0</v>
      </c>
      <c r="O228" s="69"/>
      <c r="P228" s="69">
        <v>0</v>
      </c>
      <c r="Q228" s="69"/>
      <c r="R228" s="69">
        <v>1741.7</v>
      </c>
      <c r="S228" s="69"/>
      <c r="T228" s="69">
        <v>2609.6999999999998</v>
      </c>
      <c r="U228" s="69"/>
      <c r="V228" s="69">
        <v>9385.58</v>
      </c>
      <c r="W228" s="69"/>
      <c r="X228" s="69">
        <v>20</v>
      </c>
      <c r="Y228" s="69"/>
      <c r="Z228" s="69">
        <v>0</v>
      </c>
      <c r="AA228" s="69"/>
      <c r="AB228" s="69">
        <v>0</v>
      </c>
      <c r="AC228" s="69"/>
      <c r="AD228" s="69">
        <v>0</v>
      </c>
      <c r="AE228" s="69"/>
      <c r="AF228" s="69">
        <v>0</v>
      </c>
      <c r="AH228" s="4">
        <f t="shared" si="5"/>
        <v>1725886.1400000001</v>
      </c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</row>
    <row r="229" spans="1:65" s="4" customFormat="1">
      <c r="A229" s="4">
        <v>257</v>
      </c>
      <c r="B229" s="4" t="s">
        <v>585</v>
      </c>
      <c r="D229" s="4" t="s">
        <v>53</v>
      </c>
      <c r="F229" s="69">
        <v>0</v>
      </c>
      <c r="G229" s="69"/>
      <c r="H229" s="69">
        <v>607767.77</v>
      </c>
      <c r="I229" s="69"/>
      <c r="J229" s="69">
        <v>0</v>
      </c>
      <c r="K229" s="69"/>
      <c r="L229" s="69">
        <v>30001.13</v>
      </c>
      <c r="M229" s="69"/>
      <c r="N229" s="69">
        <v>0</v>
      </c>
      <c r="O229" s="69"/>
      <c r="P229" s="69">
        <v>0</v>
      </c>
      <c r="Q229" s="69"/>
      <c r="R229" s="69">
        <v>302823.19</v>
      </c>
      <c r="S229" s="69"/>
      <c r="T229" s="69">
        <v>181.46</v>
      </c>
      <c r="U229" s="69"/>
      <c r="V229" s="69">
        <v>19649.439999999999</v>
      </c>
      <c r="W229" s="69"/>
      <c r="X229" s="69">
        <v>0</v>
      </c>
      <c r="Y229" s="69"/>
      <c r="Z229" s="69">
        <v>0</v>
      </c>
      <c r="AA229" s="69"/>
      <c r="AB229" s="69">
        <v>0</v>
      </c>
      <c r="AC229" s="69"/>
      <c r="AD229" s="69">
        <v>0</v>
      </c>
      <c r="AE229" s="69"/>
      <c r="AF229" s="69">
        <v>0</v>
      </c>
      <c r="AH229" s="4">
        <f t="shared" si="5"/>
        <v>960422.99</v>
      </c>
    </row>
    <row r="230" spans="1:65" s="4" customFormat="1">
      <c r="A230" s="4">
        <v>236</v>
      </c>
      <c r="B230" s="4" t="s">
        <v>237</v>
      </c>
      <c r="D230" s="4" t="s">
        <v>12</v>
      </c>
      <c r="F230" s="69">
        <v>184864.78</v>
      </c>
      <c r="G230" s="69"/>
      <c r="H230" s="69">
        <v>338341.72</v>
      </c>
      <c r="I230" s="69"/>
      <c r="J230" s="69">
        <v>14298.09</v>
      </c>
      <c r="K230" s="69"/>
      <c r="L230" s="69">
        <v>19221.16</v>
      </c>
      <c r="M230" s="69"/>
      <c r="N230" s="69">
        <v>0</v>
      </c>
      <c r="O230" s="69"/>
      <c r="P230" s="69">
        <v>0</v>
      </c>
      <c r="Q230" s="69"/>
      <c r="R230" s="69">
        <v>2649</v>
      </c>
      <c r="S230" s="69"/>
      <c r="T230" s="69">
        <v>1778.41</v>
      </c>
      <c r="U230" s="69"/>
      <c r="V230" s="69">
        <v>642.69000000000005</v>
      </c>
      <c r="W230" s="69"/>
      <c r="X230" s="69">
        <v>0</v>
      </c>
      <c r="Y230" s="69"/>
      <c r="Z230" s="69">
        <v>0</v>
      </c>
      <c r="AA230" s="69"/>
      <c r="AB230" s="69">
        <v>0</v>
      </c>
      <c r="AC230" s="69"/>
      <c r="AD230" s="69">
        <v>0</v>
      </c>
      <c r="AE230" s="69"/>
      <c r="AF230" s="69">
        <v>0</v>
      </c>
      <c r="AH230" s="4">
        <f t="shared" si="5"/>
        <v>561795.85</v>
      </c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</row>
    <row r="231" spans="1:65" s="4" customFormat="1">
      <c r="A231" s="4">
        <v>59</v>
      </c>
      <c r="B231" s="4" t="s">
        <v>606</v>
      </c>
      <c r="D231" s="4" t="s">
        <v>173</v>
      </c>
      <c r="F231" s="69">
        <v>0</v>
      </c>
      <c r="G231" s="69">
        <v>0</v>
      </c>
      <c r="H231" s="69">
        <v>1945547</v>
      </c>
      <c r="I231" s="69">
        <v>0</v>
      </c>
      <c r="J231" s="69">
        <v>0</v>
      </c>
      <c r="K231" s="69">
        <v>0</v>
      </c>
      <c r="L231" s="69">
        <v>39909</v>
      </c>
      <c r="M231" s="69">
        <v>0</v>
      </c>
      <c r="N231" s="69">
        <v>0</v>
      </c>
      <c r="O231" s="69">
        <v>0</v>
      </c>
      <c r="P231" s="69">
        <v>38740</v>
      </c>
      <c r="Q231" s="69">
        <v>0</v>
      </c>
      <c r="R231" s="69">
        <v>38294</v>
      </c>
      <c r="S231" s="69">
        <v>0</v>
      </c>
      <c r="T231" s="69">
        <v>10265</v>
      </c>
      <c r="U231" s="69">
        <v>0</v>
      </c>
      <c r="V231" s="69">
        <v>16997</v>
      </c>
      <c r="W231" s="69">
        <v>0</v>
      </c>
      <c r="X231" s="69">
        <v>0</v>
      </c>
      <c r="Y231" s="69">
        <v>0</v>
      </c>
      <c r="Z231" s="69">
        <v>0</v>
      </c>
      <c r="AA231" s="69">
        <v>0</v>
      </c>
      <c r="AB231" s="69">
        <v>0</v>
      </c>
      <c r="AC231" s="69">
        <v>0</v>
      </c>
      <c r="AD231" s="69">
        <v>0</v>
      </c>
      <c r="AE231" s="69">
        <v>0</v>
      </c>
      <c r="AF231" s="69">
        <v>0</v>
      </c>
      <c r="AH231" s="4">
        <f t="shared" si="5"/>
        <v>2089752</v>
      </c>
    </row>
    <row r="232" spans="1:65" s="4" customFormat="1">
      <c r="B232" s="4" t="s">
        <v>620</v>
      </c>
      <c r="D232" s="4" t="s">
        <v>158</v>
      </c>
      <c r="F232" s="69">
        <v>1135195</v>
      </c>
      <c r="G232" s="69">
        <v>0</v>
      </c>
      <c r="H232" s="69">
        <v>2000</v>
      </c>
      <c r="I232" s="69">
        <v>0</v>
      </c>
      <c r="J232" s="69">
        <v>0</v>
      </c>
      <c r="K232" s="69">
        <v>0</v>
      </c>
      <c r="L232" s="69">
        <v>18358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13575</v>
      </c>
      <c r="S232" s="69">
        <v>0</v>
      </c>
      <c r="T232" s="69">
        <v>453</v>
      </c>
      <c r="U232" s="69">
        <v>0</v>
      </c>
      <c r="V232" s="69">
        <v>910</v>
      </c>
      <c r="W232" s="69">
        <v>0</v>
      </c>
      <c r="X232" s="69">
        <v>0</v>
      </c>
      <c r="Y232" s="69">
        <v>0</v>
      </c>
      <c r="Z232" s="69">
        <v>0</v>
      </c>
      <c r="AA232" s="69">
        <v>0</v>
      </c>
      <c r="AB232" s="69">
        <v>0</v>
      </c>
      <c r="AC232" s="69">
        <v>0</v>
      </c>
      <c r="AD232" s="69">
        <v>0</v>
      </c>
      <c r="AE232" s="69">
        <v>0</v>
      </c>
      <c r="AF232" s="69">
        <v>0</v>
      </c>
      <c r="AH232" s="4">
        <f t="shared" si="5"/>
        <v>1170491</v>
      </c>
    </row>
    <row r="233" spans="1:65" s="4" customFormat="1">
      <c r="A233" s="4">
        <v>74</v>
      </c>
      <c r="B233" s="4" t="s">
        <v>445</v>
      </c>
      <c r="D233" s="4" t="s">
        <v>19</v>
      </c>
      <c r="F233" s="69">
        <v>3977552</v>
      </c>
      <c r="G233" s="69">
        <v>0</v>
      </c>
      <c r="H233" s="69">
        <v>1062230</v>
      </c>
      <c r="I233" s="69">
        <v>0</v>
      </c>
      <c r="J233" s="69">
        <v>11009</v>
      </c>
      <c r="K233" s="69">
        <v>0</v>
      </c>
      <c r="L233" s="69">
        <v>114949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340</v>
      </c>
      <c r="S233" s="69">
        <v>0</v>
      </c>
      <c r="T233" s="69">
        <v>15158</v>
      </c>
      <c r="U233" s="69">
        <v>0</v>
      </c>
      <c r="V233" s="69">
        <v>35470</v>
      </c>
      <c r="W233" s="69">
        <v>0</v>
      </c>
      <c r="X233" s="69">
        <v>0</v>
      </c>
      <c r="Y233" s="69">
        <v>0</v>
      </c>
      <c r="Z233" s="69">
        <v>101</v>
      </c>
      <c r="AA233" s="69">
        <v>0</v>
      </c>
      <c r="AB233" s="69">
        <v>0</v>
      </c>
      <c r="AC233" s="69">
        <v>0</v>
      </c>
      <c r="AD233" s="69">
        <v>0</v>
      </c>
      <c r="AE233" s="69">
        <v>0</v>
      </c>
      <c r="AF233" s="69">
        <v>0</v>
      </c>
      <c r="AH233" s="4">
        <f t="shared" si="5"/>
        <v>5216809</v>
      </c>
    </row>
    <row r="234" spans="1:65" s="4" customFormat="1">
      <c r="A234" s="4">
        <v>249</v>
      </c>
      <c r="B234" s="4" t="s">
        <v>23</v>
      </c>
      <c r="D234" s="4" t="s">
        <v>24</v>
      </c>
      <c r="F234" s="69">
        <v>0</v>
      </c>
      <c r="G234" s="69">
        <v>0</v>
      </c>
      <c r="H234" s="69">
        <v>2279464</v>
      </c>
      <c r="I234" s="69">
        <v>0</v>
      </c>
      <c r="J234" s="69">
        <v>0</v>
      </c>
      <c r="K234" s="69">
        <v>0</v>
      </c>
      <c r="L234" s="69">
        <v>54852</v>
      </c>
      <c r="M234" s="69">
        <v>0</v>
      </c>
      <c r="N234" s="69">
        <v>0</v>
      </c>
      <c r="O234" s="69">
        <v>0</v>
      </c>
      <c r="P234" s="69">
        <v>0</v>
      </c>
      <c r="Q234" s="69">
        <v>0</v>
      </c>
      <c r="R234" s="69">
        <v>24937</v>
      </c>
      <c r="S234" s="69">
        <v>0</v>
      </c>
      <c r="T234" s="69">
        <v>1027</v>
      </c>
      <c r="U234" s="69">
        <v>0</v>
      </c>
      <c r="V234" s="69">
        <v>45583</v>
      </c>
      <c r="W234" s="69">
        <v>0</v>
      </c>
      <c r="X234" s="69">
        <v>0</v>
      </c>
      <c r="Y234" s="69">
        <v>0</v>
      </c>
      <c r="Z234" s="69">
        <v>150000</v>
      </c>
      <c r="AA234" s="69">
        <v>0</v>
      </c>
      <c r="AB234" s="69">
        <v>0</v>
      </c>
      <c r="AC234" s="69">
        <v>0</v>
      </c>
      <c r="AD234" s="69">
        <v>0</v>
      </c>
      <c r="AE234" s="69">
        <v>0</v>
      </c>
      <c r="AF234" s="69">
        <v>0</v>
      </c>
      <c r="AH234" s="4">
        <f t="shared" si="5"/>
        <v>2555863</v>
      </c>
    </row>
    <row r="235" spans="1:65" s="4" customFormat="1">
      <c r="A235" s="4">
        <v>208</v>
      </c>
      <c r="B235" s="4" t="s">
        <v>607</v>
      </c>
      <c r="D235" s="4" t="s">
        <v>102</v>
      </c>
      <c r="F235" s="69">
        <v>0</v>
      </c>
      <c r="G235" s="69">
        <v>0</v>
      </c>
      <c r="H235" s="69">
        <v>0</v>
      </c>
      <c r="I235" s="69">
        <v>0</v>
      </c>
      <c r="J235" s="69">
        <v>1023473</v>
      </c>
      <c r="K235" s="69">
        <v>0</v>
      </c>
      <c r="L235" s="69">
        <v>11651</v>
      </c>
      <c r="M235" s="69">
        <v>0</v>
      </c>
      <c r="N235" s="69">
        <v>0</v>
      </c>
      <c r="O235" s="69">
        <v>0</v>
      </c>
      <c r="P235" s="69">
        <v>3743</v>
      </c>
      <c r="Q235" s="69">
        <v>0</v>
      </c>
      <c r="R235" s="69">
        <v>7066</v>
      </c>
      <c r="S235" s="69">
        <v>0</v>
      </c>
      <c r="T235" s="69">
        <v>451</v>
      </c>
      <c r="U235" s="69">
        <v>0</v>
      </c>
      <c r="V235" s="69">
        <v>20036</v>
      </c>
      <c r="W235" s="69">
        <v>0</v>
      </c>
      <c r="X235" s="69">
        <v>0</v>
      </c>
      <c r="Y235" s="69">
        <v>0</v>
      </c>
      <c r="Z235" s="69">
        <v>0</v>
      </c>
      <c r="AA235" s="69">
        <v>0</v>
      </c>
      <c r="AB235" s="69">
        <v>0</v>
      </c>
      <c r="AC235" s="69">
        <v>0</v>
      </c>
      <c r="AD235" s="69">
        <v>0</v>
      </c>
      <c r="AE235" s="69">
        <v>0</v>
      </c>
      <c r="AF235" s="69">
        <v>0</v>
      </c>
      <c r="AH235" s="4">
        <f t="shared" si="5"/>
        <v>1066420</v>
      </c>
    </row>
    <row r="236" spans="1:65" s="4" customFormat="1">
      <c r="B236" s="4" t="s">
        <v>621</v>
      </c>
      <c r="C236" s="15"/>
      <c r="D236" s="15" t="s">
        <v>580</v>
      </c>
      <c r="F236" s="69">
        <v>17637711</v>
      </c>
      <c r="G236" s="69">
        <v>0</v>
      </c>
      <c r="H236" s="69">
        <v>0</v>
      </c>
      <c r="I236" s="69">
        <v>0</v>
      </c>
      <c r="J236" s="69">
        <v>38790657</v>
      </c>
      <c r="K236" s="69">
        <v>0</v>
      </c>
      <c r="L236" s="69">
        <v>1950189</v>
      </c>
      <c r="M236" s="69">
        <v>0</v>
      </c>
      <c r="N236" s="69">
        <v>0</v>
      </c>
      <c r="O236" s="69">
        <v>0</v>
      </c>
      <c r="P236" s="69">
        <v>33323</v>
      </c>
      <c r="Q236" s="69">
        <v>0</v>
      </c>
      <c r="R236" s="69">
        <v>55100</v>
      </c>
      <c r="S236" s="69">
        <v>0</v>
      </c>
      <c r="T236" s="69">
        <v>26645</v>
      </c>
      <c r="U236" s="69">
        <v>0</v>
      </c>
      <c r="V236" s="69">
        <v>700284</v>
      </c>
      <c r="W236" s="69">
        <v>0</v>
      </c>
      <c r="X236" s="69">
        <v>0</v>
      </c>
      <c r="Y236" s="69">
        <v>0</v>
      </c>
      <c r="Z236" s="69">
        <v>0</v>
      </c>
      <c r="AA236" s="69">
        <v>0</v>
      </c>
      <c r="AB236" s="69">
        <v>0</v>
      </c>
      <c r="AC236" s="69">
        <v>0</v>
      </c>
      <c r="AD236" s="69">
        <v>0</v>
      </c>
      <c r="AE236" s="69">
        <v>0</v>
      </c>
      <c r="AF236" s="69">
        <v>0</v>
      </c>
      <c r="AH236" s="4">
        <f t="shared" si="5"/>
        <v>59193909</v>
      </c>
    </row>
    <row r="237" spans="1:65" s="4" customFormat="1">
      <c r="A237" s="4">
        <v>64</v>
      </c>
      <c r="B237" s="35" t="s">
        <v>238</v>
      </c>
      <c r="C237" s="35"/>
      <c r="D237" s="35" t="s">
        <v>46</v>
      </c>
      <c r="E237" s="35"/>
      <c r="F237" s="69">
        <v>211996.35</v>
      </c>
      <c r="G237" s="69"/>
      <c r="H237" s="69">
        <v>420127.85</v>
      </c>
      <c r="I237" s="69"/>
      <c r="J237" s="69">
        <v>0</v>
      </c>
      <c r="K237" s="69"/>
      <c r="L237" s="69">
        <v>23635.83</v>
      </c>
      <c r="M237" s="69"/>
      <c r="N237" s="69">
        <v>0</v>
      </c>
      <c r="O237" s="69"/>
      <c r="P237" s="69">
        <v>0</v>
      </c>
      <c r="Q237" s="69"/>
      <c r="R237" s="69">
        <v>2362</v>
      </c>
      <c r="S237" s="69"/>
      <c r="T237" s="69">
        <v>622.47</v>
      </c>
      <c r="U237" s="69"/>
      <c r="V237" s="69">
        <v>1151.75</v>
      </c>
      <c r="W237" s="69"/>
      <c r="X237" s="69">
        <v>0</v>
      </c>
      <c r="Y237" s="69"/>
      <c r="Z237" s="69">
        <v>0.01</v>
      </c>
      <c r="AA237" s="69"/>
      <c r="AB237" s="69">
        <v>0</v>
      </c>
      <c r="AC237" s="69"/>
      <c r="AD237" s="69">
        <v>0</v>
      </c>
      <c r="AE237" s="69"/>
      <c r="AF237" s="69">
        <v>0</v>
      </c>
      <c r="AG237" s="35"/>
      <c r="AH237" s="4">
        <f t="shared" si="5"/>
        <v>659896.25999999989</v>
      </c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</row>
    <row r="238" spans="1:65" s="4" customFormat="1">
      <c r="A238" s="4">
        <v>188</v>
      </c>
      <c r="B238" s="35" t="s">
        <v>583</v>
      </c>
      <c r="C238" s="35"/>
      <c r="D238" s="35" t="s">
        <v>584</v>
      </c>
      <c r="E238" s="35"/>
      <c r="F238" s="69">
        <v>0</v>
      </c>
      <c r="G238" s="69"/>
      <c r="H238" s="69">
        <v>970620.99</v>
      </c>
      <c r="I238" s="69"/>
      <c r="J238" s="69">
        <v>2984.15</v>
      </c>
      <c r="K238" s="69"/>
      <c r="L238" s="69">
        <v>14787.95</v>
      </c>
      <c r="M238" s="69"/>
      <c r="N238" s="69">
        <v>0</v>
      </c>
      <c r="O238" s="69"/>
      <c r="P238" s="69">
        <v>0</v>
      </c>
      <c r="Q238" s="69"/>
      <c r="R238" s="69">
        <v>500</v>
      </c>
      <c r="S238" s="69"/>
      <c r="T238" s="69">
        <v>72388.22</v>
      </c>
      <c r="U238" s="69"/>
      <c r="V238" s="69">
        <v>4051.45</v>
      </c>
      <c r="W238" s="69"/>
      <c r="X238" s="69">
        <v>0</v>
      </c>
      <c r="Y238" s="69"/>
      <c r="Z238" s="69">
        <v>0</v>
      </c>
      <c r="AA238" s="69"/>
      <c r="AB238" s="69">
        <v>2000</v>
      </c>
      <c r="AC238" s="69"/>
      <c r="AD238" s="69">
        <v>0</v>
      </c>
      <c r="AE238" s="69"/>
      <c r="AF238" s="69">
        <v>0</v>
      </c>
      <c r="AG238" s="35"/>
      <c r="AH238" s="4">
        <f t="shared" si="5"/>
        <v>1067332.76</v>
      </c>
    </row>
    <row r="239" spans="1:65" s="4" customFormat="1">
      <c r="A239" s="4">
        <v>16</v>
      </c>
      <c r="B239" s="4" t="s">
        <v>239</v>
      </c>
      <c r="D239" s="4" t="s">
        <v>173</v>
      </c>
      <c r="F239" s="69">
        <v>475340.24</v>
      </c>
      <c r="G239" s="69"/>
      <c r="H239" s="69">
        <v>819989.47</v>
      </c>
      <c r="I239" s="69"/>
      <c r="J239" s="69">
        <v>57652.84</v>
      </c>
      <c r="K239" s="69"/>
      <c r="L239" s="69">
        <v>38171.85</v>
      </c>
      <c r="M239" s="69"/>
      <c r="N239" s="69">
        <v>0</v>
      </c>
      <c r="O239" s="69"/>
      <c r="P239" s="69">
        <v>387.15</v>
      </c>
      <c r="Q239" s="69"/>
      <c r="R239" s="69">
        <v>27915.14</v>
      </c>
      <c r="S239" s="69"/>
      <c r="T239" s="69">
        <v>8869.35</v>
      </c>
      <c r="U239" s="69"/>
      <c r="V239" s="69">
        <v>20194.580000000002</v>
      </c>
      <c r="W239" s="69"/>
      <c r="X239" s="69">
        <v>0</v>
      </c>
      <c r="Y239" s="69"/>
      <c r="Z239" s="69">
        <v>0</v>
      </c>
      <c r="AA239" s="69"/>
      <c r="AB239" s="69">
        <v>0</v>
      </c>
      <c r="AC239" s="69"/>
      <c r="AD239" s="69">
        <v>3647.03</v>
      </c>
      <c r="AE239" s="69"/>
      <c r="AF239" s="69">
        <v>0</v>
      </c>
      <c r="AH239" s="4">
        <f t="shared" ref="AH239:AH241" si="6">SUM(F239:AF239)</f>
        <v>1452167.6500000001</v>
      </c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</row>
    <row r="240" spans="1:65" s="4" customFormat="1">
      <c r="A240" s="4">
        <v>141</v>
      </c>
      <c r="B240" s="4" t="s">
        <v>313</v>
      </c>
      <c r="D240" s="4" t="s">
        <v>215</v>
      </c>
      <c r="F240" s="69">
        <v>3103010</v>
      </c>
      <c r="G240" s="69">
        <v>0</v>
      </c>
      <c r="H240" s="69">
        <v>7550512</v>
      </c>
      <c r="I240" s="69">
        <v>0</v>
      </c>
      <c r="J240" s="69">
        <v>743679</v>
      </c>
      <c r="K240" s="69">
        <v>0</v>
      </c>
      <c r="L240" s="69">
        <v>237104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51801</v>
      </c>
      <c r="S240" s="69">
        <v>0</v>
      </c>
      <c r="T240" s="69">
        <v>23538</v>
      </c>
      <c r="U240" s="69">
        <v>0</v>
      </c>
      <c r="V240" s="69">
        <v>150498</v>
      </c>
      <c r="W240" s="69">
        <v>0</v>
      </c>
      <c r="X240" s="69">
        <v>0</v>
      </c>
      <c r="Y240" s="69">
        <v>0</v>
      </c>
      <c r="Z240" s="69">
        <v>345</v>
      </c>
      <c r="AA240" s="69">
        <v>0</v>
      </c>
      <c r="AB240" s="69">
        <v>0</v>
      </c>
      <c r="AC240" s="69">
        <v>0</v>
      </c>
      <c r="AD240" s="69">
        <v>0</v>
      </c>
      <c r="AE240" s="69">
        <v>0</v>
      </c>
      <c r="AF240" s="69">
        <v>0</v>
      </c>
      <c r="AH240" s="4">
        <f t="shared" si="6"/>
        <v>11860487</v>
      </c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</row>
    <row r="241" spans="1:65" s="4" customFormat="1">
      <c r="A241" s="4">
        <v>220</v>
      </c>
      <c r="B241" s="4" t="s">
        <v>241</v>
      </c>
      <c r="D241" s="4" t="s">
        <v>193</v>
      </c>
      <c r="F241" s="69">
        <v>0</v>
      </c>
      <c r="G241" s="69">
        <v>0</v>
      </c>
      <c r="H241" s="69">
        <v>265530</v>
      </c>
      <c r="I241" s="69">
        <v>0</v>
      </c>
      <c r="J241" s="69">
        <v>0</v>
      </c>
      <c r="K241" s="69">
        <v>0</v>
      </c>
      <c r="L241" s="69">
        <v>5129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704</v>
      </c>
      <c r="S241" s="69">
        <v>0</v>
      </c>
      <c r="T241" s="69">
        <v>2769</v>
      </c>
      <c r="U241" s="69">
        <v>0</v>
      </c>
      <c r="V241" s="69">
        <v>12</v>
      </c>
      <c r="W241" s="69">
        <v>0</v>
      </c>
      <c r="X241" s="69">
        <v>0</v>
      </c>
      <c r="Y241" s="69">
        <v>0</v>
      </c>
      <c r="Z241" s="69">
        <v>0</v>
      </c>
      <c r="AA241" s="69">
        <v>0</v>
      </c>
      <c r="AB241" s="69">
        <v>0</v>
      </c>
      <c r="AC241" s="69">
        <v>0</v>
      </c>
      <c r="AD241" s="69">
        <v>0</v>
      </c>
      <c r="AE241" s="69">
        <v>0</v>
      </c>
      <c r="AF241" s="69">
        <v>0</v>
      </c>
      <c r="AH241" s="4">
        <f t="shared" si="6"/>
        <v>274144</v>
      </c>
    </row>
    <row r="242" spans="1:65" s="4" customFormat="1">
      <c r="N242" s="35"/>
      <c r="P242" s="35"/>
      <c r="R242" s="35"/>
      <c r="X242" s="35"/>
      <c r="Z242" s="35"/>
      <c r="AB242" s="35"/>
      <c r="AD242" s="35"/>
      <c r="AF242" s="3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</row>
    <row r="243" spans="1:65" s="4" customFormat="1">
      <c r="N243" s="35"/>
      <c r="P243" s="35"/>
      <c r="R243" s="35"/>
      <c r="X243" s="35"/>
      <c r="Z243" s="35"/>
      <c r="AB243" s="35"/>
      <c r="AD243" s="35"/>
      <c r="AF243" s="35"/>
      <c r="AH243" s="44" t="s">
        <v>591</v>
      </c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</row>
    <row r="244" spans="1:65">
      <c r="B244" s="3" t="s">
        <v>523</v>
      </c>
    </row>
    <row r="245" spans="1:65">
      <c r="B245" s="3" t="s">
        <v>635</v>
      </c>
    </row>
    <row r="246" spans="1:65">
      <c r="B246" s="41" t="s">
        <v>7</v>
      </c>
    </row>
    <row r="247" spans="1:65" s="36" customFormat="1">
      <c r="H247" s="36" t="s">
        <v>282</v>
      </c>
    </row>
    <row r="248" spans="1:65" s="36" customFormat="1">
      <c r="F248" s="36" t="s">
        <v>31</v>
      </c>
      <c r="H248" s="36" t="s">
        <v>283</v>
      </c>
      <c r="P248" s="36" t="s">
        <v>29</v>
      </c>
      <c r="R248" s="36" t="s">
        <v>289</v>
      </c>
      <c r="X248" s="36" t="s">
        <v>294</v>
      </c>
      <c r="AD248" s="36" t="s">
        <v>0</v>
      </c>
    </row>
    <row r="249" spans="1:65" s="36" customFormat="1" ht="12" customHeight="1">
      <c r="F249" s="36" t="s">
        <v>0</v>
      </c>
      <c r="H249" s="36" t="s">
        <v>284</v>
      </c>
      <c r="J249" s="36" t="s">
        <v>348</v>
      </c>
      <c r="L249" s="36" t="s">
        <v>286</v>
      </c>
      <c r="P249" s="36" t="s">
        <v>288</v>
      </c>
      <c r="R249" s="36" t="s">
        <v>290</v>
      </c>
      <c r="T249" s="36" t="s">
        <v>292</v>
      </c>
      <c r="X249" s="36" t="s">
        <v>295</v>
      </c>
      <c r="AD249" s="36" t="s">
        <v>296</v>
      </c>
      <c r="AF249" s="36" t="s">
        <v>562</v>
      </c>
    </row>
    <row r="250" spans="1:65" s="36" customFormat="1" ht="12" customHeight="1">
      <c r="A250" s="36" t="s">
        <v>578</v>
      </c>
      <c r="B250" s="37" t="s">
        <v>5</v>
      </c>
      <c r="D250" s="37" t="s">
        <v>6</v>
      </c>
      <c r="F250" s="37" t="s">
        <v>281</v>
      </c>
      <c r="H250" s="37" t="s">
        <v>285</v>
      </c>
      <c r="J250" s="37" t="s">
        <v>349</v>
      </c>
      <c r="L250" s="37" t="s">
        <v>287</v>
      </c>
      <c r="N250" s="37" t="s">
        <v>558</v>
      </c>
      <c r="P250" s="37" t="s">
        <v>560</v>
      </c>
      <c r="R250" s="37" t="s">
        <v>291</v>
      </c>
      <c r="T250" s="37" t="s">
        <v>293</v>
      </c>
      <c r="V250" s="37" t="s">
        <v>1</v>
      </c>
      <c r="X250" s="37" t="s">
        <v>32</v>
      </c>
      <c r="Z250" s="37" t="s">
        <v>509</v>
      </c>
      <c r="AB250" s="37" t="s">
        <v>510</v>
      </c>
      <c r="AD250" s="37" t="s">
        <v>297</v>
      </c>
      <c r="AF250" s="37" t="s">
        <v>424</v>
      </c>
      <c r="AH250" s="46" t="s">
        <v>28</v>
      </c>
    </row>
    <row r="251" spans="1:65" s="4" customFormat="1">
      <c r="A251" s="4">
        <v>222</v>
      </c>
      <c r="B251" s="38" t="s">
        <v>314</v>
      </c>
      <c r="C251" s="38"/>
      <c r="D251" s="38" t="s">
        <v>61</v>
      </c>
      <c r="E251" s="38"/>
      <c r="F251" s="2">
        <v>15806.95</v>
      </c>
      <c r="G251" s="2"/>
      <c r="H251" s="2">
        <v>83335.23</v>
      </c>
      <c r="I251" s="2"/>
      <c r="J251" s="2">
        <v>2865.23</v>
      </c>
      <c r="K251" s="2"/>
      <c r="L251" s="2">
        <v>1560.13</v>
      </c>
      <c r="M251" s="2"/>
      <c r="N251" s="2">
        <v>0</v>
      </c>
      <c r="O251" s="2"/>
      <c r="P251" s="2">
        <v>0</v>
      </c>
      <c r="Q251" s="2"/>
      <c r="R251" s="2">
        <v>2924</v>
      </c>
      <c r="S251" s="2"/>
      <c r="T251" s="2">
        <v>498.17</v>
      </c>
      <c r="U251" s="2"/>
      <c r="V251" s="2">
        <v>979.19</v>
      </c>
      <c r="W251" s="2"/>
      <c r="X251" s="2">
        <v>0</v>
      </c>
      <c r="Y251" s="2"/>
      <c r="Z251" s="2">
        <v>0</v>
      </c>
      <c r="AA251" s="2"/>
      <c r="AB251" s="2">
        <v>0</v>
      </c>
      <c r="AC251" s="2"/>
      <c r="AD251" s="2">
        <v>0</v>
      </c>
      <c r="AE251" s="2"/>
      <c r="AF251" s="2">
        <v>0</v>
      </c>
      <c r="AG251" s="38"/>
      <c r="AH251" s="7">
        <f>SUM(F251:AF251)</f>
        <v>107968.9</v>
      </c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</row>
    <row r="252" spans="1:65" s="4" customFormat="1">
      <c r="A252" s="4">
        <v>155</v>
      </c>
      <c r="B252" s="35" t="s">
        <v>467</v>
      </c>
      <c r="C252" s="35"/>
      <c r="D252" s="35" t="s">
        <v>167</v>
      </c>
      <c r="E252" s="35"/>
      <c r="F252" s="1">
        <v>529021.66</v>
      </c>
      <c r="G252" s="1"/>
      <c r="H252" s="1">
        <v>497799.09</v>
      </c>
      <c r="I252" s="1"/>
      <c r="J252" s="1">
        <v>0</v>
      </c>
      <c r="K252" s="1"/>
      <c r="L252" s="1">
        <v>30173.43</v>
      </c>
      <c r="M252" s="1"/>
      <c r="N252" s="1">
        <v>0</v>
      </c>
      <c r="O252" s="1"/>
      <c r="P252" s="1">
        <v>5</v>
      </c>
      <c r="Q252" s="1"/>
      <c r="R252" s="1">
        <v>29901.9</v>
      </c>
      <c r="S252" s="1"/>
      <c r="T252" s="1">
        <v>8781.09</v>
      </c>
      <c r="U252" s="1"/>
      <c r="V252" s="1">
        <v>4481.45</v>
      </c>
      <c r="W252" s="1"/>
      <c r="X252" s="1">
        <v>1580</v>
      </c>
      <c r="Y252" s="1"/>
      <c r="Z252" s="1">
        <v>10900</v>
      </c>
      <c r="AA252" s="1"/>
      <c r="AB252" s="1">
        <v>0</v>
      </c>
      <c r="AC252" s="1"/>
      <c r="AD252" s="1">
        <v>0</v>
      </c>
      <c r="AE252" s="1"/>
      <c r="AF252" s="1">
        <v>0</v>
      </c>
      <c r="AG252" s="35"/>
      <c r="AH252" s="4">
        <f t="shared" ref="AH252:AH307" si="7">SUM(F252:AF252)</f>
        <v>1112643.6199999999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</row>
    <row r="253" spans="1:65" s="4" customFormat="1">
      <c r="A253" s="39">
        <v>130.1</v>
      </c>
      <c r="B253" s="35" t="s">
        <v>243</v>
      </c>
      <c r="C253" s="35"/>
      <c r="D253" s="35" t="s">
        <v>43</v>
      </c>
      <c r="E253" s="35"/>
      <c r="F253" s="1">
        <v>0</v>
      </c>
      <c r="G253" s="1"/>
      <c r="H253" s="1">
        <v>141046.94</v>
      </c>
      <c r="I253" s="1"/>
      <c r="J253" s="1">
        <v>0</v>
      </c>
      <c r="K253" s="1"/>
      <c r="L253" s="1">
        <v>8321.92</v>
      </c>
      <c r="M253" s="1"/>
      <c r="N253" s="1">
        <v>0</v>
      </c>
      <c r="O253" s="1"/>
      <c r="P253" s="1">
        <v>0</v>
      </c>
      <c r="Q253" s="1"/>
      <c r="R253" s="1">
        <v>690</v>
      </c>
      <c r="S253" s="1"/>
      <c r="T253" s="1">
        <v>441.79</v>
      </c>
      <c r="U253" s="1"/>
      <c r="V253" s="1">
        <v>0</v>
      </c>
      <c r="W253" s="1"/>
      <c r="X253" s="1">
        <v>0</v>
      </c>
      <c r="Y253" s="1"/>
      <c r="Z253" s="1">
        <v>0</v>
      </c>
      <c r="AA253" s="1"/>
      <c r="AB253" s="1">
        <v>0</v>
      </c>
      <c r="AC253" s="1"/>
      <c r="AD253" s="1">
        <v>0</v>
      </c>
      <c r="AE253" s="1"/>
      <c r="AF253" s="1">
        <v>0</v>
      </c>
      <c r="AG253" s="35"/>
      <c r="AH253" s="4">
        <f t="shared" si="7"/>
        <v>150500.65000000002</v>
      </c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</row>
    <row r="254" spans="1:65" s="4" customFormat="1">
      <c r="A254" s="4">
        <v>245</v>
      </c>
      <c r="B254" s="35" t="s">
        <v>343</v>
      </c>
      <c r="C254" s="35"/>
      <c r="D254" s="35" t="s">
        <v>50</v>
      </c>
      <c r="E254" s="35"/>
      <c r="F254" s="1">
        <v>0</v>
      </c>
      <c r="G254" s="1"/>
      <c r="H254" s="1">
        <v>143538.47</v>
      </c>
      <c r="I254" s="1"/>
      <c r="J254" s="1">
        <v>481</v>
      </c>
      <c r="K254" s="1"/>
      <c r="L254" s="1">
        <v>1572.42</v>
      </c>
      <c r="M254" s="1"/>
      <c r="N254" s="1">
        <v>0</v>
      </c>
      <c r="O254" s="1"/>
      <c r="P254" s="1">
        <v>700</v>
      </c>
      <c r="Q254" s="1"/>
      <c r="R254" s="1">
        <v>3993.16</v>
      </c>
      <c r="S254" s="1"/>
      <c r="T254" s="1">
        <v>93.36</v>
      </c>
      <c r="U254" s="1"/>
      <c r="V254" s="1">
        <v>649.58000000000004</v>
      </c>
      <c r="W254" s="1"/>
      <c r="X254" s="1">
        <v>0</v>
      </c>
      <c r="Y254" s="1"/>
      <c r="Z254" s="1">
        <v>0</v>
      </c>
      <c r="AA254" s="1"/>
      <c r="AB254" s="1">
        <v>8200</v>
      </c>
      <c r="AC254" s="1"/>
      <c r="AD254" s="1">
        <v>0</v>
      </c>
      <c r="AE254" s="1"/>
      <c r="AF254" s="1">
        <v>0</v>
      </c>
      <c r="AG254" s="35"/>
      <c r="AH254" s="4">
        <f t="shared" si="7"/>
        <v>159227.99</v>
      </c>
    </row>
    <row r="255" spans="1:65" s="4" customFormat="1">
      <c r="A255" s="4">
        <v>211</v>
      </c>
      <c r="B255" s="4" t="s">
        <v>244</v>
      </c>
      <c r="D255" s="4" t="s">
        <v>19</v>
      </c>
      <c r="F255" s="1">
        <v>3129461</v>
      </c>
      <c r="G255" s="1">
        <v>0</v>
      </c>
      <c r="H255" s="1">
        <v>0</v>
      </c>
      <c r="I255" s="1">
        <v>0</v>
      </c>
      <c r="J255" s="1">
        <v>910758</v>
      </c>
      <c r="K255" s="1">
        <v>0</v>
      </c>
      <c r="L255" s="1">
        <v>73105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8198</v>
      </c>
      <c r="S255" s="1">
        <v>0</v>
      </c>
      <c r="T255" s="1">
        <v>6913</v>
      </c>
      <c r="U255" s="1">
        <v>0</v>
      </c>
      <c r="V255" s="1">
        <v>1173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H255" s="4">
        <f t="shared" si="7"/>
        <v>4129608</v>
      </c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</row>
    <row r="256" spans="1:65" s="4" customFormat="1">
      <c r="A256" s="4">
        <v>218</v>
      </c>
      <c r="B256" s="4" t="s">
        <v>245</v>
      </c>
      <c r="D256" s="4" t="s">
        <v>25</v>
      </c>
      <c r="F256" s="1">
        <v>1286940</v>
      </c>
      <c r="G256" s="1">
        <v>0</v>
      </c>
      <c r="H256" s="1">
        <v>0</v>
      </c>
      <c r="I256" s="1">
        <v>0</v>
      </c>
      <c r="J256" s="1">
        <v>5300</v>
      </c>
      <c r="K256" s="1">
        <v>0</v>
      </c>
      <c r="L256" s="1">
        <v>32335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16588</v>
      </c>
      <c r="S256" s="1">
        <v>0</v>
      </c>
      <c r="T256" s="1">
        <v>66</v>
      </c>
      <c r="U256" s="1">
        <v>0</v>
      </c>
      <c r="V256" s="1">
        <f>8793+2318</f>
        <v>11111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H256" s="4">
        <f t="shared" si="7"/>
        <v>1352340</v>
      </c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</row>
    <row r="257" spans="1:65" s="4" customFormat="1">
      <c r="A257" s="4">
        <v>154</v>
      </c>
      <c r="B257" s="4" t="s">
        <v>246</v>
      </c>
      <c r="D257" s="4" t="s">
        <v>65</v>
      </c>
      <c r="F257" s="1">
        <v>302767</v>
      </c>
      <c r="G257" s="1">
        <v>0</v>
      </c>
      <c r="H257" s="1">
        <v>471777</v>
      </c>
      <c r="I257" s="1">
        <v>0</v>
      </c>
      <c r="J257" s="1">
        <v>131668</v>
      </c>
      <c r="K257" s="1">
        <v>0</v>
      </c>
      <c r="L257" s="1">
        <v>21895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320</v>
      </c>
      <c r="S257" s="1">
        <v>0</v>
      </c>
      <c r="T257" s="1">
        <v>4610</v>
      </c>
      <c r="U257" s="1">
        <v>0</v>
      </c>
      <c r="V257" s="1">
        <v>10394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H257" s="4">
        <f t="shared" si="7"/>
        <v>943431</v>
      </c>
    </row>
    <row r="258" spans="1:65" s="4" customFormat="1">
      <c r="A258" s="4">
        <v>192</v>
      </c>
      <c r="B258" s="35" t="s">
        <v>247</v>
      </c>
      <c r="C258" s="35"/>
      <c r="D258" s="35" t="s">
        <v>69</v>
      </c>
      <c r="E258" s="35"/>
      <c r="F258" s="1">
        <v>0</v>
      </c>
      <c r="G258" s="1"/>
      <c r="H258" s="1">
        <v>189381.67</v>
      </c>
      <c r="I258" s="1"/>
      <c r="J258" s="1">
        <v>1.55</v>
      </c>
      <c r="K258" s="1"/>
      <c r="L258" s="1">
        <v>1355.43</v>
      </c>
      <c r="M258" s="1"/>
      <c r="N258" s="1">
        <v>0</v>
      </c>
      <c r="O258" s="1"/>
      <c r="P258" s="1">
        <v>0</v>
      </c>
      <c r="Q258" s="1"/>
      <c r="R258" s="1">
        <v>9651.65</v>
      </c>
      <c r="S258" s="1"/>
      <c r="T258" s="1">
        <v>230.49</v>
      </c>
      <c r="U258" s="1"/>
      <c r="V258" s="1">
        <v>2564.04</v>
      </c>
      <c r="W258" s="1"/>
      <c r="X258" s="1">
        <v>328.31</v>
      </c>
      <c r="Y258" s="1"/>
      <c r="Z258" s="1">
        <v>0</v>
      </c>
      <c r="AA258" s="1"/>
      <c r="AB258" s="1">
        <v>0</v>
      </c>
      <c r="AC258" s="1"/>
      <c r="AD258" s="1">
        <v>0</v>
      </c>
      <c r="AE258" s="1"/>
      <c r="AF258" s="1">
        <v>0</v>
      </c>
      <c r="AG258" s="35"/>
      <c r="AH258" s="4">
        <f t="shared" si="7"/>
        <v>203513.13999999998</v>
      </c>
    </row>
    <row r="259" spans="1:65" s="4" customFormat="1">
      <c r="A259" s="4">
        <v>221</v>
      </c>
      <c r="B259" s="35" t="s">
        <v>347</v>
      </c>
      <c r="C259" s="35"/>
      <c r="D259" s="35" t="s">
        <v>62</v>
      </c>
      <c r="E259" s="35"/>
      <c r="F259" s="1">
        <v>96517.71</v>
      </c>
      <c r="G259" s="1"/>
      <c r="H259" s="1">
        <v>236938.39</v>
      </c>
      <c r="I259" s="1"/>
      <c r="J259" s="1">
        <v>16498.61</v>
      </c>
      <c r="K259" s="1"/>
      <c r="L259" s="1">
        <v>8377.6299999999992</v>
      </c>
      <c r="M259" s="1"/>
      <c r="N259" s="1">
        <v>0</v>
      </c>
      <c r="O259" s="1"/>
      <c r="P259" s="1">
        <v>0</v>
      </c>
      <c r="Q259" s="1"/>
      <c r="R259" s="1">
        <v>10415.92</v>
      </c>
      <c r="S259" s="1"/>
      <c r="T259" s="1">
        <v>3126.35</v>
      </c>
      <c r="U259" s="1"/>
      <c r="V259" s="1">
        <v>5859.6</v>
      </c>
      <c r="W259" s="1"/>
      <c r="X259" s="1">
        <v>0</v>
      </c>
      <c r="Y259" s="1"/>
      <c r="Z259" s="1">
        <v>0</v>
      </c>
      <c r="AA259" s="1"/>
      <c r="AB259" s="1">
        <v>0</v>
      </c>
      <c r="AC259" s="1"/>
      <c r="AD259" s="1">
        <v>0</v>
      </c>
      <c r="AE259" s="1"/>
      <c r="AF259" s="1">
        <v>0</v>
      </c>
      <c r="AG259" s="35"/>
      <c r="AH259" s="4">
        <f t="shared" si="7"/>
        <v>377734.20999999996</v>
      </c>
    </row>
    <row r="260" spans="1:65" s="4" customFormat="1">
      <c r="A260" s="4">
        <v>199</v>
      </c>
      <c r="B260" s="4" t="s">
        <v>248</v>
      </c>
      <c r="D260" s="4" t="s">
        <v>51</v>
      </c>
      <c r="F260" s="1">
        <v>691432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32264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14719</v>
      </c>
      <c r="S260" s="1">
        <v>0</v>
      </c>
      <c r="T260" s="1">
        <v>1548</v>
      </c>
      <c r="U260" s="1">
        <v>0</v>
      </c>
      <c r="V260" s="1">
        <v>406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H260" s="4">
        <f t="shared" si="7"/>
        <v>740369</v>
      </c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</row>
    <row r="261" spans="1:65" s="4" customFormat="1">
      <c r="A261" s="4">
        <v>69</v>
      </c>
      <c r="B261" s="4" t="s">
        <v>249</v>
      </c>
      <c r="D261" s="4" t="s">
        <v>54</v>
      </c>
      <c r="F261" s="1">
        <v>416672</v>
      </c>
      <c r="G261" s="1">
        <v>0</v>
      </c>
      <c r="H261" s="1">
        <v>525445</v>
      </c>
      <c r="I261" s="1">
        <v>0</v>
      </c>
      <c r="J261" s="1">
        <v>61573</v>
      </c>
      <c r="K261" s="1">
        <v>0</v>
      </c>
      <c r="L261" s="1">
        <v>7427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1870</v>
      </c>
      <c r="S261" s="1">
        <v>0</v>
      </c>
      <c r="T261" s="1">
        <v>2117</v>
      </c>
      <c r="U261" s="1">
        <v>0</v>
      </c>
      <c r="V261" s="1">
        <v>40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H261" s="4">
        <f t="shared" si="7"/>
        <v>1015144</v>
      </c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</row>
    <row r="262" spans="1:65" s="4" customFormat="1">
      <c r="A262" s="4">
        <v>77</v>
      </c>
      <c r="B262" s="4" t="s">
        <v>315</v>
      </c>
      <c r="D262" s="4" t="s">
        <v>167</v>
      </c>
      <c r="F262" s="1">
        <v>1430429</v>
      </c>
      <c r="G262" s="1">
        <v>0</v>
      </c>
      <c r="H262" s="1">
        <v>1398495</v>
      </c>
      <c r="I262" s="1">
        <v>0</v>
      </c>
      <c r="J262" s="1">
        <v>125643</v>
      </c>
      <c r="K262" s="1">
        <v>0</v>
      </c>
      <c r="L262" s="1">
        <v>63819</v>
      </c>
      <c r="M262" s="1">
        <v>0</v>
      </c>
      <c r="N262" s="1">
        <v>0</v>
      </c>
      <c r="O262" s="1">
        <v>0</v>
      </c>
      <c r="P262" s="1">
        <v>1000</v>
      </c>
      <c r="Q262" s="1">
        <v>0</v>
      </c>
      <c r="R262" s="1">
        <v>64564</v>
      </c>
      <c r="S262" s="1">
        <v>0</v>
      </c>
      <c r="T262" s="1">
        <v>17727</v>
      </c>
      <c r="U262" s="1">
        <v>0</v>
      </c>
      <c r="V262" s="1">
        <v>27558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H262" s="4">
        <f t="shared" si="7"/>
        <v>3129235</v>
      </c>
    </row>
    <row r="263" spans="1:65" s="4" customFormat="1">
      <c r="A263" s="4">
        <v>127</v>
      </c>
      <c r="B263" s="4" t="s">
        <v>250</v>
      </c>
      <c r="D263" s="4" t="s">
        <v>68</v>
      </c>
      <c r="F263" s="1">
        <v>0</v>
      </c>
      <c r="G263" s="1"/>
      <c r="H263" s="1">
        <v>204473.07</v>
      </c>
      <c r="I263" s="1"/>
      <c r="J263" s="1">
        <v>0</v>
      </c>
      <c r="K263" s="1"/>
      <c r="L263" s="1">
        <v>10320.379999999999</v>
      </c>
      <c r="M263" s="1"/>
      <c r="N263" s="1">
        <v>0</v>
      </c>
      <c r="O263" s="1"/>
      <c r="P263" s="1">
        <v>0</v>
      </c>
      <c r="Q263" s="1"/>
      <c r="R263" s="1">
        <v>115508.26</v>
      </c>
      <c r="S263" s="1"/>
      <c r="T263" s="1">
        <v>2685.46</v>
      </c>
      <c r="U263" s="1"/>
      <c r="V263" s="1">
        <v>0</v>
      </c>
      <c r="W263" s="1"/>
      <c r="X263" s="1">
        <v>0</v>
      </c>
      <c r="Y263" s="1"/>
      <c r="Z263" s="1">
        <v>0</v>
      </c>
      <c r="AA263" s="1"/>
      <c r="AB263" s="1">
        <v>0</v>
      </c>
      <c r="AC263" s="1"/>
      <c r="AD263" s="1">
        <v>0</v>
      </c>
      <c r="AE263" s="1"/>
      <c r="AF263" s="1">
        <v>0</v>
      </c>
      <c r="AH263" s="4">
        <f t="shared" si="7"/>
        <v>332987.17000000004</v>
      </c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</row>
    <row r="264" spans="1:65" s="4" customFormat="1">
      <c r="A264" s="4">
        <v>126</v>
      </c>
      <c r="B264" s="4" t="s">
        <v>251</v>
      </c>
      <c r="D264" s="4" t="s">
        <v>45</v>
      </c>
      <c r="F264" s="1">
        <v>0</v>
      </c>
      <c r="G264" s="1"/>
      <c r="H264" s="1">
        <v>129984.11</v>
      </c>
      <c r="I264" s="1"/>
      <c r="J264" s="1">
        <v>0</v>
      </c>
      <c r="K264" s="1"/>
      <c r="L264" s="1">
        <v>922.13</v>
      </c>
      <c r="M264" s="1"/>
      <c r="N264" s="1">
        <v>0</v>
      </c>
      <c r="O264" s="1"/>
      <c r="P264" s="1">
        <v>0</v>
      </c>
      <c r="Q264" s="1"/>
      <c r="R264" s="1">
        <v>19985.939999999999</v>
      </c>
      <c r="S264" s="1"/>
      <c r="T264" s="1">
        <v>38.36</v>
      </c>
      <c r="U264" s="1"/>
      <c r="V264" s="1">
        <v>1446.86</v>
      </c>
      <c r="W264" s="1"/>
      <c r="X264" s="1">
        <v>0</v>
      </c>
      <c r="Y264" s="1"/>
      <c r="Z264" s="1">
        <v>0</v>
      </c>
      <c r="AA264" s="1"/>
      <c r="AB264" s="1">
        <v>0</v>
      </c>
      <c r="AC264" s="1"/>
      <c r="AD264" s="1">
        <v>0</v>
      </c>
      <c r="AE264" s="1"/>
      <c r="AF264" s="1">
        <v>0</v>
      </c>
      <c r="AH264" s="4">
        <f t="shared" si="7"/>
        <v>152377.39999999997</v>
      </c>
    </row>
    <row r="265" spans="1:65" s="4" customFormat="1">
      <c r="A265" s="4">
        <v>120</v>
      </c>
      <c r="B265" s="4" t="s">
        <v>252</v>
      </c>
      <c r="D265" s="4" t="s">
        <v>19</v>
      </c>
      <c r="F265" s="1">
        <v>3013374</v>
      </c>
      <c r="G265" s="1">
        <v>0</v>
      </c>
      <c r="H265" s="1">
        <v>1405270</v>
      </c>
      <c r="I265" s="1">
        <v>0</v>
      </c>
      <c r="J265" s="1">
        <v>470900</v>
      </c>
      <c r="K265" s="1">
        <v>0</v>
      </c>
      <c r="L265" s="1">
        <v>134828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50</v>
      </c>
      <c r="S265" s="1">
        <v>0</v>
      </c>
      <c r="T265" s="1">
        <v>7527</v>
      </c>
      <c r="U265" s="1">
        <v>0</v>
      </c>
      <c r="V265" s="1">
        <v>133505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10000</v>
      </c>
      <c r="AC265" s="1">
        <v>0</v>
      </c>
      <c r="AD265" s="1">
        <v>0</v>
      </c>
      <c r="AE265" s="1">
        <v>0</v>
      </c>
      <c r="AF265" s="1">
        <v>0</v>
      </c>
      <c r="AH265" s="4">
        <f t="shared" si="7"/>
        <v>5175454</v>
      </c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</row>
    <row r="266" spans="1:65" s="4" customFormat="1">
      <c r="A266" s="4">
        <v>202</v>
      </c>
      <c r="B266" s="4" t="s">
        <v>447</v>
      </c>
      <c r="D266" s="4" t="s">
        <v>170</v>
      </c>
      <c r="F266" s="1">
        <v>0</v>
      </c>
      <c r="G266" s="1">
        <v>0</v>
      </c>
      <c r="H266" s="1">
        <v>0</v>
      </c>
      <c r="I266" s="1">
        <v>0</v>
      </c>
      <c r="J266" s="1">
        <v>37029</v>
      </c>
      <c r="K266" s="1">
        <v>0</v>
      </c>
      <c r="L266" s="1">
        <v>5614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1059</v>
      </c>
      <c r="U266" s="1">
        <v>0</v>
      </c>
      <c r="V266" s="1">
        <v>2647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H266" s="4">
        <f t="shared" si="7"/>
        <v>46349</v>
      </c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</row>
    <row r="267" spans="1:65" s="4" customFormat="1">
      <c r="A267" s="4">
        <v>178</v>
      </c>
      <c r="B267" s="4" t="s">
        <v>254</v>
      </c>
      <c r="D267" s="4" t="s">
        <v>92</v>
      </c>
      <c r="F267" s="1">
        <v>0</v>
      </c>
      <c r="G267" s="1">
        <v>0</v>
      </c>
      <c r="H267" s="1">
        <v>3134019</v>
      </c>
      <c r="I267" s="1">
        <v>0</v>
      </c>
      <c r="J267" s="1">
        <v>0</v>
      </c>
      <c r="K267" s="1">
        <v>0</v>
      </c>
      <c r="L267" s="1">
        <v>152772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46725</v>
      </c>
      <c r="S267" s="1">
        <v>0</v>
      </c>
      <c r="T267" s="1">
        <v>1065</v>
      </c>
      <c r="U267" s="1">
        <v>0</v>
      </c>
      <c r="V267" s="1">
        <v>125518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H267" s="4">
        <f t="shared" si="7"/>
        <v>3460099</v>
      </c>
    </row>
    <row r="268" spans="1:65" s="4" customFormat="1">
      <c r="A268" s="4">
        <v>52</v>
      </c>
      <c r="B268" s="35" t="s">
        <v>316</v>
      </c>
      <c r="C268" s="35"/>
      <c r="D268" s="35" t="s">
        <v>13</v>
      </c>
      <c r="E268" s="35"/>
      <c r="F268" s="1">
        <v>0</v>
      </c>
      <c r="G268" s="1"/>
      <c r="H268" s="1">
        <v>390260.24</v>
      </c>
      <c r="I268" s="1"/>
      <c r="J268" s="1">
        <v>0</v>
      </c>
      <c r="K268" s="1"/>
      <c r="L268" s="1">
        <v>11677.92</v>
      </c>
      <c r="M268" s="1"/>
      <c r="N268" s="1">
        <v>0</v>
      </c>
      <c r="O268" s="1"/>
      <c r="P268" s="1">
        <v>0</v>
      </c>
      <c r="Q268" s="1"/>
      <c r="R268" s="1">
        <v>5541.62</v>
      </c>
      <c r="S268" s="1"/>
      <c r="T268" s="1">
        <v>178.22</v>
      </c>
      <c r="U268" s="1"/>
      <c r="V268" s="1">
        <v>4204.2299999999996</v>
      </c>
      <c r="W268" s="1"/>
      <c r="X268" s="1">
        <v>0</v>
      </c>
      <c r="Y268" s="1"/>
      <c r="Z268" s="1">
        <v>0</v>
      </c>
      <c r="AA268" s="1"/>
      <c r="AB268" s="1">
        <v>0</v>
      </c>
      <c r="AC268" s="1"/>
      <c r="AD268" s="1">
        <v>0</v>
      </c>
      <c r="AE268" s="1"/>
      <c r="AF268" s="1">
        <v>0</v>
      </c>
      <c r="AG268" s="35"/>
      <c r="AH268" s="4">
        <f t="shared" si="7"/>
        <v>411862.22999999992</v>
      </c>
    </row>
    <row r="269" spans="1:65" s="4" customFormat="1">
      <c r="A269" s="4">
        <v>93</v>
      </c>
      <c r="B269" s="38" t="s">
        <v>344</v>
      </c>
      <c r="C269" s="38"/>
      <c r="D269" s="38" t="s">
        <v>44</v>
      </c>
      <c r="E269" s="38"/>
      <c r="F269" s="1">
        <v>0</v>
      </c>
      <c r="G269" s="1"/>
      <c r="H269" s="1">
        <v>404421.87</v>
      </c>
      <c r="I269" s="1"/>
      <c r="J269" s="1">
        <v>0</v>
      </c>
      <c r="K269" s="1"/>
      <c r="L269" s="1">
        <v>9741.84</v>
      </c>
      <c r="M269" s="1"/>
      <c r="N269" s="1">
        <v>0</v>
      </c>
      <c r="O269" s="1"/>
      <c r="P269" s="1">
        <v>0</v>
      </c>
      <c r="Q269" s="1"/>
      <c r="R269" s="1">
        <v>1150.68</v>
      </c>
      <c r="S269" s="1"/>
      <c r="T269" s="1">
        <v>0</v>
      </c>
      <c r="U269" s="1"/>
      <c r="V269" s="1">
        <v>1505.61</v>
      </c>
      <c r="W269" s="1"/>
      <c r="X269" s="1">
        <v>0</v>
      </c>
      <c r="Y269" s="1"/>
      <c r="Z269" s="1">
        <v>0</v>
      </c>
      <c r="AA269" s="1"/>
      <c r="AB269" s="1">
        <v>40200</v>
      </c>
      <c r="AC269" s="1"/>
      <c r="AD269" s="1">
        <v>0</v>
      </c>
      <c r="AE269" s="1"/>
      <c r="AF269" s="1">
        <v>0</v>
      </c>
      <c r="AG269" s="35"/>
      <c r="AH269" s="4">
        <f t="shared" si="7"/>
        <v>457020</v>
      </c>
    </row>
    <row r="270" spans="1:65" s="4" customFormat="1">
      <c r="A270" s="4">
        <v>5</v>
      </c>
      <c r="B270" s="4" t="s">
        <v>592</v>
      </c>
      <c r="D270" s="4" t="s">
        <v>25</v>
      </c>
      <c r="F270" s="1">
        <v>4132313</v>
      </c>
      <c r="G270" s="1">
        <v>0</v>
      </c>
      <c r="H270" s="1">
        <v>6344334</v>
      </c>
      <c r="I270" s="1">
        <v>0</v>
      </c>
      <c r="J270" s="1">
        <v>1192909</v>
      </c>
      <c r="K270" s="1">
        <v>0</v>
      </c>
      <c r="L270" s="1">
        <v>237609</v>
      </c>
      <c r="M270" s="1">
        <v>0</v>
      </c>
      <c r="N270" s="1">
        <v>0</v>
      </c>
      <c r="O270" s="1">
        <v>0</v>
      </c>
      <c r="P270" s="1">
        <v>51575</v>
      </c>
      <c r="Q270" s="1">
        <v>0</v>
      </c>
      <c r="R270" s="1">
        <v>21041</v>
      </c>
      <c r="S270" s="1">
        <v>0</v>
      </c>
      <c r="T270" s="1">
        <v>2603</v>
      </c>
      <c r="U270" s="1">
        <v>0</v>
      </c>
      <c r="V270" s="1">
        <v>92364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H270" s="4">
        <f t="shared" si="7"/>
        <v>12074748</v>
      </c>
    </row>
    <row r="271" spans="1:65" s="4" customFormat="1" ht="12" customHeight="1">
      <c r="A271" s="4">
        <v>70</v>
      </c>
      <c r="B271" s="4" t="s">
        <v>256</v>
      </c>
      <c r="D271" s="4" t="s">
        <v>257</v>
      </c>
      <c r="F271" s="1">
        <v>0</v>
      </c>
      <c r="G271" s="1"/>
      <c r="H271" s="1">
        <v>2247016.96</v>
      </c>
      <c r="I271" s="1"/>
      <c r="J271" s="1">
        <v>0</v>
      </c>
      <c r="K271" s="1"/>
      <c r="L271" s="1">
        <v>88109.79</v>
      </c>
      <c r="M271" s="1"/>
      <c r="N271" s="1">
        <v>0</v>
      </c>
      <c r="O271" s="1"/>
      <c r="P271" s="1">
        <v>3000</v>
      </c>
      <c r="Q271" s="1"/>
      <c r="R271" s="1">
        <v>13643.04</v>
      </c>
      <c r="S271" s="1"/>
      <c r="T271" s="1">
        <v>3866.7</v>
      </c>
      <c r="U271" s="1"/>
      <c r="V271" s="1">
        <v>45497.38</v>
      </c>
      <c r="W271" s="1"/>
      <c r="X271" s="1">
        <v>0</v>
      </c>
      <c r="Y271" s="1"/>
      <c r="Z271" s="1">
        <v>200000</v>
      </c>
      <c r="AA271" s="1"/>
      <c r="AB271" s="1">
        <v>0</v>
      </c>
      <c r="AC271" s="1"/>
      <c r="AD271" s="1">
        <v>0</v>
      </c>
      <c r="AE271" s="1"/>
      <c r="AF271" s="1">
        <v>0</v>
      </c>
      <c r="AH271" s="4">
        <f t="shared" si="7"/>
        <v>2601133.87</v>
      </c>
    </row>
    <row r="272" spans="1:65" s="4" customFormat="1">
      <c r="A272" s="4">
        <v>134</v>
      </c>
      <c r="B272" s="4" t="s">
        <v>258</v>
      </c>
      <c r="D272" s="4" t="s">
        <v>22</v>
      </c>
      <c r="F272" s="1">
        <v>792802</v>
      </c>
      <c r="G272" s="1">
        <v>0</v>
      </c>
      <c r="H272" s="1">
        <v>0</v>
      </c>
      <c r="I272" s="1">
        <v>0</v>
      </c>
      <c r="J272" s="1">
        <v>1086935</v>
      </c>
      <c r="K272" s="1">
        <v>0</v>
      </c>
      <c r="L272" s="1">
        <v>80173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9089</v>
      </c>
      <c r="S272" s="1">
        <v>0</v>
      </c>
      <c r="T272" s="1">
        <v>620</v>
      </c>
      <c r="U272" s="1">
        <v>0</v>
      </c>
      <c r="V272" s="1">
        <v>10066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H272" s="4">
        <f t="shared" si="7"/>
        <v>1979685</v>
      </c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</row>
    <row r="273" spans="1:65" s="4" customFormat="1">
      <c r="A273" s="4">
        <v>142</v>
      </c>
      <c r="B273" s="35" t="s">
        <v>259</v>
      </c>
      <c r="C273" s="35"/>
      <c r="D273" s="35" t="s">
        <v>42</v>
      </c>
      <c r="E273" s="35"/>
      <c r="F273" s="1">
        <v>123574.6</v>
      </c>
      <c r="G273" s="1"/>
      <c r="H273" s="1">
        <v>226342.69</v>
      </c>
      <c r="I273" s="1"/>
      <c r="J273" s="1">
        <v>165.18</v>
      </c>
      <c r="K273" s="1"/>
      <c r="L273" s="1">
        <v>13938.6</v>
      </c>
      <c r="M273" s="1"/>
      <c r="N273" s="1">
        <v>0</v>
      </c>
      <c r="O273" s="1"/>
      <c r="P273" s="1">
        <v>0</v>
      </c>
      <c r="Q273" s="1"/>
      <c r="R273" s="1">
        <v>6648.95</v>
      </c>
      <c r="S273" s="1"/>
      <c r="T273" s="1">
        <v>1493.57</v>
      </c>
      <c r="U273" s="1"/>
      <c r="V273" s="1">
        <v>2897.56</v>
      </c>
      <c r="W273" s="1"/>
      <c r="X273" s="1">
        <v>0</v>
      </c>
      <c r="Y273" s="1"/>
      <c r="Z273" s="1">
        <v>0</v>
      </c>
      <c r="AA273" s="1"/>
      <c r="AB273" s="1">
        <v>0</v>
      </c>
      <c r="AC273" s="1"/>
      <c r="AD273" s="1">
        <v>0</v>
      </c>
      <c r="AE273" s="1"/>
      <c r="AF273" s="1">
        <v>0</v>
      </c>
      <c r="AG273" s="35"/>
      <c r="AH273" s="4">
        <f t="shared" si="7"/>
        <v>375061.15</v>
      </c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</row>
    <row r="274" spans="1:65" s="4" customFormat="1">
      <c r="A274" s="4">
        <v>79</v>
      </c>
      <c r="B274" s="4" t="s">
        <v>317</v>
      </c>
      <c r="D274" s="4" t="s">
        <v>170</v>
      </c>
      <c r="F274" s="1">
        <v>0</v>
      </c>
      <c r="G274" s="1"/>
      <c r="H274" s="1">
        <v>336118.03</v>
      </c>
      <c r="I274" s="1"/>
      <c r="J274" s="1">
        <v>0</v>
      </c>
      <c r="K274" s="1"/>
      <c r="L274" s="1">
        <v>13045.4</v>
      </c>
      <c r="M274" s="1"/>
      <c r="N274" s="1">
        <v>0</v>
      </c>
      <c r="O274" s="1"/>
      <c r="P274" s="1">
        <v>0</v>
      </c>
      <c r="Q274" s="1"/>
      <c r="R274" s="1">
        <v>6853</v>
      </c>
      <c r="S274" s="1"/>
      <c r="T274" s="1">
        <v>32125.4</v>
      </c>
      <c r="U274" s="1"/>
      <c r="V274" s="1">
        <v>800.41</v>
      </c>
      <c r="W274" s="1"/>
      <c r="X274" s="1">
        <v>0</v>
      </c>
      <c r="Y274" s="1"/>
      <c r="Z274" s="1">
        <v>0</v>
      </c>
      <c r="AA274" s="1"/>
      <c r="AB274" s="1">
        <v>0</v>
      </c>
      <c r="AC274" s="1"/>
      <c r="AD274" s="1">
        <v>0</v>
      </c>
      <c r="AE274" s="1"/>
      <c r="AF274" s="1">
        <v>0</v>
      </c>
      <c r="AH274" s="4">
        <f t="shared" si="7"/>
        <v>388942.24000000005</v>
      </c>
    </row>
    <row r="275" spans="1:65" s="4" customFormat="1" hidden="1">
      <c r="A275" s="4">
        <v>56</v>
      </c>
      <c r="B275" s="4" t="s">
        <v>261</v>
      </c>
      <c r="D275" s="4" t="s">
        <v>22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H275" s="4">
        <f t="shared" si="7"/>
        <v>0</v>
      </c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</row>
    <row r="276" spans="1:65" s="4" customFormat="1" hidden="1">
      <c r="A276" s="4">
        <v>130</v>
      </c>
      <c r="B276" s="4" t="s">
        <v>579</v>
      </c>
      <c r="D276" s="4" t="s">
        <v>580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H276" s="4">
        <f t="shared" si="7"/>
        <v>0</v>
      </c>
    </row>
    <row r="277" spans="1:65" s="4" customFormat="1" hidden="1">
      <c r="A277" s="4">
        <v>55</v>
      </c>
      <c r="B277" s="4" t="s">
        <v>576</v>
      </c>
      <c r="D277" s="4" t="s">
        <v>67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H277" s="4">
        <f t="shared" si="7"/>
        <v>0</v>
      </c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</row>
    <row r="278" spans="1:65" s="4" customFormat="1">
      <c r="A278" s="4">
        <v>145</v>
      </c>
      <c r="B278" s="4" t="s">
        <v>262</v>
      </c>
      <c r="D278" s="4" t="s">
        <v>45</v>
      </c>
      <c r="F278" s="1">
        <v>0</v>
      </c>
      <c r="G278" s="1"/>
      <c r="H278" s="1">
        <v>881832.09</v>
      </c>
      <c r="I278" s="1"/>
      <c r="J278" s="1">
        <v>0</v>
      </c>
      <c r="K278" s="1"/>
      <c r="L278" s="1">
        <v>39277.9</v>
      </c>
      <c r="M278" s="1"/>
      <c r="N278" s="1">
        <v>0</v>
      </c>
      <c r="O278" s="1"/>
      <c r="P278" s="1">
        <v>0</v>
      </c>
      <c r="Q278" s="1"/>
      <c r="R278" s="1">
        <v>57412.1</v>
      </c>
      <c r="S278" s="1"/>
      <c r="T278" s="1">
        <v>8671.7099999999991</v>
      </c>
      <c r="U278" s="1"/>
      <c r="V278" s="1">
        <v>3647.45</v>
      </c>
      <c r="W278" s="1"/>
      <c r="X278" s="1">
        <v>0</v>
      </c>
      <c r="Y278" s="1"/>
      <c r="Z278" s="1">
        <v>169236.16</v>
      </c>
      <c r="AA278" s="1"/>
      <c r="AB278" s="1">
        <v>0</v>
      </c>
      <c r="AC278" s="1"/>
      <c r="AD278" s="1">
        <v>0</v>
      </c>
      <c r="AE278" s="1"/>
      <c r="AF278" s="1">
        <v>0</v>
      </c>
      <c r="AH278" s="4">
        <f t="shared" si="7"/>
        <v>1160077.4099999999</v>
      </c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</row>
    <row r="279" spans="1:65" s="4" customFormat="1">
      <c r="A279" s="4">
        <v>54</v>
      </c>
      <c r="B279" s="4" t="s">
        <v>448</v>
      </c>
      <c r="D279" s="4" t="s">
        <v>53</v>
      </c>
      <c r="F279" s="1">
        <v>284716</v>
      </c>
      <c r="G279" s="1">
        <v>0</v>
      </c>
      <c r="H279" s="1">
        <v>0</v>
      </c>
      <c r="I279" s="1">
        <v>0</v>
      </c>
      <c r="J279" s="1">
        <v>440784</v>
      </c>
      <c r="K279" s="1">
        <v>0</v>
      </c>
      <c r="L279" s="1">
        <v>13387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1915</v>
      </c>
      <c r="S279" s="1">
        <v>0</v>
      </c>
      <c r="T279" s="1">
        <v>3511</v>
      </c>
      <c r="U279" s="1">
        <v>0</v>
      </c>
      <c r="V279" s="1">
        <v>11238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H279" s="4">
        <f t="shared" si="7"/>
        <v>755551</v>
      </c>
    </row>
    <row r="280" spans="1:65" s="4" customFormat="1">
      <c r="A280" s="4">
        <v>32</v>
      </c>
      <c r="B280" s="4" t="s">
        <v>608</v>
      </c>
      <c r="D280" s="4" t="s">
        <v>318</v>
      </c>
      <c r="F280" s="1">
        <v>13683108</v>
      </c>
      <c r="G280" s="1">
        <v>0</v>
      </c>
      <c r="H280" s="1">
        <v>0</v>
      </c>
      <c r="I280" s="1">
        <v>0</v>
      </c>
      <c r="J280" s="1">
        <v>17713983</v>
      </c>
      <c r="K280" s="1">
        <v>0</v>
      </c>
      <c r="L280" s="1">
        <v>855280</v>
      </c>
      <c r="M280" s="1">
        <v>0</v>
      </c>
      <c r="N280" s="1">
        <v>0</v>
      </c>
      <c r="O280" s="1">
        <v>0</v>
      </c>
      <c r="P280" s="1">
        <v>76469</v>
      </c>
      <c r="Q280" s="1">
        <v>0</v>
      </c>
      <c r="R280" s="1">
        <v>13287</v>
      </c>
      <c r="S280" s="1">
        <v>0</v>
      </c>
      <c r="T280" s="1">
        <v>23466</v>
      </c>
      <c r="U280" s="1">
        <v>0</v>
      </c>
      <c r="V280" s="1">
        <v>168937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H280" s="4">
        <f t="shared" si="7"/>
        <v>32534530</v>
      </c>
    </row>
    <row r="281" spans="1:65" s="4" customFormat="1">
      <c r="A281" s="4">
        <v>57</v>
      </c>
      <c r="B281" s="4" t="s">
        <v>609</v>
      </c>
      <c r="D281" s="4" t="s">
        <v>53</v>
      </c>
      <c r="F281" s="1">
        <v>623462</v>
      </c>
      <c r="G281" s="1">
        <v>0</v>
      </c>
      <c r="H281" s="1">
        <v>1171483</v>
      </c>
      <c r="I281" s="1">
        <v>0</v>
      </c>
      <c r="J281" s="1">
        <v>0</v>
      </c>
      <c r="K281" s="1">
        <v>0</v>
      </c>
      <c r="L281" s="1">
        <v>48456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55431</v>
      </c>
      <c r="S281" s="1">
        <v>0</v>
      </c>
      <c r="T281" s="1">
        <v>16722</v>
      </c>
      <c r="U281" s="1">
        <v>0</v>
      </c>
      <c r="V281" s="1">
        <v>11359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H281" s="4">
        <f t="shared" si="7"/>
        <v>1926913</v>
      </c>
    </row>
    <row r="282" spans="1:65" s="4" customFormat="1">
      <c r="A282" s="4">
        <v>53</v>
      </c>
      <c r="B282" s="4" t="s">
        <v>610</v>
      </c>
      <c r="D282" s="4" t="s">
        <v>26</v>
      </c>
      <c r="F282" s="1">
        <v>566400</v>
      </c>
      <c r="G282" s="1">
        <v>0</v>
      </c>
      <c r="H282" s="1">
        <v>0</v>
      </c>
      <c r="I282" s="1">
        <v>0</v>
      </c>
      <c r="J282" s="1">
        <v>1277389</v>
      </c>
      <c r="K282" s="1">
        <v>0</v>
      </c>
      <c r="L282" s="1">
        <v>57200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6000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H282" s="4">
        <f t="shared" si="7"/>
        <v>1906989</v>
      </c>
    </row>
    <row r="283" spans="1:65" s="4" customFormat="1">
      <c r="A283" s="4">
        <v>78</v>
      </c>
      <c r="B283" s="4" t="s">
        <v>319</v>
      </c>
      <c r="D283" s="4" t="s">
        <v>22</v>
      </c>
      <c r="F283" s="1">
        <v>1388640</v>
      </c>
      <c r="G283" s="1">
        <v>0</v>
      </c>
      <c r="H283" s="1">
        <v>0</v>
      </c>
      <c r="I283" s="1">
        <v>0</v>
      </c>
      <c r="J283" s="1">
        <v>1356528</v>
      </c>
      <c r="K283" s="1">
        <v>0</v>
      </c>
      <c r="L283" s="1">
        <v>68476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20223</v>
      </c>
      <c r="S283" s="1">
        <v>0</v>
      </c>
      <c r="T283" s="1">
        <v>1404</v>
      </c>
      <c r="U283" s="1">
        <v>0</v>
      </c>
      <c r="V283" s="1">
        <v>17198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H283" s="4">
        <f t="shared" si="7"/>
        <v>2852469</v>
      </c>
    </row>
    <row r="284" spans="1:65" s="7" customFormat="1">
      <c r="A284" s="4">
        <v>247</v>
      </c>
      <c r="B284" s="4" t="s">
        <v>266</v>
      </c>
      <c r="C284" s="4"/>
      <c r="D284" s="4" t="s">
        <v>47</v>
      </c>
      <c r="E284" s="4"/>
      <c r="F284" s="1">
        <v>162780</v>
      </c>
      <c r="G284" s="1">
        <v>0</v>
      </c>
      <c r="H284" s="1">
        <v>403917</v>
      </c>
      <c r="I284" s="1">
        <v>0</v>
      </c>
      <c r="J284" s="1">
        <v>681</v>
      </c>
      <c r="K284" s="1">
        <v>0</v>
      </c>
      <c r="L284" s="1">
        <v>12194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8920</v>
      </c>
      <c r="S284" s="1">
        <v>0</v>
      </c>
      <c r="T284" s="1">
        <v>489</v>
      </c>
      <c r="U284" s="1">
        <v>0</v>
      </c>
      <c r="V284" s="1">
        <v>9592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4"/>
      <c r="AH284" s="4">
        <f t="shared" si="7"/>
        <v>598573</v>
      </c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</row>
    <row r="285" spans="1:65" s="7" customFormat="1">
      <c r="A285" s="4"/>
      <c r="B285" s="4" t="s">
        <v>267</v>
      </c>
      <c r="C285" s="4"/>
      <c r="D285" s="4" t="s">
        <v>92</v>
      </c>
      <c r="E285" s="4"/>
      <c r="F285" s="1">
        <v>2739921</v>
      </c>
      <c r="G285" s="1">
        <v>0</v>
      </c>
      <c r="H285" s="1">
        <v>2431769</v>
      </c>
      <c r="I285" s="1">
        <v>0</v>
      </c>
      <c r="J285" s="1">
        <v>446401</v>
      </c>
      <c r="K285" s="1">
        <v>0</v>
      </c>
      <c r="L285" s="1">
        <v>169540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5429</v>
      </c>
      <c r="S285" s="1">
        <v>0</v>
      </c>
      <c r="T285" s="1">
        <v>34218</v>
      </c>
      <c r="U285" s="1">
        <v>0</v>
      </c>
      <c r="V285" s="1">
        <v>22774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4"/>
      <c r="AH285" s="4">
        <f t="shared" si="7"/>
        <v>5850052</v>
      </c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</row>
    <row r="286" spans="1:65" s="4" customFormat="1">
      <c r="A286" s="4">
        <v>26</v>
      </c>
      <c r="B286" s="4" t="s">
        <v>268</v>
      </c>
      <c r="D286" s="4" t="s">
        <v>63</v>
      </c>
      <c r="F286" s="1">
        <v>277530.14</v>
      </c>
      <c r="G286" s="1"/>
      <c r="H286" s="1">
        <v>245747.91</v>
      </c>
      <c r="I286" s="1"/>
      <c r="J286" s="1">
        <v>30937.98</v>
      </c>
      <c r="K286" s="1"/>
      <c r="L286" s="1">
        <v>20788.18</v>
      </c>
      <c r="M286" s="1"/>
      <c r="N286" s="1">
        <v>0</v>
      </c>
      <c r="O286" s="1"/>
      <c r="P286" s="1">
        <v>0</v>
      </c>
      <c r="Q286" s="1"/>
      <c r="R286" s="1">
        <v>12543.4</v>
      </c>
      <c r="S286" s="1"/>
      <c r="T286" s="1">
        <v>1459.01</v>
      </c>
      <c r="U286" s="1"/>
      <c r="V286" s="1">
        <v>2603</v>
      </c>
      <c r="W286" s="1"/>
      <c r="X286" s="1">
        <v>0</v>
      </c>
      <c r="Y286" s="1"/>
      <c r="Z286" s="1">
        <v>0</v>
      </c>
      <c r="AA286" s="1"/>
      <c r="AB286" s="1">
        <v>0</v>
      </c>
      <c r="AC286" s="1"/>
      <c r="AD286" s="1">
        <v>0</v>
      </c>
      <c r="AE286" s="1"/>
      <c r="AF286" s="1">
        <v>0</v>
      </c>
      <c r="AH286" s="4">
        <f t="shared" si="7"/>
        <v>591609.62000000011</v>
      </c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</row>
    <row r="287" spans="1:65" s="4" customFormat="1">
      <c r="B287" s="4" t="s">
        <v>622</v>
      </c>
      <c r="D287" s="4" t="s">
        <v>67</v>
      </c>
      <c r="F287" s="1">
        <v>0</v>
      </c>
      <c r="G287" s="1">
        <v>0</v>
      </c>
      <c r="H287" s="1">
        <v>269554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H287" s="4">
        <f t="shared" si="7"/>
        <v>269554</v>
      </c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</row>
    <row r="288" spans="1:65" s="4" customFormat="1">
      <c r="A288" s="4">
        <v>25</v>
      </c>
      <c r="B288" s="4" t="s">
        <v>611</v>
      </c>
      <c r="D288" s="4" t="s">
        <v>56</v>
      </c>
      <c r="F288" s="1">
        <v>2161674</v>
      </c>
      <c r="G288" s="1">
        <v>0</v>
      </c>
      <c r="H288" s="1">
        <v>3295334</v>
      </c>
      <c r="I288" s="1">
        <v>0</v>
      </c>
      <c r="J288" s="1">
        <v>154442</v>
      </c>
      <c r="K288" s="1">
        <v>0</v>
      </c>
      <c r="L288" s="1">
        <v>112236</v>
      </c>
      <c r="M288" s="1">
        <v>0</v>
      </c>
      <c r="N288" s="1">
        <v>0</v>
      </c>
      <c r="O288" s="1">
        <v>0</v>
      </c>
      <c r="P288" s="1">
        <v>400</v>
      </c>
      <c r="Q288" s="1">
        <v>0</v>
      </c>
      <c r="R288" s="1">
        <v>2608</v>
      </c>
      <c r="S288" s="1">
        <v>0</v>
      </c>
      <c r="T288" s="1">
        <v>21175</v>
      </c>
      <c r="U288" s="1">
        <v>0</v>
      </c>
      <c r="V288" s="1">
        <v>59470</v>
      </c>
      <c r="W288" s="1">
        <v>0</v>
      </c>
      <c r="X288" s="1">
        <v>0</v>
      </c>
      <c r="Y288" s="1">
        <v>0</v>
      </c>
      <c r="Z288" s="1">
        <v>61150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H288" s="4">
        <f t="shared" si="7"/>
        <v>5868489</v>
      </c>
    </row>
    <row r="289" spans="1:65" s="4" customFormat="1">
      <c r="A289" s="4">
        <v>90</v>
      </c>
      <c r="B289" s="4" t="s">
        <v>612</v>
      </c>
      <c r="D289" s="4" t="s">
        <v>27</v>
      </c>
      <c r="F289" s="1">
        <v>1800351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72396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8449</v>
      </c>
      <c r="S289" s="1">
        <v>0</v>
      </c>
      <c r="T289" s="1">
        <v>2736</v>
      </c>
      <c r="U289" s="1">
        <v>0</v>
      </c>
      <c r="V289" s="1">
        <v>1203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57</v>
      </c>
      <c r="AE289" s="1">
        <v>0</v>
      </c>
      <c r="AF289" s="1">
        <v>0</v>
      </c>
      <c r="AH289" s="4">
        <f t="shared" si="7"/>
        <v>1885192</v>
      </c>
    </row>
    <row r="290" spans="1:65" s="4" customFormat="1">
      <c r="A290" s="4">
        <v>230</v>
      </c>
      <c r="B290" s="4" t="s">
        <v>269</v>
      </c>
      <c r="D290" s="4" t="s">
        <v>55</v>
      </c>
      <c r="F290" s="1">
        <v>3325307</v>
      </c>
      <c r="G290" s="1">
        <v>0</v>
      </c>
      <c r="H290" s="1">
        <v>2002644</v>
      </c>
      <c r="I290" s="1">
        <v>0</v>
      </c>
      <c r="J290" s="1">
        <v>621372</v>
      </c>
      <c r="K290" s="1">
        <v>0</v>
      </c>
      <c r="L290" s="1">
        <v>320182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33317</v>
      </c>
      <c r="S290" s="1">
        <v>0</v>
      </c>
      <c r="T290" s="1">
        <v>220725</v>
      </c>
      <c r="U290" s="1">
        <v>0</v>
      </c>
      <c r="V290" s="1">
        <f>12921+3044</f>
        <v>15965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H290" s="4">
        <f t="shared" si="7"/>
        <v>6539512</v>
      </c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</row>
    <row r="291" spans="1:65" s="4" customFormat="1">
      <c r="A291" s="4">
        <v>171</v>
      </c>
      <c r="B291" s="4" t="s">
        <v>38</v>
      </c>
      <c r="D291" s="4" t="s">
        <v>42</v>
      </c>
      <c r="F291" s="1">
        <v>25131.37</v>
      </c>
      <c r="G291" s="1"/>
      <c r="H291" s="1">
        <v>289233.14</v>
      </c>
      <c r="I291" s="1"/>
      <c r="J291" s="1">
        <v>10075.370000000001</v>
      </c>
      <c r="K291" s="1"/>
      <c r="L291" s="1">
        <v>12286.72</v>
      </c>
      <c r="M291" s="1"/>
      <c r="N291" s="1">
        <v>0</v>
      </c>
      <c r="O291" s="1"/>
      <c r="P291" s="1">
        <v>0</v>
      </c>
      <c r="Q291" s="1"/>
      <c r="R291" s="1">
        <v>2584.2399999999998</v>
      </c>
      <c r="S291" s="1"/>
      <c r="T291" s="1">
        <v>9926.99</v>
      </c>
      <c r="U291" s="1"/>
      <c r="V291" s="1">
        <v>1010.56</v>
      </c>
      <c r="W291" s="1"/>
      <c r="X291" s="1">
        <v>0</v>
      </c>
      <c r="Y291" s="1"/>
      <c r="Z291" s="1">
        <v>0</v>
      </c>
      <c r="AA291" s="1"/>
      <c r="AB291" s="1">
        <v>0</v>
      </c>
      <c r="AC291" s="1"/>
      <c r="AD291" s="1">
        <v>0</v>
      </c>
      <c r="AE291" s="1"/>
      <c r="AF291" s="1">
        <v>0</v>
      </c>
      <c r="AH291" s="4">
        <f t="shared" si="7"/>
        <v>350248.38999999996</v>
      </c>
    </row>
    <row r="292" spans="1:65" s="4" customFormat="1">
      <c r="A292" s="4">
        <v>49</v>
      </c>
      <c r="B292" s="4" t="s">
        <v>613</v>
      </c>
      <c r="D292" s="4" t="s">
        <v>225</v>
      </c>
      <c r="F292" s="1">
        <v>1830027</v>
      </c>
      <c r="G292" s="1">
        <v>0</v>
      </c>
      <c r="H292" s="1">
        <v>2688912</v>
      </c>
      <c r="I292" s="1">
        <v>0</v>
      </c>
      <c r="J292" s="1">
        <v>248446</v>
      </c>
      <c r="K292" s="1">
        <v>0</v>
      </c>
      <c r="L292" s="1">
        <v>154868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21169</v>
      </c>
      <c r="U292" s="1">
        <v>0</v>
      </c>
      <c r="V292" s="1">
        <v>67516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H292" s="4">
        <f t="shared" si="7"/>
        <v>5010938</v>
      </c>
    </row>
    <row r="293" spans="1:65" s="4" customFormat="1">
      <c r="A293" s="4">
        <v>34</v>
      </c>
      <c r="B293" s="4" t="s">
        <v>271</v>
      </c>
      <c r="D293" s="4" t="s">
        <v>65</v>
      </c>
      <c r="F293" s="1">
        <v>0</v>
      </c>
      <c r="G293" s="1"/>
      <c r="H293" s="1">
        <v>247946.76</v>
      </c>
      <c r="I293" s="1"/>
      <c r="J293" s="1">
        <v>0</v>
      </c>
      <c r="K293" s="1"/>
      <c r="L293" s="1">
        <v>7028.47</v>
      </c>
      <c r="M293" s="1"/>
      <c r="N293" s="1">
        <v>0</v>
      </c>
      <c r="O293" s="1"/>
      <c r="P293" s="1">
        <v>0</v>
      </c>
      <c r="Q293" s="1"/>
      <c r="R293" s="1">
        <v>4137.1000000000004</v>
      </c>
      <c r="S293" s="1"/>
      <c r="T293" s="1">
        <v>649.4</v>
      </c>
      <c r="U293" s="1"/>
      <c r="V293" s="1">
        <v>854.75</v>
      </c>
      <c r="W293" s="1"/>
      <c r="X293" s="1">
        <v>0</v>
      </c>
      <c r="Y293" s="1"/>
      <c r="Z293" s="1">
        <v>0</v>
      </c>
      <c r="AA293" s="1"/>
      <c r="AB293" s="1">
        <v>0</v>
      </c>
      <c r="AC293" s="1"/>
      <c r="AD293" s="1">
        <v>0</v>
      </c>
      <c r="AE293" s="1"/>
      <c r="AF293" s="1">
        <v>0</v>
      </c>
      <c r="AH293" s="4">
        <f t="shared" si="7"/>
        <v>260616.48</v>
      </c>
    </row>
    <row r="294" spans="1:65" s="4" customFormat="1">
      <c r="A294" s="4">
        <v>197</v>
      </c>
      <c r="B294" s="4" t="s">
        <v>272</v>
      </c>
      <c r="D294" s="4" t="s">
        <v>65</v>
      </c>
      <c r="F294" s="1">
        <v>841409.14</v>
      </c>
      <c r="G294" s="1"/>
      <c r="H294" s="1">
        <v>853042.36</v>
      </c>
      <c r="I294" s="1"/>
      <c r="J294" s="1">
        <v>99065.56</v>
      </c>
      <c r="K294" s="1"/>
      <c r="L294" s="1">
        <v>57006.49</v>
      </c>
      <c r="M294" s="1"/>
      <c r="N294" s="1">
        <v>0</v>
      </c>
      <c r="O294" s="1"/>
      <c r="P294" s="1">
        <v>0</v>
      </c>
      <c r="Q294" s="1"/>
      <c r="R294" s="1">
        <v>7089.97</v>
      </c>
      <c r="S294" s="1"/>
      <c r="T294" s="1">
        <v>1188.8900000000001</v>
      </c>
      <c r="U294" s="1"/>
      <c r="V294" s="1">
        <v>11817.52</v>
      </c>
      <c r="W294" s="1"/>
      <c r="X294" s="1">
        <v>4618.76</v>
      </c>
      <c r="Y294" s="1"/>
      <c r="Z294" s="1">
        <v>0</v>
      </c>
      <c r="AA294" s="1"/>
      <c r="AB294" s="1">
        <v>0</v>
      </c>
      <c r="AC294" s="1"/>
      <c r="AD294" s="1">
        <v>0</v>
      </c>
      <c r="AE294" s="1"/>
      <c r="AF294" s="1">
        <v>0</v>
      </c>
      <c r="AH294" s="4">
        <f t="shared" si="7"/>
        <v>1875238.69</v>
      </c>
    </row>
    <row r="295" spans="1:65" s="4" customFormat="1">
      <c r="A295" s="4">
        <v>156</v>
      </c>
      <c r="B295" s="35" t="s">
        <v>273</v>
      </c>
      <c r="C295" s="35"/>
      <c r="D295" s="35" t="s">
        <v>51</v>
      </c>
      <c r="E295" s="35"/>
      <c r="F295" s="1">
        <v>0</v>
      </c>
      <c r="G295" s="1"/>
      <c r="H295" s="1">
        <v>337047.77</v>
      </c>
      <c r="I295" s="1"/>
      <c r="J295" s="1">
        <v>0</v>
      </c>
      <c r="K295" s="1"/>
      <c r="L295" s="1">
        <v>5897.19</v>
      </c>
      <c r="M295" s="1"/>
      <c r="N295" s="1">
        <v>0</v>
      </c>
      <c r="O295" s="1"/>
      <c r="P295" s="1">
        <v>0</v>
      </c>
      <c r="Q295" s="1"/>
      <c r="R295" s="1">
        <v>10122.73</v>
      </c>
      <c r="S295" s="1"/>
      <c r="T295" s="1">
        <v>19789.599999999999</v>
      </c>
      <c r="U295" s="1"/>
      <c r="V295" s="1">
        <v>5561.33</v>
      </c>
      <c r="W295" s="1"/>
      <c r="X295" s="1">
        <v>0</v>
      </c>
      <c r="Y295" s="1"/>
      <c r="Z295" s="1">
        <v>0</v>
      </c>
      <c r="AA295" s="1"/>
      <c r="AB295" s="1">
        <v>0</v>
      </c>
      <c r="AC295" s="1"/>
      <c r="AD295" s="1">
        <v>0</v>
      </c>
      <c r="AE295" s="1"/>
      <c r="AF295" s="1">
        <v>0</v>
      </c>
      <c r="AG295" s="35"/>
      <c r="AH295" s="4">
        <f t="shared" si="7"/>
        <v>378418.62</v>
      </c>
    </row>
    <row r="296" spans="1:65" s="4" customFormat="1">
      <c r="A296" s="4">
        <v>91</v>
      </c>
      <c r="B296" s="4" t="s">
        <v>575</v>
      </c>
      <c r="D296" s="4" t="s">
        <v>92</v>
      </c>
      <c r="F296" s="1">
        <v>2006838</v>
      </c>
      <c r="G296" s="1">
        <v>0</v>
      </c>
      <c r="H296" s="1">
        <v>2438390</v>
      </c>
      <c r="I296" s="1">
        <v>0</v>
      </c>
      <c r="J296" s="1">
        <v>0</v>
      </c>
      <c r="K296" s="1">
        <v>0</v>
      </c>
      <c r="L296" s="1">
        <v>263398</v>
      </c>
      <c r="M296" s="1">
        <v>0</v>
      </c>
      <c r="N296" s="1">
        <v>0</v>
      </c>
      <c r="O296" s="1">
        <v>0</v>
      </c>
      <c r="P296" s="1">
        <v>26000</v>
      </c>
      <c r="Q296" s="1">
        <v>0</v>
      </c>
      <c r="R296" s="1">
        <v>12001</v>
      </c>
      <c r="S296" s="1">
        <v>0</v>
      </c>
      <c r="T296" s="1">
        <v>784</v>
      </c>
      <c r="U296" s="1">
        <v>0</v>
      </c>
      <c r="V296" s="1">
        <v>10181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H296" s="4">
        <f t="shared" si="7"/>
        <v>4757592</v>
      </c>
    </row>
    <row r="297" spans="1:65" s="4" customFormat="1">
      <c r="A297" s="4">
        <v>81</v>
      </c>
      <c r="B297" s="4" t="s">
        <v>274</v>
      </c>
      <c r="D297" s="4" t="s">
        <v>65</v>
      </c>
      <c r="F297" s="1">
        <v>0</v>
      </c>
      <c r="G297" s="1"/>
      <c r="H297" s="1">
        <v>300130.3</v>
      </c>
      <c r="I297" s="1"/>
      <c r="J297" s="1">
        <v>0</v>
      </c>
      <c r="K297" s="1"/>
      <c r="L297" s="1">
        <v>5472.25</v>
      </c>
      <c r="M297" s="1"/>
      <c r="N297" s="1">
        <v>0</v>
      </c>
      <c r="O297" s="1"/>
      <c r="P297" s="1">
        <v>0</v>
      </c>
      <c r="Q297" s="1"/>
      <c r="R297" s="1">
        <v>5150</v>
      </c>
      <c r="S297" s="1"/>
      <c r="T297" s="1">
        <v>10395.01</v>
      </c>
      <c r="U297" s="1"/>
      <c r="V297" s="1">
        <v>3641.98</v>
      </c>
      <c r="W297" s="1"/>
      <c r="X297" s="1">
        <v>0</v>
      </c>
      <c r="Y297" s="1"/>
      <c r="Z297" s="1">
        <v>0</v>
      </c>
      <c r="AA297" s="1"/>
      <c r="AB297" s="1">
        <v>0</v>
      </c>
      <c r="AC297" s="1"/>
      <c r="AD297" s="1">
        <v>0</v>
      </c>
      <c r="AE297" s="1"/>
      <c r="AF297" s="1">
        <v>0</v>
      </c>
      <c r="AH297" s="4">
        <f t="shared" si="7"/>
        <v>324789.53999999998</v>
      </c>
    </row>
    <row r="298" spans="1:65" s="4" customFormat="1">
      <c r="A298" s="4">
        <v>215</v>
      </c>
      <c r="B298" s="35" t="s">
        <v>469</v>
      </c>
      <c r="C298" s="35"/>
      <c r="D298" s="35" t="s">
        <v>15</v>
      </c>
      <c r="E298" s="35"/>
      <c r="F298" s="1">
        <v>803752.69</v>
      </c>
      <c r="G298" s="1"/>
      <c r="H298" s="1">
        <v>694081.62</v>
      </c>
      <c r="I298" s="1"/>
      <c r="J298" s="1">
        <v>0</v>
      </c>
      <c r="K298" s="1"/>
      <c r="L298" s="1">
        <v>27534.639999999999</v>
      </c>
      <c r="M298" s="1"/>
      <c r="N298" s="1">
        <v>0</v>
      </c>
      <c r="O298" s="1"/>
      <c r="P298" s="1">
        <v>0</v>
      </c>
      <c r="Q298" s="1"/>
      <c r="R298" s="1">
        <v>140</v>
      </c>
      <c r="S298" s="1"/>
      <c r="T298" s="1">
        <v>22742.85</v>
      </c>
      <c r="U298" s="1"/>
      <c r="V298" s="1">
        <v>39211.14</v>
      </c>
      <c r="W298" s="1"/>
      <c r="X298" s="1">
        <v>1085.1199999999999</v>
      </c>
      <c r="Y298" s="1"/>
      <c r="Z298" s="1">
        <v>0</v>
      </c>
      <c r="AA298" s="1"/>
      <c r="AB298" s="1">
        <v>0</v>
      </c>
      <c r="AC298" s="1"/>
      <c r="AD298" s="1">
        <v>0</v>
      </c>
      <c r="AE298" s="1"/>
      <c r="AF298" s="1">
        <v>0</v>
      </c>
      <c r="AG298" s="35"/>
      <c r="AH298" s="4">
        <f t="shared" si="7"/>
        <v>1588548.06</v>
      </c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</row>
    <row r="299" spans="1:65" s="4" customFormat="1" hidden="1">
      <c r="A299" s="4">
        <v>153</v>
      </c>
      <c r="B299" s="4" t="s">
        <v>275</v>
      </c>
      <c r="D299" s="4" t="s">
        <v>89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H299" s="4">
        <f t="shared" si="7"/>
        <v>0</v>
      </c>
    </row>
    <row r="300" spans="1:65" s="4" customFormat="1">
      <c r="A300" s="4">
        <v>216</v>
      </c>
      <c r="B300" s="4" t="s">
        <v>614</v>
      </c>
      <c r="D300" s="4" t="s">
        <v>204</v>
      </c>
      <c r="F300" s="1">
        <v>560630.46</v>
      </c>
      <c r="G300" s="1"/>
      <c r="H300" s="1">
        <v>908232.66</v>
      </c>
      <c r="I300" s="1"/>
      <c r="J300" s="1">
        <v>82779.240000000005</v>
      </c>
      <c r="K300" s="1"/>
      <c r="L300" s="1">
        <v>30152.91</v>
      </c>
      <c r="M300" s="1"/>
      <c r="N300" s="1">
        <v>0</v>
      </c>
      <c r="O300" s="1"/>
      <c r="P300" s="1">
        <v>0</v>
      </c>
      <c r="Q300" s="1"/>
      <c r="R300" s="1">
        <v>33651.230000000003</v>
      </c>
      <c r="S300" s="1"/>
      <c r="T300" s="1">
        <v>964.79</v>
      </c>
      <c r="U300" s="1"/>
      <c r="V300" s="1">
        <v>30101.9</v>
      </c>
      <c r="W300" s="1"/>
      <c r="X300" s="1">
        <v>2</v>
      </c>
      <c r="Y300" s="1"/>
      <c r="Z300" s="1">
        <v>0</v>
      </c>
      <c r="AA300" s="1"/>
      <c r="AB300" s="1">
        <v>0</v>
      </c>
      <c r="AC300" s="1"/>
      <c r="AD300" s="1">
        <v>0</v>
      </c>
      <c r="AE300" s="1"/>
      <c r="AF300" s="1">
        <v>0</v>
      </c>
      <c r="AH300" s="4">
        <f t="shared" si="7"/>
        <v>1646515.19</v>
      </c>
    </row>
    <row r="301" spans="1:65" s="4" customFormat="1">
      <c r="A301" s="4">
        <v>169</v>
      </c>
      <c r="B301" s="4" t="s">
        <v>276</v>
      </c>
      <c r="D301" s="4" t="s">
        <v>15</v>
      </c>
      <c r="F301" s="1">
        <v>3246098</v>
      </c>
      <c r="G301" s="1">
        <v>0</v>
      </c>
      <c r="H301" s="1">
        <v>1701557</v>
      </c>
      <c r="I301" s="1">
        <v>0</v>
      </c>
      <c r="J301" s="1">
        <v>637590</v>
      </c>
      <c r="K301" s="1">
        <v>0</v>
      </c>
      <c r="L301" s="1">
        <v>108468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2397</v>
      </c>
      <c r="S301" s="1">
        <v>0</v>
      </c>
      <c r="T301" s="1">
        <v>9587</v>
      </c>
      <c r="U301" s="1">
        <v>0</v>
      </c>
      <c r="V301" s="1">
        <v>24193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H301" s="4">
        <f t="shared" si="7"/>
        <v>5729890</v>
      </c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</row>
    <row r="302" spans="1:65" s="4" customFormat="1">
      <c r="A302" s="4">
        <v>147</v>
      </c>
      <c r="B302" s="35" t="s">
        <v>277</v>
      </c>
      <c r="C302" s="35"/>
      <c r="D302" s="35" t="s">
        <v>69</v>
      </c>
      <c r="E302" s="35"/>
      <c r="F302" s="1">
        <v>0</v>
      </c>
      <c r="G302" s="1"/>
      <c r="H302" s="1">
        <v>536581.37</v>
      </c>
      <c r="I302" s="1"/>
      <c r="J302" s="1">
        <v>0</v>
      </c>
      <c r="K302" s="1"/>
      <c r="L302" s="1">
        <v>18981.689999999999</v>
      </c>
      <c r="M302" s="1"/>
      <c r="N302" s="1">
        <v>0</v>
      </c>
      <c r="O302" s="1"/>
      <c r="P302" s="1">
        <v>0</v>
      </c>
      <c r="Q302" s="1"/>
      <c r="R302" s="1">
        <v>4621.29</v>
      </c>
      <c r="S302" s="1"/>
      <c r="T302" s="1">
        <v>1275.3</v>
      </c>
      <c r="U302" s="1"/>
      <c r="V302" s="1">
        <v>1789.55</v>
      </c>
      <c r="W302" s="1"/>
      <c r="X302" s="1">
        <v>0</v>
      </c>
      <c r="Y302" s="1"/>
      <c r="Z302" s="1">
        <v>0</v>
      </c>
      <c r="AA302" s="1"/>
      <c r="AB302" s="1">
        <v>0</v>
      </c>
      <c r="AC302" s="1"/>
      <c r="AD302" s="1">
        <v>0</v>
      </c>
      <c r="AE302" s="1"/>
      <c r="AF302" s="1">
        <v>0</v>
      </c>
      <c r="AG302" s="35"/>
      <c r="AH302" s="4">
        <f t="shared" si="7"/>
        <v>563249.20000000007</v>
      </c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</row>
    <row r="303" spans="1:65" s="4" customFormat="1">
      <c r="A303" s="4">
        <v>31</v>
      </c>
      <c r="B303" s="4" t="s">
        <v>615</v>
      </c>
      <c r="D303" s="4" t="s">
        <v>65</v>
      </c>
      <c r="F303" s="1">
        <v>0</v>
      </c>
      <c r="G303" s="1">
        <v>0</v>
      </c>
      <c r="H303" s="1">
        <v>1268184</v>
      </c>
      <c r="I303" s="1">
        <v>0</v>
      </c>
      <c r="J303" s="1">
        <v>0</v>
      </c>
      <c r="K303" s="1">
        <v>0</v>
      </c>
      <c r="L303" s="1">
        <v>51483</v>
      </c>
      <c r="M303" s="1">
        <v>0</v>
      </c>
      <c r="N303" s="1">
        <v>0</v>
      </c>
      <c r="O303" s="1">
        <v>0</v>
      </c>
      <c r="P303" s="1">
        <v>1900</v>
      </c>
      <c r="Q303" s="1">
        <v>0</v>
      </c>
      <c r="R303" s="1">
        <v>137367</v>
      </c>
      <c r="S303" s="1">
        <v>0</v>
      </c>
      <c r="T303" s="1">
        <v>2019</v>
      </c>
      <c r="U303" s="1">
        <v>0</v>
      </c>
      <c r="V303" s="1">
        <v>19307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H303" s="4">
        <f t="shared" si="7"/>
        <v>1480260</v>
      </c>
    </row>
    <row r="304" spans="1:65" s="4" customFormat="1">
      <c r="A304" s="39">
        <v>92.1</v>
      </c>
      <c r="B304" s="4" t="s">
        <v>278</v>
      </c>
      <c r="D304" s="4" t="s">
        <v>81</v>
      </c>
      <c r="F304" s="1">
        <v>0</v>
      </c>
      <c r="G304" s="1"/>
      <c r="H304" s="1">
        <v>277564.86</v>
      </c>
      <c r="I304" s="1"/>
      <c r="J304" s="1">
        <v>2553</v>
      </c>
      <c r="K304" s="1"/>
      <c r="L304" s="1">
        <v>11189.59</v>
      </c>
      <c r="M304" s="1"/>
      <c r="N304" s="1">
        <v>0</v>
      </c>
      <c r="O304" s="1"/>
      <c r="P304" s="1">
        <v>0</v>
      </c>
      <c r="Q304" s="1"/>
      <c r="R304" s="1">
        <v>10459.200000000001</v>
      </c>
      <c r="S304" s="1"/>
      <c r="T304" s="1">
        <v>1857.59</v>
      </c>
      <c r="U304" s="1"/>
      <c r="V304" s="1">
        <v>1210.29</v>
      </c>
      <c r="W304" s="1"/>
      <c r="X304" s="1">
        <v>0</v>
      </c>
      <c r="Y304" s="1"/>
      <c r="Z304" s="1">
        <v>0</v>
      </c>
      <c r="AA304" s="1"/>
      <c r="AB304" s="1">
        <v>0</v>
      </c>
      <c r="AC304" s="1"/>
      <c r="AD304" s="1">
        <v>0</v>
      </c>
      <c r="AE304" s="1"/>
      <c r="AF304" s="1">
        <v>0</v>
      </c>
      <c r="AH304" s="4">
        <f t="shared" si="7"/>
        <v>304834.53000000003</v>
      </c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</row>
    <row r="305" spans="1:65" s="4" customFormat="1">
      <c r="A305" s="4">
        <v>76</v>
      </c>
      <c r="B305" s="4" t="s">
        <v>320</v>
      </c>
      <c r="D305" s="4" t="s">
        <v>70</v>
      </c>
      <c r="F305" s="1">
        <v>0</v>
      </c>
      <c r="G305" s="1"/>
      <c r="H305" s="1">
        <v>118218.51</v>
      </c>
      <c r="I305" s="1"/>
      <c r="J305" s="1">
        <v>2494</v>
      </c>
      <c r="K305" s="1"/>
      <c r="L305" s="1">
        <v>1874.67</v>
      </c>
      <c r="M305" s="1"/>
      <c r="N305" s="1">
        <v>0</v>
      </c>
      <c r="O305" s="1"/>
      <c r="P305" s="1">
        <v>0</v>
      </c>
      <c r="Q305" s="1"/>
      <c r="R305" s="1">
        <v>61127.040000000001</v>
      </c>
      <c r="S305" s="1"/>
      <c r="T305" s="1">
        <v>210.11</v>
      </c>
      <c r="U305" s="1"/>
      <c r="V305" s="1">
        <v>2772.88</v>
      </c>
      <c r="W305" s="1"/>
      <c r="X305" s="1">
        <v>324.25</v>
      </c>
      <c r="Y305" s="1"/>
      <c r="Z305" s="1">
        <v>0</v>
      </c>
      <c r="AA305" s="1"/>
      <c r="AB305" s="1">
        <v>0</v>
      </c>
      <c r="AC305" s="1"/>
      <c r="AD305" s="1">
        <v>0</v>
      </c>
      <c r="AE305" s="1"/>
      <c r="AF305" s="1">
        <v>0</v>
      </c>
      <c r="AH305" s="4">
        <f t="shared" si="7"/>
        <v>187021.46</v>
      </c>
    </row>
    <row r="306" spans="1:65" s="4" customFormat="1">
      <c r="A306" s="4">
        <v>51</v>
      </c>
      <c r="B306" s="4" t="s">
        <v>279</v>
      </c>
      <c r="D306" s="4" t="s">
        <v>92</v>
      </c>
      <c r="F306" s="1">
        <v>6183063</v>
      </c>
      <c r="G306" s="1">
        <v>0</v>
      </c>
      <c r="H306" s="1">
        <v>0</v>
      </c>
      <c r="I306" s="1">
        <v>0</v>
      </c>
      <c r="J306" s="1">
        <v>4110971</v>
      </c>
      <c r="K306" s="1">
        <v>0</v>
      </c>
      <c r="L306" s="1">
        <v>311105</v>
      </c>
      <c r="M306" s="1">
        <v>0</v>
      </c>
      <c r="N306" s="1">
        <v>0</v>
      </c>
      <c r="O306" s="1">
        <v>0</v>
      </c>
      <c r="P306" s="1">
        <v>700108</v>
      </c>
      <c r="Q306" s="1">
        <v>0</v>
      </c>
      <c r="R306" s="1">
        <v>2582</v>
      </c>
      <c r="S306" s="1">
        <v>0</v>
      </c>
      <c r="T306" s="1">
        <v>15674</v>
      </c>
      <c r="U306" s="1">
        <v>0</v>
      </c>
      <c r="V306" s="1">
        <v>77609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H306" s="4">
        <f t="shared" si="7"/>
        <v>11401112</v>
      </c>
    </row>
    <row r="307" spans="1:65" s="4" customFormat="1">
      <c r="A307" s="4">
        <v>50</v>
      </c>
      <c r="B307" s="35" t="s">
        <v>470</v>
      </c>
      <c r="C307" s="35"/>
      <c r="D307" s="35" t="s">
        <v>55</v>
      </c>
      <c r="E307" s="35"/>
      <c r="F307" s="1">
        <v>391455.76</v>
      </c>
      <c r="G307" s="1"/>
      <c r="H307" s="1">
        <v>1115595.02</v>
      </c>
      <c r="I307" s="1"/>
      <c r="J307" s="1">
        <v>62251.64</v>
      </c>
      <c r="K307" s="1"/>
      <c r="L307" s="1">
        <v>33099.480000000003</v>
      </c>
      <c r="M307" s="1"/>
      <c r="N307" s="1">
        <v>0</v>
      </c>
      <c r="O307" s="1"/>
      <c r="P307" s="1">
        <v>0</v>
      </c>
      <c r="Q307" s="1"/>
      <c r="R307" s="1">
        <v>3949.91</v>
      </c>
      <c r="S307" s="1"/>
      <c r="T307" s="1">
        <v>2627.5</v>
      </c>
      <c r="U307" s="1"/>
      <c r="V307" s="1">
        <v>13066.57</v>
      </c>
      <c r="W307" s="1"/>
      <c r="X307" s="1">
        <v>0</v>
      </c>
      <c r="Y307" s="1"/>
      <c r="Z307" s="1">
        <v>0</v>
      </c>
      <c r="AA307" s="1"/>
      <c r="AB307" s="1">
        <v>0</v>
      </c>
      <c r="AC307" s="1"/>
      <c r="AD307" s="1">
        <v>0</v>
      </c>
      <c r="AE307" s="1"/>
      <c r="AF307" s="1">
        <v>0</v>
      </c>
      <c r="AG307" s="35"/>
      <c r="AH307" s="4">
        <f t="shared" si="7"/>
        <v>1622045.88</v>
      </c>
    </row>
    <row r="308" spans="1:65" s="4" customForma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</row>
    <row r="309" spans="1:65" s="4" customForma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</row>
    <row r="310" spans="1:65" s="4" customForma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65" s="4" customForma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</row>
    <row r="312" spans="1:65" s="4" customForma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65" s="4" customForma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</row>
    <row r="314" spans="1:65" s="4" customForma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65" s="4" customFormat="1"/>
  </sheetData>
  <sortState ref="B19:AH271">
    <sortCondition ref="B19:B271"/>
  </sortState>
  <phoneticPr fontId="2" type="noConversion"/>
  <printOptions horizontalCentered="1"/>
  <pageMargins left="0.75" right="0.75" top="0.5" bottom="0.5" header="0" footer="0.3"/>
  <pageSetup scale="78" firstPageNumber="8" fitToWidth="2" fitToHeight="2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8" min="1" max="33" man="1"/>
    <brk id="166" min="1" max="33" man="1"/>
    <brk id="243" min="1" max="3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12"/>
  <sheetViews>
    <sheetView topLeftCell="B1" zoomScale="110" zoomScaleNormal="110" zoomScaleSheetLayoutView="100" workbookViewId="0">
      <pane xSplit="4" ySplit="17" topLeftCell="F18" activePane="bottomRight" state="frozen"/>
      <selection activeCell="B1" sqref="B1"/>
      <selection pane="topRight" activeCell="F1" sqref="F1"/>
      <selection pane="bottomLeft" activeCell="B18" sqref="B18"/>
      <selection pane="bottomRight" activeCell="B18" sqref="B18"/>
    </sheetView>
  </sheetViews>
  <sheetFormatPr defaultColWidth="9.140625" defaultRowHeight="12"/>
  <cols>
    <col min="1" max="1" width="0" style="3" hidden="1" customWidth="1"/>
    <col min="2" max="2" width="35" style="3" customWidth="1"/>
    <col min="3" max="3" width="1.28515625" style="3" customWidth="1"/>
    <col min="4" max="4" width="10.7109375" style="3" customWidth="1"/>
    <col min="5" max="5" width="1.28515625" style="3" customWidth="1"/>
    <col min="6" max="6" width="10.42578125" style="3" customWidth="1"/>
    <col min="7" max="7" width="1.28515625" style="3" customWidth="1"/>
    <col min="8" max="8" width="10.5703125" style="3" customWidth="1"/>
    <col min="9" max="9" width="1.28515625" style="3" customWidth="1"/>
    <col min="10" max="10" width="11" style="3" customWidth="1"/>
    <col min="11" max="11" width="1.28515625" style="3" customWidth="1"/>
    <col min="12" max="12" width="10.5703125" style="3" customWidth="1"/>
    <col min="13" max="13" width="1.28515625" style="3" customWidth="1"/>
    <col min="14" max="14" width="11.140625" style="3" customWidth="1"/>
    <col min="15" max="15" width="1.28515625" style="3" customWidth="1"/>
    <col min="16" max="16" width="10.5703125" style="3" customWidth="1"/>
    <col min="17" max="17" width="1.28515625" style="3" customWidth="1"/>
    <col min="18" max="18" width="10.57031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42578125" style="3" customWidth="1"/>
    <col min="23" max="23" width="1.28515625" style="3" customWidth="1"/>
    <col min="24" max="24" width="10.5703125" style="3" customWidth="1"/>
    <col min="25" max="25" width="1.28515625" style="3" customWidth="1"/>
    <col min="26" max="26" width="11.28515625" style="3" customWidth="1"/>
    <col min="27" max="27" width="1.28515625" style="3" customWidth="1"/>
    <col min="28" max="28" width="10.85546875" style="3" customWidth="1"/>
    <col min="29" max="29" width="1.28515625" style="3" customWidth="1"/>
    <col min="30" max="30" width="10.5703125" style="3" customWidth="1"/>
    <col min="31" max="31" width="1.28515625" style="3" customWidth="1"/>
    <col min="32" max="32" width="10.7109375" style="3" customWidth="1"/>
    <col min="33" max="16384" width="9.140625" style="3"/>
  </cols>
  <sheetData>
    <row r="1" spans="1:64">
      <c r="B1" s="3" t="s">
        <v>524</v>
      </c>
    </row>
    <row r="2" spans="1:64">
      <c r="B2" s="3" t="s">
        <v>635</v>
      </c>
    </row>
    <row r="3" spans="1:64" hidden="1">
      <c r="B3" s="41" t="s">
        <v>7</v>
      </c>
    </row>
    <row r="4" spans="1:64" s="36" customFormat="1">
      <c r="L4" s="36" t="s">
        <v>8</v>
      </c>
    </row>
    <row r="5" spans="1:64" s="36" customFormat="1">
      <c r="H5" s="36" t="s">
        <v>321</v>
      </c>
      <c r="J5" s="36" t="s">
        <v>323</v>
      </c>
      <c r="L5" s="36" t="s">
        <v>555</v>
      </c>
      <c r="N5" s="36" t="s">
        <v>554</v>
      </c>
      <c r="X5" s="36" t="s">
        <v>330</v>
      </c>
      <c r="AD5" s="36" t="s">
        <v>0</v>
      </c>
    </row>
    <row r="6" spans="1:64" s="36" customFormat="1">
      <c r="H6" s="36" t="s">
        <v>322</v>
      </c>
      <c r="J6" s="36" t="s">
        <v>324</v>
      </c>
      <c r="L6" s="36" t="s">
        <v>325</v>
      </c>
      <c r="N6" s="36" t="s">
        <v>552</v>
      </c>
      <c r="T6" s="36" t="s">
        <v>30</v>
      </c>
      <c r="V6" s="36" t="s">
        <v>328</v>
      </c>
      <c r="X6" s="36" t="s">
        <v>331</v>
      </c>
      <c r="AD6" s="36" t="s">
        <v>296</v>
      </c>
    </row>
    <row r="7" spans="1:64" s="36" customFormat="1" ht="12" customHeight="1">
      <c r="A7" s="36" t="s">
        <v>578</v>
      </c>
      <c r="B7" s="37" t="s">
        <v>8</v>
      </c>
      <c r="D7" s="37" t="s">
        <v>6</v>
      </c>
      <c r="F7" s="37" t="s">
        <v>2</v>
      </c>
      <c r="H7" s="37" t="s">
        <v>3</v>
      </c>
      <c r="J7" s="37" t="s">
        <v>29</v>
      </c>
      <c r="L7" s="37" t="s">
        <v>326</v>
      </c>
      <c r="N7" s="37" t="s">
        <v>553</v>
      </c>
      <c r="P7" s="37" t="s">
        <v>4</v>
      </c>
      <c r="R7" s="37" t="s">
        <v>0</v>
      </c>
      <c r="T7" s="37" t="s">
        <v>327</v>
      </c>
      <c r="V7" s="37" t="s">
        <v>329</v>
      </c>
      <c r="X7" s="37" t="s">
        <v>332</v>
      </c>
      <c r="Z7" s="37" t="s">
        <v>506</v>
      </c>
      <c r="AB7" s="37" t="s">
        <v>507</v>
      </c>
      <c r="AD7" s="37" t="s">
        <v>333</v>
      </c>
      <c r="AF7" s="46" t="s">
        <v>28</v>
      </c>
    </row>
    <row r="8" spans="1:64" s="7" customFormat="1" hidden="1">
      <c r="A8" s="4">
        <v>75</v>
      </c>
      <c r="B8" s="3" t="s">
        <v>436</v>
      </c>
      <c r="C8" s="3"/>
      <c r="D8" s="3" t="s">
        <v>92</v>
      </c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>
        <f t="shared" ref="AF8:AF71" si="0">SUM(F8:AD8)</f>
        <v>0</v>
      </c>
      <c r="AG8" s="47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1:64" hidden="1">
      <c r="A9" s="4">
        <v>80</v>
      </c>
      <c r="B9" s="3" t="s">
        <v>267</v>
      </c>
      <c r="D9" s="3" t="s">
        <v>92</v>
      </c>
      <c r="F9" s="4"/>
      <c r="H9" s="4"/>
      <c r="J9" s="4"/>
      <c r="L9" s="4"/>
      <c r="N9" s="4"/>
      <c r="P9" s="4"/>
      <c r="R9" s="4"/>
      <c r="T9" s="4"/>
      <c r="V9" s="4"/>
      <c r="X9" s="4"/>
      <c r="Z9" s="4"/>
      <c r="AB9" s="4"/>
      <c r="AD9" s="4"/>
      <c r="AF9" s="4">
        <f t="shared" si="0"/>
        <v>0</v>
      </c>
    </row>
    <row r="10" spans="1:64" hidden="1">
      <c r="A10" s="4">
        <v>117</v>
      </c>
      <c r="B10" s="3" t="s">
        <v>223</v>
      </c>
      <c r="D10" s="3" t="s">
        <v>170</v>
      </c>
      <c r="F10" s="4"/>
      <c r="H10" s="4"/>
      <c r="J10" s="4"/>
      <c r="L10" s="4"/>
      <c r="N10" s="4"/>
      <c r="P10" s="4"/>
      <c r="R10" s="4"/>
      <c r="T10" s="4"/>
      <c r="V10" s="4"/>
      <c r="X10" s="4"/>
      <c r="Z10" s="4"/>
      <c r="AB10" s="4"/>
      <c r="AD10" s="4"/>
      <c r="AF10" s="4">
        <f t="shared" si="0"/>
        <v>0</v>
      </c>
    </row>
    <row r="11" spans="1:64" s="7" customFormat="1" hidden="1">
      <c r="A11" s="4">
        <v>135</v>
      </c>
      <c r="B11" s="3" t="s">
        <v>442</v>
      </c>
      <c r="C11" s="3"/>
      <c r="D11" s="3" t="s">
        <v>41</v>
      </c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/>
      <c r="Q11" s="3"/>
      <c r="R11" s="4"/>
      <c r="S11" s="3"/>
      <c r="T11" s="4"/>
      <c r="U11" s="3"/>
      <c r="V11" s="4"/>
      <c r="W11" s="3"/>
      <c r="X11" s="4"/>
      <c r="Y11" s="3"/>
      <c r="Z11" s="4"/>
      <c r="AA11" s="3"/>
      <c r="AB11" s="4"/>
      <c r="AC11" s="3"/>
      <c r="AD11" s="4"/>
      <c r="AE11" s="3"/>
      <c r="AF11" s="4">
        <f t="shared" si="0"/>
        <v>0</v>
      </c>
    </row>
    <row r="12" spans="1:64" hidden="1">
      <c r="A12" s="4">
        <v>152</v>
      </c>
      <c r="B12" s="3" t="s">
        <v>214</v>
      </c>
      <c r="D12" s="3" t="s">
        <v>215</v>
      </c>
      <c r="F12" s="4"/>
      <c r="H12" s="4"/>
      <c r="J12" s="4"/>
      <c r="L12" s="4"/>
      <c r="N12" s="4"/>
      <c r="P12" s="4"/>
      <c r="R12" s="4"/>
      <c r="T12" s="4"/>
      <c r="V12" s="4"/>
      <c r="X12" s="4"/>
      <c r="Z12" s="4"/>
      <c r="AB12" s="4"/>
      <c r="AD12" s="4"/>
      <c r="AF12" s="4">
        <f t="shared" si="0"/>
        <v>0</v>
      </c>
    </row>
    <row r="13" spans="1:64" hidden="1">
      <c r="A13" s="4">
        <v>180</v>
      </c>
      <c r="B13" s="3" t="s">
        <v>253</v>
      </c>
      <c r="D13" s="3" t="s">
        <v>106</v>
      </c>
      <c r="F13" s="4"/>
      <c r="H13" s="4"/>
      <c r="J13" s="4"/>
      <c r="L13" s="4"/>
      <c r="N13" s="4"/>
      <c r="P13" s="4"/>
      <c r="R13" s="4"/>
      <c r="T13" s="4"/>
      <c r="V13" s="4"/>
      <c r="X13" s="4"/>
      <c r="Z13" s="4"/>
      <c r="AB13" s="4"/>
      <c r="AD13" s="4"/>
      <c r="AF13" s="4">
        <f t="shared" si="0"/>
        <v>0</v>
      </c>
      <c r="AG13" s="48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4"/>
    </row>
    <row r="14" spans="1:64" hidden="1">
      <c r="A14" s="4">
        <v>185</v>
      </c>
      <c r="B14" s="3" t="s">
        <v>230</v>
      </c>
      <c r="D14" s="3" t="s">
        <v>229</v>
      </c>
      <c r="F14" s="4"/>
      <c r="H14" s="4"/>
      <c r="J14" s="4"/>
      <c r="L14" s="4"/>
      <c r="N14" s="4"/>
      <c r="P14" s="4"/>
      <c r="R14" s="4"/>
      <c r="T14" s="4"/>
      <c r="V14" s="4"/>
      <c r="X14" s="4"/>
      <c r="Z14" s="4"/>
      <c r="AB14" s="4"/>
      <c r="AD14" s="4"/>
      <c r="AF14" s="4">
        <f t="shared" si="0"/>
        <v>0</v>
      </c>
    </row>
    <row r="15" spans="1:64" hidden="1">
      <c r="A15" s="4">
        <v>189</v>
      </c>
      <c r="B15" s="3" t="s">
        <v>450</v>
      </c>
      <c r="D15" s="3" t="s">
        <v>236</v>
      </c>
      <c r="F15" s="4"/>
      <c r="H15" s="4"/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  <c r="AF15" s="4">
        <f t="shared" si="0"/>
        <v>0</v>
      </c>
    </row>
    <row r="16" spans="1:64" hidden="1">
      <c r="A16" s="4">
        <v>233</v>
      </c>
      <c r="B16" s="35" t="s">
        <v>457</v>
      </c>
      <c r="C16" s="35"/>
      <c r="D16" s="35" t="s">
        <v>501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4">
        <f t="shared" si="0"/>
        <v>0</v>
      </c>
    </row>
    <row r="17" spans="1:64" hidden="1">
      <c r="A17" s="4">
        <v>234</v>
      </c>
      <c r="B17" s="3" t="s">
        <v>201</v>
      </c>
      <c r="D17" s="3" t="s">
        <v>26</v>
      </c>
      <c r="F17" s="4"/>
      <c r="H17" s="4"/>
      <c r="J17" s="4"/>
      <c r="L17" s="4"/>
      <c r="N17" s="4"/>
      <c r="P17" s="4"/>
      <c r="R17" s="4"/>
      <c r="T17" s="4"/>
      <c r="V17" s="4"/>
      <c r="X17" s="4"/>
      <c r="Z17" s="4"/>
      <c r="AB17" s="4"/>
      <c r="AD17" s="4"/>
      <c r="AF17" s="4">
        <f t="shared" si="0"/>
        <v>0</v>
      </c>
      <c r="AG17" s="48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4"/>
    </row>
    <row r="18" spans="1:64" s="7" customFormat="1">
      <c r="A18" s="7">
        <v>95</v>
      </c>
      <c r="B18" s="7" t="s">
        <v>73</v>
      </c>
      <c r="D18" s="7" t="s">
        <v>61</v>
      </c>
      <c r="F18" s="2">
        <v>151757.96</v>
      </c>
      <c r="G18" s="2"/>
      <c r="H18" s="2">
        <v>45716.1</v>
      </c>
      <c r="I18" s="2"/>
      <c r="J18" s="2">
        <v>37577.61</v>
      </c>
      <c r="K18" s="2"/>
      <c r="L18" s="2">
        <v>24242.959999999999</v>
      </c>
      <c r="M18" s="2"/>
      <c r="N18" s="2">
        <v>0</v>
      </c>
      <c r="O18" s="2"/>
      <c r="P18" s="2">
        <v>6219.92</v>
      </c>
      <c r="Q18" s="2"/>
      <c r="R18" s="2">
        <v>4012</v>
      </c>
      <c r="S18" s="2"/>
      <c r="T18" s="2">
        <v>0</v>
      </c>
      <c r="U18" s="2"/>
      <c r="V18" s="2">
        <v>0</v>
      </c>
      <c r="W18" s="2"/>
      <c r="X18" s="2">
        <v>0</v>
      </c>
      <c r="Y18" s="2"/>
      <c r="Z18" s="2">
        <v>150</v>
      </c>
      <c r="AA18" s="2"/>
      <c r="AB18" s="2">
        <v>0</v>
      </c>
      <c r="AC18" s="2"/>
      <c r="AD18" s="2">
        <v>0</v>
      </c>
      <c r="AF18" s="7">
        <f>SUM(F18:AD18)</f>
        <v>269676.55</v>
      </c>
      <c r="AG18" s="47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</row>
    <row r="19" spans="1:64">
      <c r="A19" s="4">
        <v>1</v>
      </c>
      <c r="B19" s="3" t="s">
        <v>74</v>
      </c>
      <c r="D19" s="3" t="s">
        <v>40</v>
      </c>
      <c r="F19" s="1">
        <v>437909.36</v>
      </c>
      <c r="G19" s="1"/>
      <c r="H19" s="1">
        <v>113313.21</v>
      </c>
      <c r="I19" s="1"/>
      <c r="J19" s="1">
        <v>79571.740000000005</v>
      </c>
      <c r="K19" s="1"/>
      <c r="L19" s="1">
        <v>146852.89000000001</v>
      </c>
      <c r="M19" s="1"/>
      <c r="N19" s="1">
        <v>0</v>
      </c>
      <c r="O19" s="1"/>
      <c r="P19" s="1">
        <v>10441.15</v>
      </c>
      <c r="Q19" s="1"/>
      <c r="R19" s="1">
        <v>2575.58</v>
      </c>
      <c r="S19" s="1"/>
      <c r="T19" s="1">
        <v>2311.48</v>
      </c>
      <c r="U19" s="1"/>
      <c r="V19" s="1">
        <v>0</v>
      </c>
      <c r="W19" s="1"/>
      <c r="X19" s="1">
        <v>0</v>
      </c>
      <c r="Y19" s="1"/>
      <c r="Z19" s="1">
        <v>32032</v>
      </c>
      <c r="AA19" s="1"/>
      <c r="AB19" s="1">
        <v>0</v>
      </c>
      <c r="AC19" s="1"/>
      <c r="AD19" s="1">
        <v>0</v>
      </c>
      <c r="AE19" s="4"/>
      <c r="AF19" s="4">
        <f t="shared" si="0"/>
        <v>825007.40999999992</v>
      </c>
    </row>
    <row r="20" spans="1:64">
      <c r="A20" s="4">
        <v>216</v>
      </c>
      <c r="B20" s="42" t="s">
        <v>434</v>
      </c>
      <c r="C20" s="42"/>
      <c r="D20" s="42" t="s">
        <v>22</v>
      </c>
      <c r="E20" s="42"/>
      <c r="F20" s="1">
        <v>12551630</v>
      </c>
      <c r="G20" s="1">
        <v>0</v>
      </c>
      <c r="H20" s="1">
        <v>3503747</v>
      </c>
      <c r="I20" s="1">
        <v>0</v>
      </c>
      <c r="J20" s="1">
        <v>4336622</v>
      </c>
      <c r="K20" s="1">
        <v>0</v>
      </c>
      <c r="L20" s="1">
        <v>3101660</v>
      </c>
      <c r="M20" s="1">
        <v>0</v>
      </c>
      <c r="N20" s="1">
        <v>0</v>
      </c>
      <c r="O20" s="1">
        <v>0</v>
      </c>
      <c r="P20" s="1">
        <v>519485</v>
      </c>
      <c r="Q20" s="1">
        <v>0</v>
      </c>
      <c r="R20" s="1">
        <v>160388</v>
      </c>
      <c r="S20" s="1">
        <v>0</v>
      </c>
      <c r="T20" s="1">
        <v>108233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5"/>
      <c r="AF20" s="4">
        <f t="shared" si="0"/>
        <v>24281765</v>
      </c>
      <c r="AG20" s="48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4"/>
    </row>
    <row r="21" spans="1:64">
      <c r="A21" s="4">
        <v>131</v>
      </c>
      <c r="B21" s="35" t="s">
        <v>511</v>
      </c>
      <c r="C21" s="35"/>
      <c r="D21" s="35" t="s">
        <v>488</v>
      </c>
      <c r="E21" s="35"/>
      <c r="F21" s="1">
        <v>147542.59</v>
      </c>
      <c r="G21" s="1"/>
      <c r="H21" s="1">
        <v>23448.83</v>
      </c>
      <c r="I21" s="1"/>
      <c r="J21" s="1">
        <v>40537.440000000002</v>
      </c>
      <c r="K21" s="1"/>
      <c r="L21" s="1">
        <v>55841.88</v>
      </c>
      <c r="M21" s="1"/>
      <c r="N21" s="1">
        <v>0</v>
      </c>
      <c r="O21" s="1"/>
      <c r="P21" s="1">
        <v>7226.18</v>
      </c>
      <c r="Q21" s="1"/>
      <c r="R21" s="1">
        <v>3190.6</v>
      </c>
      <c r="S21" s="1"/>
      <c r="T21" s="1">
        <v>5621.92</v>
      </c>
      <c r="U21" s="1"/>
      <c r="V21" s="1">
        <v>0</v>
      </c>
      <c r="W21" s="1"/>
      <c r="X21" s="1">
        <v>0</v>
      </c>
      <c r="Y21" s="1"/>
      <c r="Z21" s="1">
        <v>0</v>
      </c>
      <c r="AA21" s="1"/>
      <c r="AB21" s="1">
        <v>0</v>
      </c>
      <c r="AC21" s="1"/>
      <c r="AD21" s="1">
        <v>0</v>
      </c>
      <c r="AE21" s="35"/>
      <c r="AF21" s="4">
        <f t="shared" si="0"/>
        <v>283409.43999999994</v>
      </c>
    </row>
    <row r="22" spans="1:64">
      <c r="A22" s="4">
        <v>96</v>
      </c>
      <c r="B22" s="3" t="s">
        <v>75</v>
      </c>
      <c r="D22" s="3" t="s">
        <v>61</v>
      </c>
      <c r="F22" s="1">
        <v>29660.11</v>
      </c>
      <c r="G22" s="1"/>
      <c r="H22" s="1">
        <v>4729.7700000000004</v>
      </c>
      <c r="I22" s="1"/>
      <c r="J22" s="1">
        <v>14129.31</v>
      </c>
      <c r="K22" s="1"/>
      <c r="L22" s="1">
        <v>9523.92</v>
      </c>
      <c r="M22" s="1"/>
      <c r="N22" s="1">
        <v>0</v>
      </c>
      <c r="O22" s="1"/>
      <c r="P22" s="1">
        <v>5881.74</v>
      </c>
      <c r="Q22" s="1"/>
      <c r="R22" s="1">
        <v>1722.67</v>
      </c>
      <c r="S22" s="1"/>
      <c r="T22" s="1">
        <v>348.69</v>
      </c>
      <c r="U22" s="1"/>
      <c r="V22" s="1">
        <v>0</v>
      </c>
      <c r="W22" s="1"/>
      <c r="X22" s="1">
        <v>0</v>
      </c>
      <c r="Y22" s="1"/>
      <c r="Z22" s="1">
        <v>0</v>
      </c>
      <c r="AA22" s="1"/>
      <c r="AB22" s="1">
        <v>0</v>
      </c>
      <c r="AC22" s="1"/>
      <c r="AD22" s="1">
        <v>530</v>
      </c>
      <c r="AE22" s="4"/>
      <c r="AF22" s="4">
        <f t="shared" si="0"/>
        <v>66526.210000000006</v>
      </c>
      <c r="AG22" s="48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4"/>
    </row>
    <row r="23" spans="1:64">
      <c r="A23" s="4">
        <v>140</v>
      </c>
      <c r="B23" s="3" t="s">
        <v>76</v>
      </c>
      <c r="D23" s="3" t="s">
        <v>57</v>
      </c>
      <c r="F23" s="1">
        <v>527080.66</v>
      </c>
      <c r="G23" s="1"/>
      <c r="H23" s="1">
        <v>116165.9</v>
      </c>
      <c r="I23" s="1"/>
      <c r="J23" s="1">
        <v>166813.60999999999</v>
      </c>
      <c r="K23" s="1"/>
      <c r="L23" s="1">
        <v>210358.35</v>
      </c>
      <c r="M23" s="1"/>
      <c r="N23" s="1">
        <v>0</v>
      </c>
      <c r="O23" s="1"/>
      <c r="P23" s="1">
        <v>31991.53</v>
      </c>
      <c r="Q23" s="1"/>
      <c r="R23" s="1">
        <v>4992.1899999999996</v>
      </c>
      <c r="S23" s="1"/>
      <c r="T23" s="1">
        <v>25620.7</v>
      </c>
      <c r="U23" s="1"/>
      <c r="V23" s="1">
        <v>0</v>
      </c>
      <c r="W23" s="1"/>
      <c r="X23" s="1">
        <v>0</v>
      </c>
      <c r="Y23" s="1"/>
      <c r="Z23" s="1">
        <v>300000</v>
      </c>
      <c r="AA23" s="1"/>
      <c r="AB23" s="1">
        <v>0</v>
      </c>
      <c r="AC23" s="1"/>
      <c r="AD23" s="1">
        <v>0</v>
      </c>
      <c r="AE23" s="4"/>
      <c r="AF23" s="4">
        <f t="shared" si="0"/>
        <v>1383022.94</v>
      </c>
    </row>
    <row r="24" spans="1:64">
      <c r="A24" s="4">
        <v>208</v>
      </c>
      <c r="B24" s="3" t="s">
        <v>77</v>
      </c>
      <c r="D24" s="3" t="s">
        <v>78</v>
      </c>
      <c r="F24" s="1">
        <v>652313</v>
      </c>
      <c r="G24" s="1">
        <v>0</v>
      </c>
      <c r="H24" s="1">
        <v>223167</v>
      </c>
      <c r="I24" s="1">
        <v>0</v>
      </c>
      <c r="J24" s="1">
        <v>221154</v>
      </c>
      <c r="K24" s="1">
        <v>0</v>
      </c>
      <c r="L24" s="1">
        <v>214273</v>
      </c>
      <c r="M24" s="1">
        <v>0</v>
      </c>
      <c r="N24" s="1">
        <v>0</v>
      </c>
      <c r="O24" s="1">
        <v>0</v>
      </c>
      <c r="P24" s="1">
        <v>41531</v>
      </c>
      <c r="Q24" s="1">
        <v>0</v>
      </c>
      <c r="R24" s="1">
        <v>16946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4"/>
      <c r="AF24" s="4">
        <f t="shared" si="0"/>
        <v>1369384</v>
      </c>
      <c r="AG24" s="48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4"/>
    </row>
    <row r="25" spans="1:64">
      <c r="A25" s="4">
        <v>8</v>
      </c>
      <c r="B25" s="3" t="s">
        <v>79</v>
      </c>
      <c r="D25" s="3" t="s">
        <v>43</v>
      </c>
      <c r="F25" s="1">
        <v>138818.46</v>
      </c>
      <c r="G25" s="1"/>
      <c r="H25" s="1">
        <v>53107.21</v>
      </c>
      <c r="I25" s="1"/>
      <c r="J25" s="1">
        <v>30166.16</v>
      </c>
      <c r="K25" s="1"/>
      <c r="L25" s="1">
        <v>16745.82</v>
      </c>
      <c r="M25" s="1"/>
      <c r="N25" s="1">
        <v>0</v>
      </c>
      <c r="O25" s="1"/>
      <c r="P25" s="1">
        <v>16086.62</v>
      </c>
      <c r="Q25" s="1"/>
      <c r="R25" s="1">
        <v>680</v>
      </c>
      <c r="S25" s="1"/>
      <c r="T25" s="1">
        <v>0</v>
      </c>
      <c r="U25" s="1"/>
      <c r="V25" s="1">
        <v>0</v>
      </c>
      <c r="W25" s="1"/>
      <c r="X25" s="1">
        <v>0</v>
      </c>
      <c r="Y25" s="1"/>
      <c r="Z25" s="1">
        <v>0</v>
      </c>
      <c r="AA25" s="1"/>
      <c r="AB25" s="1">
        <v>0</v>
      </c>
      <c r="AC25" s="1"/>
      <c r="AD25" s="1">
        <v>0</v>
      </c>
      <c r="AE25" s="4"/>
      <c r="AF25" s="4">
        <f t="shared" si="0"/>
        <v>255604.27</v>
      </c>
      <c r="AG25" s="48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4"/>
    </row>
    <row r="26" spans="1:64">
      <c r="A26" s="4">
        <v>58</v>
      </c>
      <c r="B26" s="3" t="s">
        <v>80</v>
      </c>
      <c r="D26" s="3" t="s">
        <v>81</v>
      </c>
      <c r="F26" s="1">
        <v>134897.22</v>
      </c>
      <c r="G26" s="1"/>
      <c r="H26" s="1">
        <v>21153.89</v>
      </c>
      <c r="I26" s="1"/>
      <c r="J26" s="1">
        <v>32401.62</v>
      </c>
      <c r="K26" s="1"/>
      <c r="L26" s="1">
        <v>45448.65</v>
      </c>
      <c r="M26" s="1"/>
      <c r="N26" s="1">
        <v>0</v>
      </c>
      <c r="O26" s="1"/>
      <c r="P26" s="1">
        <v>8407.93</v>
      </c>
      <c r="Q26" s="1"/>
      <c r="R26" s="1">
        <v>691</v>
      </c>
      <c r="S26" s="1"/>
      <c r="T26" s="1">
        <v>5846.81</v>
      </c>
      <c r="U26" s="1"/>
      <c r="V26" s="1">
        <v>0</v>
      </c>
      <c r="W26" s="1"/>
      <c r="X26" s="1">
        <v>0</v>
      </c>
      <c r="Y26" s="1"/>
      <c r="Z26" s="1">
        <v>0</v>
      </c>
      <c r="AA26" s="1"/>
      <c r="AB26" s="1">
        <v>0</v>
      </c>
      <c r="AC26" s="1"/>
      <c r="AD26" s="1">
        <v>0</v>
      </c>
      <c r="AE26" s="4"/>
      <c r="AF26" s="4">
        <f t="shared" si="0"/>
        <v>248847.11999999997</v>
      </c>
    </row>
    <row r="27" spans="1:64">
      <c r="A27" s="4">
        <v>82</v>
      </c>
      <c r="B27" s="3" t="s">
        <v>298</v>
      </c>
      <c r="D27" s="3" t="s">
        <v>42</v>
      </c>
      <c r="F27" s="1">
        <v>170239.84</v>
      </c>
      <c r="G27" s="1"/>
      <c r="H27" s="1">
        <v>59031.99</v>
      </c>
      <c r="I27" s="1"/>
      <c r="J27" s="1">
        <v>54646.35</v>
      </c>
      <c r="K27" s="1"/>
      <c r="L27" s="1">
        <v>43346.12</v>
      </c>
      <c r="M27" s="1"/>
      <c r="N27" s="1">
        <v>0</v>
      </c>
      <c r="O27" s="1"/>
      <c r="P27" s="1">
        <v>6881.73</v>
      </c>
      <c r="Q27" s="1"/>
      <c r="R27" s="1">
        <v>817.99</v>
      </c>
      <c r="S27" s="1"/>
      <c r="T27" s="1">
        <v>720.04</v>
      </c>
      <c r="U27" s="1"/>
      <c r="V27" s="1">
        <v>0</v>
      </c>
      <c r="W27" s="1"/>
      <c r="X27" s="1">
        <v>0</v>
      </c>
      <c r="Y27" s="1"/>
      <c r="Z27" s="1">
        <v>0</v>
      </c>
      <c r="AA27" s="1"/>
      <c r="AB27" s="1">
        <v>0</v>
      </c>
      <c r="AC27" s="1"/>
      <c r="AD27" s="1">
        <v>0</v>
      </c>
      <c r="AE27" s="4"/>
      <c r="AF27" s="4">
        <f t="shared" si="0"/>
        <v>335684.05999999994</v>
      </c>
    </row>
    <row r="28" spans="1:64">
      <c r="A28" s="4">
        <v>6</v>
      </c>
      <c r="B28" s="3" t="s">
        <v>82</v>
      </c>
      <c r="D28" s="3" t="s">
        <v>83</v>
      </c>
      <c r="F28" s="1">
        <v>0</v>
      </c>
      <c r="G28" s="1">
        <v>0</v>
      </c>
      <c r="H28" s="1">
        <v>0</v>
      </c>
      <c r="I28" s="1">
        <v>0</v>
      </c>
      <c r="J28" s="1">
        <v>92571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>239088+23583+129960+214901+16834+2955+11820+111328+72147+50821+164593+101786</f>
        <v>1139816</v>
      </c>
      <c r="S28" s="1">
        <v>0</v>
      </c>
      <c r="T28" s="1">
        <v>2073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4"/>
      <c r="AF28" s="4">
        <f t="shared" si="0"/>
        <v>1234460</v>
      </c>
    </row>
    <row r="29" spans="1:64">
      <c r="A29" s="4">
        <v>9</v>
      </c>
      <c r="B29" s="35" t="s">
        <v>335</v>
      </c>
      <c r="C29" s="35"/>
      <c r="D29" s="35" t="s">
        <v>471</v>
      </c>
      <c r="E29" s="35"/>
      <c r="F29" s="1">
        <v>678457.18</v>
      </c>
      <c r="G29" s="1"/>
      <c r="H29" s="1">
        <v>240801.6</v>
      </c>
      <c r="I29" s="1"/>
      <c r="J29" s="1">
        <v>191806.74</v>
      </c>
      <c r="K29" s="1"/>
      <c r="L29" s="1">
        <v>115051.51</v>
      </c>
      <c r="M29" s="1"/>
      <c r="N29" s="1">
        <v>0</v>
      </c>
      <c r="O29" s="1"/>
      <c r="P29" s="1">
        <v>33709.31</v>
      </c>
      <c r="Q29" s="1"/>
      <c r="R29" s="1">
        <v>8498.25</v>
      </c>
      <c r="S29" s="1"/>
      <c r="T29" s="1">
        <v>58250.2</v>
      </c>
      <c r="U29" s="1"/>
      <c r="V29" s="1">
        <v>0</v>
      </c>
      <c r="W29" s="1"/>
      <c r="X29" s="1">
        <v>0</v>
      </c>
      <c r="Y29" s="1"/>
      <c r="Z29" s="1">
        <v>16290</v>
      </c>
      <c r="AA29" s="1"/>
      <c r="AB29" s="1">
        <v>0</v>
      </c>
      <c r="AC29" s="1"/>
      <c r="AD29" s="1">
        <v>0</v>
      </c>
      <c r="AE29" s="35"/>
      <c r="AF29" s="4">
        <f t="shared" si="0"/>
        <v>1342864.79</v>
      </c>
      <c r="AG29" s="4"/>
    </row>
    <row r="30" spans="1:64">
      <c r="A30" s="4">
        <v>17</v>
      </c>
      <c r="B30" s="35" t="s">
        <v>593</v>
      </c>
      <c r="C30" s="35"/>
      <c r="D30" s="35" t="s">
        <v>473</v>
      </c>
      <c r="E30" s="35"/>
      <c r="F30" s="1">
        <v>464317.55</v>
      </c>
      <c r="G30" s="1"/>
      <c r="H30" s="1">
        <v>123191.77</v>
      </c>
      <c r="I30" s="1"/>
      <c r="J30" s="1">
        <v>163312.89000000001</v>
      </c>
      <c r="K30" s="1"/>
      <c r="L30" s="1">
        <v>140457.93</v>
      </c>
      <c r="M30" s="1"/>
      <c r="N30" s="1">
        <v>0</v>
      </c>
      <c r="O30" s="1"/>
      <c r="P30" s="1">
        <v>27021.54</v>
      </c>
      <c r="Q30" s="1"/>
      <c r="R30" s="1">
        <v>7730.87</v>
      </c>
      <c r="S30" s="1"/>
      <c r="T30" s="1">
        <v>7923.8</v>
      </c>
      <c r="U30" s="1"/>
      <c r="V30" s="1">
        <v>0</v>
      </c>
      <c r="W30" s="1"/>
      <c r="X30" s="1">
        <v>0</v>
      </c>
      <c r="Y30" s="1"/>
      <c r="Z30" s="1">
        <v>3701</v>
      </c>
      <c r="AA30" s="1"/>
      <c r="AB30" s="1">
        <v>0</v>
      </c>
      <c r="AC30" s="1"/>
      <c r="AD30" s="1">
        <v>0</v>
      </c>
      <c r="AE30" s="35"/>
      <c r="AF30" s="4">
        <f t="shared" si="0"/>
        <v>937657.35</v>
      </c>
    </row>
    <row r="31" spans="1:64">
      <c r="A31" s="4">
        <v>141</v>
      </c>
      <c r="B31" s="3" t="s">
        <v>84</v>
      </c>
      <c r="D31" s="3" t="s">
        <v>57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2079367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4"/>
      <c r="AF31" s="4">
        <f t="shared" si="0"/>
        <v>2079367</v>
      </c>
    </row>
    <row r="32" spans="1:64">
      <c r="A32" s="4">
        <v>217</v>
      </c>
      <c r="B32" s="3" t="s">
        <v>357</v>
      </c>
      <c r="D32" s="4" t="s">
        <v>432</v>
      </c>
      <c r="F32" s="1">
        <v>588018.23</v>
      </c>
      <c r="G32" s="1"/>
      <c r="H32" s="1">
        <v>145551.29</v>
      </c>
      <c r="I32" s="1"/>
      <c r="J32" s="1">
        <v>222101.89</v>
      </c>
      <c r="K32" s="1"/>
      <c r="L32" s="1">
        <v>139255.64000000001</v>
      </c>
      <c r="M32" s="1"/>
      <c r="N32" s="1">
        <v>0</v>
      </c>
      <c r="O32" s="1"/>
      <c r="P32" s="1">
        <v>24177.040000000001</v>
      </c>
      <c r="Q32" s="1"/>
      <c r="R32" s="1">
        <v>5824.56</v>
      </c>
      <c r="S32" s="1"/>
      <c r="T32" s="1">
        <v>145633.41</v>
      </c>
      <c r="U32" s="1"/>
      <c r="V32" s="1">
        <v>0</v>
      </c>
      <c r="W32" s="1"/>
      <c r="X32" s="1">
        <v>0</v>
      </c>
      <c r="Y32" s="1"/>
      <c r="Z32" s="1">
        <v>4675</v>
      </c>
      <c r="AA32" s="1"/>
      <c r="AB32" s="1">
        <v>0</v>
      </c>
      <c r="AC32" s="1"/>
      <c r="AD32" s="1">
        <v>0</v>
      </c>
      <c r="AE32" s="4"/>
      <c r="AF32" s="4">
        <f t="shared" si="0"/>
        <v>1275237.06</v>
      </c>
    </row>
    <row r="33" spans="1:64">
      <c r="A33" s="4">
        <v>19</v>
      </c>
      <c r="B33" s="3" t="s">
        <v>21</v>
      </c>
      <c r="D33" s="3" t="s">
        <v>13</v>
      </c>
      <c r="F33" s="1">
        <v>259433</v>
      </c>
      <c r="G33" s="1">
        <v>0</v>
      </c>
      <c r="H33" s="1">
        <v>0</v>
      </c>
      <c r="I33" s="1">
        <v>0</v>
      </c>
      <c r="J33" s="1">
        <v>70508</v>
      </c>
      <c r="K33" s="1">
        <v>0</v>
      </c>
      <c r="L33" s="1">
        <v>39015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2490</v>
      </c>
      <c r="S33" s="1">
        <v>0</v>
      </c>
      <c r="T33" s="1">
        <v>1323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70000</v>
      </c>
      <c r="AA33" s="1">
        <v>0</v>
      </c>
      <c r="AB33" s="1">
        <v>0</v>
      </c>
      <c r="AC33" s="1">
        <v>0</v>
      </c>
      <c r="AD33" s="1">
        <v>0</v>
      </c>
      <c r="AE33" s="4"/>
      <c r="AF33" s="4">
        <f t="shared" si="0"/>
        <v>442769</v>
      </c>
    </row>
    <row r="34" spans="1:64">
      <c r="A34" s="4">
        <v>20</v>
      </c>
      <c r="B34" s="35" t="s">
        <v>85</v>
      </c>
      <c r="C34" s="35"/>
      <c r="D34" s="35" t="s">
        <v>474</v>
      </c>
      <c r="E34" s="35"/>
      <c r="F34" s="1">
        <v>199736.34</v>
      </c>
      <c r="G34" s="1"/>
      <c r="H34" s="1">
        <v>100323.1</v>
      </c>
      <c r="I34" s="1"/>
      <c r="J34" s="1">
        <v>57342.47</v>
      </c>
      <c r="K34" s="1"/>
      <c r="L34" s="1">
        <v>64905.17</v>
      </c>
      <c r="M34" s="1"/>
      <c r="N34" s="1">
        <v>0</v>
      </c>
      <c r="O34" s="1"/>
      <c r="P34" s="1">
        <v>15191.44</v>
      </c>
      <c r="Q34" s="1"/>
      <c r="R34" s="1">
        <v>10185</v>
      </c>
      <c r="S34" s="1"/>
      <c r="T34" s="1">
        <v>5783.31</v>
      </c>
      <c r="U34" s="1"/>
      <c r="V34" s="1">
        <v>0</v>
      </c>
      <c r="W34" s="1"/>
      <c r="X34" s="1">
        <v>0</v>
      </c>
      <c r="Y34" s="1"/>
      <c r="Z34" s="1">
        <v>0</v>
      </c>
      <c r="AA34" s="1"/>
      <c r="AB34" s="1">
        <v>0</v>
      </c>
      <c r="AC34" s="1"/>
      <c r="AD34" s="1">
        <v>408</v>
      </c>
      <c r="AE34" s="35"/>
      <c r="AF34" s="4">
        <f t="shared" si="0"/>
        <v>453874.83</v>
      </c>
    </row>
    <row r="35" spans="1:64">
      <c r="A35" s="4">
        <v>137</v>
      </c>
      <c r="B35" s="3" t="s">
        <v>86</v>
      </c>
      <c r="D35" s="3" t="s">
        <v>87</v>
      </c>
      <c r="F35" s="1">
        <v>24161</v>
      </c>
      <c r="G35" s="1">
        <v>0</v>
      </c>
      <c r="H35" s="1">
        <v>6382</v>
      </c>
      <c r="I35" s="1">
        <v>0</v>
      </c>
      <c r="J35" s="1">
        <v>14982</v>
      </c>
      <c r="K35" s="1">
        <v>0</v>
      </c>
      <c r="L35" s="1">
        <v>10184</v>
      </c>
      <c r="M35" s="1">
        <v>0</v>
      </c>
      <c r="N35" s="1">
        <v>0</v>
      </c>
      <c r="O35" s="1">
        <v>0</v>
      </c>
      <c r="P35" s="1">
        <v>5112</v>
      </c>
      <c r="Q35" s="1">
        <v>0</v>
      </c>
      <c r="R35" s="1">
        <v>219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4"/>
      <c r="AF35" s="4">
        <f t="shared" si="0"/>
        <v>61040</v>
      </c>
      <c r="AG35" s="48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4"/>
    </row>
    <row r="36" spans="1:64">
      <c r="A36" s="4">
        <v>110</v>
      </c>
      <c r="B36" s="3" t="s">
        <v>88</v>
      </c>
      <c r="D36" s="3" t="s">
        <v>89</v>
      </c>
      <c r="F36" s="1">
        <v>0</v>
      </c>
      <c r="G36" s="1">
        <v>0</v>
      </c>
      <c r="H36" s="1">
        <v>0</v>
      </c>
      <c r="I36" s="1">
        <v>0</v>
      </c>
      <c r="J36" s="1">
        <v>90264</v>
      </c>
      <c r="K36" s="1">
        <v>0</v>
      </c>
      <c r="L36" s="1">
        <v>704355</v>
      </c>
      <c r="M36" s="1">
        <v>0</v>
      </c>
      <c r="N36" s="1">
        <v>67231</v>
      </c>
      <c r="O36" s="1">
        <v>0</v>
      </c>
      <c r="P36" s="1">
        <v>0</v>
      </c>
      <c r="Q36" s="1">
        <v>0</v>
      </c>
      <c r="R36" s="1">
        <f>5509</f>
        <v>5509</v>
      </c>
      <c r="S36" s="1">
        <v>0</v>
      </c>
      <c r="T36" s="1">
        <v>4416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4"/>
      <c r="AF36" s="4">
        <f t="shared" si="0"/>
        <v>871775</v>
      </c>
    </row>
    <row r="37" spans="1:64">
      <c r="A37" s="4">
        <v>203</v>
      </c>
      <c r="B37" s="3" t="s">
        <v>90</v>
      </c>
      <c r="D37" s="3" t="s">
        <v>45</v>
      </c>
      <c r="F37" s="1">
        <v>47005</v>
      </c>
      <c r="G37" s="1">
        <v>0</v>
      </c>
      <c r="H37" s="1">
        <v>5776</v>
      </c>
      <c r="I37" s="1">
        <v>0</v>
      </c>
      <c r="J37" s="1">
        <v>17391</v>
      </c>
      <c r="K37" s="1">
        <v>0</v>
      </c>
      <c r="L37" s="1">
        <v>27023</v>
      </c>
      <c r="M37" s="1">
        <v>0</v>
      </c>
      <c r="N37" s="1">
        <v>0</v>
      </c>
      <c r="O37" s="1">
        <v>0</v>
      </c>
      <c r="P37" s="1">
        <v>5248</v>
      </c>
      <c r="Q37" s="1">
        <v>0</v>
      </c>
      <c r="R37" s="1">
        <v>431</v>
      </c>
      <c r="S37" s="1">
        <v>0</v>
      </c>
      <c r="T37" s="1">
        <v>5655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15000</v>
      </c>
      <c r="AA37" s="1">
        <v>0</v>
      </c>
      <c r="AB37" s="1">
        <v>0</v>
      </c>
      <c r="AC37" s="1">
        <v>0</v>
      </c>
      <c r="AD37" s="1">
        <v>0</v>
      </c>
      <c r="AE37" s="4"/>
      <c r="AF37" s="4">
        <f t="shared" si="0"/>
        <v>123529</v>
      </c>
    </row>
    <row r="38" spans="1:64">
      <c r="A38" s="4">
        <v>74</v>
      </c>
      <c r="B38" s="3" t="s">
        <v>299</v>
      </c>
      <c r="D38" s="3" t="s">
        <v>92</v>
      </c>
      <c r="F38" s="1">
        <v>1001869.27</v>
      </c>
      <c r="G38" s="1">
        <v>0</v>
      </c>
      <c r="H38" s="1">
        <v>333478.26</v>
      </c>
      <c r="I38" s="1">
        <v>0</v>
      </c>
      <c r="J38" s="1">
        <v>247994.45</v>
      </c>
      <c r="K38" s="1">
        <v>0</v>
      </c>
      <c r="L38" s="1">
        <v>269117.5</v>
      </c>
      <c r="M38" s="1">
        <v>0</v>
      </c>
      <c r="N38" s="1">
        <v>0</v>
      </c>
      <c r="O38" s="1">
        <v>0</v>
      </c>
      <c r="P38" s="1">
        <v>58896.84</v>
      </c>
      <c r="Q38" s="1">
        <v>0</v>
      </c>
      <c r="R38" s="1">
        <v>4520.51</v>
      </c>
      <c r="S38" s="1">
        <v>0</v>
      </c>
      <c r="T38" s="1">
        <v>6936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4"/>
      <c r="AF38" s="4">
        <f t="shared" si="0"/>
        <v>1922812.83</v>
      </c>
    </row>
    <row r="39" spans="1:64">
      <c r="A39" s="4">
        <v>200</v>
      </c>
      <c r="B39" s="3" t="s">
        <v>93</v>
      </c>
      <c r="D39" s="3" t="s">
        <v>94</v>
      </c>
      <c r="F39" s="1">
        <v>1046949</v>
      </c>
      <c r="G39" s="1">
        <v>0</v>
      </c>
      <c r="H39" s="1">
        <v>313685</v>
      </c>
      <c r="I39" s="1">
        <v>0</v>
      </c>
      <c r="J39" s="1">
        <v>180920</v>
      </c>
      <c r="K39" s="1">
        <v>0</v>
      </c>
      <c r="L39" s="1">
        <v>143354</v>
      </c>
      <c r="M39" s="1">
        <v>0</v>
      </c>
      <c r="N39" s="1">
        <v>0</v>
      </c>
      <c r="O39" s="1">
        <v>0</v>
      </c>
      <c r="P39" s="1">
        <v>25494</v>
      </c>
      <c r="Q39" s="1">
        <v>0</v>
      </c>
      <c r="R39" s="1">
        <v>5756</v>
      </c>
      <c r="S39" s="1">
        <v>0</v>
      </c>
      <c r="T39" s="1">
        <v>13367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4"/>
      <c r="AF39" s="4">
        <f t="shared" si="0"/>
        <v>1729525</v>
      </c>
      <c r="AG39" s="48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4"/>
    </row>
    <row r="40" spans="1:64">
      <c r="A40" s="4">
        <v>35</v>
      </c>
      <c r="B40" s="3" t="s">
        <v>95</v>
      </c>
      <c r="D40" s="3" t="s">
        <v>69</v>
      </c>
      <c r="F40" s="1">
        <v>0</v>
      </c>
      <c r="G40" s="1">
        <v>0</v>
      </c>
      <c r="H40" s="1">
        <v>0</v>
      </c>
      <c r="I40" s="1">
        <v>0</v>
      </c>
      <c r="J40" s="1">
        <v>21471</v>
      </c>
      <c r="K40" s="1">
        <v>0</v>
      </c>
      <c r="L40" s="1">
        <v>2753</v>
      </c>
      <c r="M40" s="1">
        <v>0</v>
      </c>
      <c r="N40" s="1">
        <v>35103</v>
      </c>
      <c r="O40" s="1">
        <v>0</v>
      </c>
      <c r="P40" s="1">
        <v>0</v>
      </c>
      <c r="Q40" s="1">
        <v>0</v>
      </c>
      <c r="R40" s="1">
        <f>87038+285966</f>
        <v>373004</v>
      </c>
      <c r="S40" s="1">
        <v>0</v>
      </c>
      <c r="T40" s="1">
        <v>0</v>
      </c>
      <c r="U40" s="1">
        <v>0</v>
      </c>
      <c r="V40" s="1">
        <v>6313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4"/>
      <c r="AF40" s="4">
        <f t="shared" si="0"/>
        <v>438644</v>
      </c>
      <c r="AG40" s="48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4"/>
    </row>
    <row r="41" spans="1:64" s="11" customFormat="1" ht="12.75">
      <c r="A41" s="4">
        <v>204</v>
      </c>
      <c r="B41" s="3" t="s">
        <v>96</v>
      </c>
      <c r="C41" s="3"/>
      <c r="D41" s="3" t="s">
        <v>45</v>
      </c>
      <c r="E41" s="3"/>
      <c r="F41" s="1">
        <v>64631.1</v>
      </c>
      <c r="G41" s="1"/>
      <c r="H41" s="1">
        <v>10049.780000000001</v>
      </c>
      <c r="I41" s="1"/>
      <c r="J41" s="1">
        <v>14742.14</v>
      </c>
      <c r="K41" s="1"/>
      <c r="L41" s="1">
        <v>20618.5</v>
      </c>
      <c r="M41" s="1"/>
      <c r="N41" s="1">
        <v>0</v>
      </c>
      <c r="O41" s="1"/>
      <c r="P41" s="1">
        <v>4493.5200000000004</v>
      </c>
      <c r="Q41" s="1"/>
      <c r="R41" s="1">
        <v>8185.5</v>
      </c>
      <c r="S41" s="1"/>
      <c r="T41" s="1">
        <v>0</v>
      </c>
      <c r="U41" s="1"/>
      <c r="V41" s="1">
        <v>0</v>
      </c>
      <c r="W41" s="1"/>
      <c r="X41" s="1">
        <v>0</v>
      </c>
      <c r="Y41" s="1"/>
      <c r="Z41" s="1">
        <v>6272</v>
      </c>
      <c r="AA41" s="1"/>
      <c r="AB41" s="1">
        <v>0</v>
      </c>
      <c r="AC41" s="1"/>
      <c r="AD41" s="1">
        <v>1848</v>
      </c>
      <c r="AE41" s="4"/>
      <c r="AF41" s="4">
        <f t="shared" si="0"/>
        <v>130840.54000000001</v>
      </c>
      <c r="AG41" s="9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>
      <c r="A42" s="4">
        <v>3</v>
      </c>
      <c r="B42" s="3" t="s">
        <v>300</v>
      </c>
      <c r="D42" s="3" t="s">
        <v>97</v>
      </c>
      <c r="F42" s="1">
        <v>160415.79999999999</v>
      </c>
      <c r="G42" s="1"/>
      <c r="H42" s="1">
        <v>50717.48</v>
      </c>
      <c r="I42" s="1"/>
      <c r="J42" s="1">
        <v>59208.36</v>
      </c>
      <c r="K42" s="1"/>
      <c r="L42" s="1">
        <v>31108.17</v>
      </c>
      <c r="M42" s="1"/>
      <c r="N42" s="1">
        <v>0</v>
      </c>
      <c r="O42" s="1"/>
      <c r="P42" s="1">
        <v>6800.03</v>
      </c>
      <c r="Q42" s="1"/>
      <c r="R42" s="1">
        <v>3389.25</v>
      </c>
      <c r="S42" s="1"/>
      <c r="T42" s="1">
        <v>0</v>
      </c>
      <c r="U42" s="1"/>
      <c r="V42" s="1">
        <v>0</v>
      </c>
      <c r="W42" s="1"/>
      <c r="X42" s="1">
        <v>0</v>
      </c>
      <c r="Y42" s="1"/>
      <c r="Z42" s="1">
        <v>0</v>
      </c>
      <c r="AA42" s="1"/>
      <c r="AB42" s="1">
        <v>0</v>
      </c>
      <c r="AC42" s="1"/>
      <c r="AD42" s="1">
        <v>0</v>
      </c>
      <c r="AE42" s="4"/>
      <c r="AF42" s="4">
        <f t="shared" si="0"/>
        <v>311639.09000000003</v>
      </c>
      <c r="AG42" s="48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4"/>
    </row>
    <row r="43" spans="1:64">
      <c r="A43" s="4">
        <v>101</v>
      </c>
      <c r="B43" s="35" t="s">
        <v>98</v>
      </c>
      <c r="C43" s="35"/>
      <c r="D43" s="35" t="s">
        <v>485</v>
      </c>
      <c r="E43" s="35"/>
      <c r="F43" s="1">
        <v>93697.17</v>
      </c>
      <c r="G43" s="1"/>
      <c r="H43" s="1">
        <v>24058.65</v>
      </c>
      <c r="I43" s="1"/>
      <c r="J43" s="1">
        <v>36177.69</v>
      </c>
      <c r="K43" s="1"/>
      <c r="L43" s="1">
        <v>20518.39</v>
      </c>
      <c r="M43" s="1"/>
      <c r="N43" s="1">
        <v>0</v>
      </c>
      <c r="O43" s="1"/>
      <c r="P43" s="1">
        <v>4401.1499999999996</v>
      </c>
      <c r="Q43" s="1"/>
      <c r="R43" s="1">
        <v>1148</v>
      </c>
      <c r="S43" s="1"/>
      <c r="T43" s="1">
        <v>1257.3900000000001</v>
      </c>
      <c r="U43" s="1"/>
      <c r="V43" s="1">
        <v>0</v>
      </c>
      <c r="W43" s="1"/>
      <c r="X43" s="1">
        <v>0</v>
      </c>
      <c r="Y43" s="1"/>
      <c r="Z43" s="1">
        <v>0</v>
      </c>
      <c r="AA43" s="1"/>
      <c r="AB43" s="1">
        <v>0</v>
      </c>
      <c r="AC43" s="1"/>
      <c r="AD43" s="1">
        <v>0</v>
      </c>
      <c r="AE43" s="35"/>
      <c r="AF43" s="4">
        <f t="shared" si="0"/>
        <v>181258.44000000003</v>
      </c>
      <c r="AG43" s="48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4"/>
    </row>
    <row r="44" spans="1:64">
      <c r="A44" s="4">
        <v>162</v>
      </c>
      <c r="B44" s="3" t="s">
        <v>99</v>
      </c>
      <c r="D44" s="3" t="s">
        <v>53</v>
      </c>
      <c r="F44" s="1">
        <v>64613.77</v>
      </c>
      <c r="G44" s="1"/>
      <c r="H44" s="1">
        <v>14844.77</v>
      </c>
      <c r="I44" s="1"/>
      <c r="J44" s="1">
        <v>33876.11</v>
      </c>
      <c r="K44" s="1"/>
      <c r="L44" s="1">
        <v>18884.060000000001</v>
      </c>
      <c r="M44" s="1"/>
      <c r="N44" s="1">
        <v>0</v>
      </c>
      <c r="O44" s="1"/>
      <c r="P44" s="1">
        <v>7655.49</v>
      </c>
      <c r="Q44" s="1"/>
      <c r="R44" s="1">
        <v>1102.68</v>
      </c>
      <c r="S44" s="1"/>
      <c r="T44" s="1">
        <v>7538.78</v>
      </c>
      <c r="U44" s="1"/>
      <c r="V44" s="1">
        <v>0</v>
      </c>
      <c r="W44" s="1"/>
      <c r="X44" s="1">
        <v>0</v>
      </c>
      <c r="Y44" s="1"/>
      <c r="Z44" s="1">
        <v>0</v>
      </c>
      <c r="AA44" s="1"/>
      <c r="AB44" s="1">
        <v>0</v>
      </c>
      <c r="AC44" s="1"/>
      <c r="AD44" s="1">
        <v>0</v>
      </c>
      <c r="AE44" s="4"/>
      <c r="AF44" s="4">
        <f t="shared" si="0"/>
        <v>148515.65999999997</v>
      </c>
    </row>
    <row r="45" spans="1:64">
      <c r="A45" s="39">
        <v>130.1</v>
      </c>
      <c r="B45" s="3" t="s">
        <v>581</v>
      </c>
      <c r="D45" s="3" t="s">
        <v>582</v>
      </c>
      <c r="F45" s="1">
        <v>1016086</v>
      </c>
      <c r="G45" s="1">
        <v>0</v>
      </c>
      <c r="H45" s="1">
        <v>409702</v>
      </c>
      <c r="I45" s="1">
        <v>0</v>
      </c>
      <c r="J45" s="1">
        <v>175140</v>
      </c>
      <c r="K45" s="1">
        <v>0</v>
      </c>
      <c r="L45" s="1">
        <v>114613</v>
      </c>
      <c r="M45" s="1">
        <v>0</v>
      </c>
      <c r="N45" s="1">
        <v>0</v>
      </c>
      <c r="O45" s="1">
        <v>0</v>
      </c>
      <c r="P45" s="1">
        <v>28046</v>
      </c>
      <c r="Q45" s="1">
        <v>0</v>
      </c>
      <c r="R45" s="1">
        <v>5052</v>
      </c>
      <c r="S45" s="1">
        <v>0</v>
      </c>
      <c r="T45" s="1">
        <v>12045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4"/>
      <c r="AF45" s="4">
        <f t="shared" si="0"/>
        <v>1760684</v>
      </c>
      <c r="AR45" s="3">
        <v>8684.6</v>
      </c>
    </row>
    <row r="46" spans="1:64">
      <c r="A46" s="4">
        <v>223</v>
      </c>
      <c r="B46" s="3" t="s">
        <v>100</v>
      </c>
      <c r="D46" s="3" t="s">
        <v>56</v>
      </c>
      <c r="F46" s="1">
        <v>151968.51999999999</v>
      </c>
      <c r="G46" s="1"/>
      <c r="H46" s="1">
        <v>40234.67</v>
      </c>
      <c r="I46" s="1"/>
      <c r="J46" s="1">
        <v>31824.33</v>
      </c>
      <c r="K46" s="1"/>
      <c r="L46" s="1">
        <v>70610.12</v>
      </c>
      <c r="M46" s="1"/>
      <c r="N46" s="1">
        <v>0</v>
      </c>
      <c r="O46" s="1"/>
      <c r="P46" s="1">
        <v>6898.45</v>
      </c>
      <c r="Q46" s="1"/>
      <c r="R46" s="1">
        <v>6920.49</v>
      </c>
      <c r="S46" s="1"/>
      <c r="T46" s="1">
        <v>0</v>
      </c>
      <c r="U46" s="1"/>
      <c r="V46" s="1">
        <v>0</v>
      </c>
      <c r="W46" s="1"/>
      <c r="X46" s="1">
        <v>0</v>
      </c>
      <c r="Y46" s="1"/>
      <c r="Z46" s="1">
        <v>0</v>
      </c>
      <c r="AA46" s="1"/>
      <c r="AB46" s="1">
        <v>0</v>
      </c>
      <c r="AC46" s="1"/>
      <c r="AD46" s="1">
        <v>0</v>
      </c>
      <c r="AE46" s="4"/>
      <c r="AF46" s="4">
        <f t="shared" si="0"/>
        <v>308456.58</v>
      </c>
    </row>
    <row r="47" spans="1:64">
      <c r="A47" s="4">
        <v>23</v>
      </c>
      <c r="B47" s="35" t="s">
        <v>475</v>
      </c>
      <c r="C47" s="35"/>
      <c r="D47" s="35" t="s">
        <v>476</v>
      </c>
      <c r="E47" s="35"/>
      <c r="F47" s="1">
        <v>488668.36</v>
      </c>
      <c r="G47" s="1"/>
      <c r="H47" s="1">
        <v>115361.34</v>
      </c>
      <c r="I47" s="1"/>
      <c r="J47" s="1">
        <v>173252.29</v>
      </c>
      <c r="K47" s="1"/>
      <c r="L47" s="1">
        <v>163892.45000000001</v>
      </c>
      <c r="M47" s="1"/>
      <c r="N47" s="1">
        <v>0</v>
      </c>
      <c r="O47" s="1"/>
      <c r="P47" s="1">
        <v>18770.02</v>
      </c>
      <c r="Q47" s="1"/>
      <c r="R47" s="1">
        <v>69.95</v>
      </c>
      <c r="S47" s="1"/>
      <c r="T47" s="1">
        <v>23886.75</v>
      </c>
      <c r="U47" s="1"/>
      <c r="V47" s="1">
        <v>0</v>
      </c>
      <c r="W47" s="1"/>
      <c r="X47" s="1">
        <v>0</v>
      </c>
      <c r="Y47" s="1"/>
      <c r="Z47" s="1">
        <v>30000</v>
      </c>
      <c r="AA47" s="1"/>
      <c r="AB47" s="1">
        <v>7500</v>
      </c>
      <c r="AC47" s="1"/>
      <c r="AD47" s="1">
        <v>0</v>
      </c>
      <c r="AE47" s="35"/>
      <c r="AF47" s="4">
        <f t="shared" si="0"/>
        <v>1021401.1599999999</v>
      </c>
      <c r="AG47" s="48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4"/>
    </row>
    <row r="48" spans="1:64">
      <c r="A48" s="4">
        <v>194</v>
      </c>
      <c r="B48" s="3" t="s">
        <v>101</v>
      </c>
      <c r="D48" s="3" t="s">
        <v>102</v>
      </c>
      <c r="F48" s="1">
        <v>53703.03</v>
      </c>
      <c r="G48" s="1">
        <v>0</v>
      </c>
      <c r="H48" s="1">
        <v>7329.1</v>
      </c>
      <c r="I48" s="1">
        <v>0</v>
      </c>
      <c r="J48" s="1">
        <v>27536.67</v>
      </c>
      <c r="K48" s="1">
        <v>0</v>
      </c>
      <c r="L48" s="1">
        <v>7327.91</v>
      </c>
      <c r="M48" s="1">
        <v>0</v>
      </c>
      <c r="N48" s="1">
        <v>0</v>
      </c>
      <c r="O48" s="1">
        <v>0</v>
      </c>
      <c r="P48" s="1">
        <v>2345.4</v>
      </c>
      <c r="Q48" s="1">
        <v>0</v>
      </c>
      <c r="R48" s="1">
        <v>579.49</v>
      </c>
      <c r="S48" s="1">
        <v>0</v>
      </c>
      <c r="T48" s="1">
        <v>1309.22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4"/>
      <c r="AF48" s="4">
        <f t="shared" si="0"/>
        <v>100130.81999999999</v>
      </c>
    </row>
    <row r="49" spans="1:64">
      <c r="A49" s="4">
        <v>46</v>
      </c>
      <c r="B49" s="3" t="s">
        <v>103</v>
      </c>
      <c r="D49" s="3" t="s">
        <v>52</v>
      </c>
      <c r="F49" s="1">
        <v>295934.82</v>
      </c>
      <c r="G49" s="1">
        <v>0</v>
      </c>
      <c r="H49" s="1">
        <v>0</v>
      </c>
      <c r="I49" s="1">
        <v>0</v>
      </c>
      <c r="J49" s="1">
        <v>122534.82</v>
      </c>
      <c r="K49" s="1">
        <v>0</v>
      </c>
      <c r="L49" s="1">
        <v>35265.11</v>
      </c>
      <c r="M49" s="1">
        <v>0</v>
      </c>
      <c r="N49" s="1">
        <v>0</v>
      </c>
      <c r="O49" s="1">
        <v>0</v>
      </c>
      <c r="P49" s="1">
        <v>19031.87</v>
      </c>
      <c r="Q49" s="1">
        <v>0</v>
      </c>
      <c r="R49" s="1">
        <v>4065.84</v>
      </c>
      <c r="S49" s="1">
        <v>0</v>
      </c>
      <c r="T49" s="1">
        <v>7147.8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4"/>
      <c r="AF49" s="4">
        <f t="shared" si="0"/>
        <v>483980.26</v>
      </c>
      <c r="AG49" s="48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4"/>
    </row>
    <row r="50" spans="1:64">
      <c r="A50" s="4">
        <v>89</v>
      </c>
      <c r="B50" s="3" t="s">
        <v>104</v>
      </c>
      <c r="D50" s="3" t="s">
        <v>17</v>
      </c>
      <c r="F50" s="1">
        <v>368530.87</v>
      </c>
      <c r="G50" s="1"/>
      <c r="H50" s="1">
        <v>80714.83</v>
      </c>
      <c r="I50" s="1"/>
      <c r="J50" s="1">
        <v>106202.71</v>
      </c>
      <c r="K50" s="1"/>
      <c r="L50" s="1">
        <v>100618.93</v>
      </c>
      <c r="M50" s="1"/>
      <c r="N50" s="1">
        <v>0</v>
      </c>
      <c r="O50" s="1"/>
      <c r="P50" s="1">
        <v>21440.17</v>
      </c>
      <c r="Q50" s="1"/>
      <c r="R50" s="1">
        <v>7774.84</v>
      </c>
      <c r="S50" s="1"/>
      <c r="T50" s="1">
        <v>13051.14</v>
      </c>
      <c r="U50" s="1"/>
      <c r="V50" s="1">
        <v>0</v>
      </c>
      <c r="W50" s="1"/>
      <c r="X50" s="1">
        <v>0</v>
      </c>
      <c r="Y50" s="1"/>
      <c r="Z50" s="1">
        <v>0</v>
      </c>
      <c r="AA50" s="1"/>
      <c r="AB50" s="1">
        <v>0</v>
      </c>
      <c r="AC50" s="1"/>
      <c r="AD50" s="1">
        <v>0</v>
      </c>
      <c r="AE50" s="4"/>
      <c r="AF50" s="4">
        <f t="shared" si="0"/>
        <v>698333.49000000011</v>
      </c>
    </row>
    <row r="51" spans="1:64">
      <c r="A51" s="4">
        <v>179</v>
      </c>
      <c r="B51" s="3" t="s">
        <v>105</v>
      </c>
      <c r="D51" s="3" t="s">
        <v>106</v>
      </c>
      <c r="F51" s="1">
        <v>220542.54</v>
      </c>
      <c r="G51" s="1"/>
      <c r="H51" s="1">
        <v>64496.99</v>
      </c>
      <c r="I51" s="1"/>
      <c r="J51" s="1">
        <v>50613.27</v>
      </c>
      <c r="K51" s="1"/>
      <c r="L51" s="1">
        <v>24509</v>
      </c>
      <c r="M51" s="1"/>
      <c r="N51" s="1">
        <v>0</v>
      </c>
      <c r="O51" s="1"/>
      <c r="P51" s="1">
        <v>1621.57</v>
      </c>
      <c r="Q51" s="1"/>
      <c r="R51" s="1">
        <v>1179.68</v>
      </c>
      <c r="S51" s="1"/>
      <c r="T51" s="1">
        <v>194.27</v>
      </c>
      <c r="U51" s="1"/>
      <c r="V51" s="1">
        <v>0</v>
      </c>
      <c r="W51" s="1"/>
      <c r="X51" s="1">
        <v>0</v>
      </c>
      <c r="Y51" s="1"/>
      <c r="Z51" s="1">
        <v>0</v>
      </c>
      <c r="AA51" s="1"/>
      <c r="AB51" s="1">
        <v>0</v>
      </c>
      <c r="AC51" s="1"/>
      <c r="AD51" s="1">
        <v>0</v>
      </c>
      <c r="AE51" s="4"/>
      <c r="AF51" s="4">
        <f t="shared" si="0"/>
        <v>363157.32000000007</v>
      </c>
      <c r="AR51" s="3">
        <v>414.65</v>
      </c>
    </row>
    <row r="52" spans="1:64">
      <c r="A52" s="4">
        <v>209</v>
      </c>
      <c r="B52" s="3" t="s">
        <v>107</v>
      </c>
      <c r="D52" s="3" t="s">
        <v>25</v>
      </c>
      <c r="F52" s="1">
        <v>416523.73</v>
      </c>
      <c r="G52" s="1"/>
      <c r="H52" s="1">
        <v>97620.33</v>
      </c>
      <c r="I52" s="1"/>
      <c r="J52" s="1">
        <v>130354.99</v>
      </c>
      <c r="K52" s="1"/>
      <c r="L52" s="1">
        <v>106153.42</v>
      </c>
      <c r="M52" s="1"/>
      <c r="N52" s="1">
        <v>0</v>
      </c>
      <c r="O52" s="1"/>
      <c r="P52" s="1">
        <v>7948.13</v>
      </c>
      <c r="Q52" s="1"/>
      <c r="R52" s="1">
        <v>2131.06</v>
      </c>
      <c r="S52" s="1"/>
      <c r="T52" s="1">
        <v>13559.89</v>
      </c>
      <c r="U52" s="1"/>
      <c r="V52" s="1">
        <v>0</v>
      </c>
      <c r="W52" s="1"/>
      <c r="X52" s="1">
        <v>0</v>
      </c>
      <c r="Y52" s="1"/>
      <c r="Z52" s="1">
        <v>0</v>
      </c>
      <c r="AA52" s="1"/>
      <c r="AB52" s="1">
        <v>0</v>
      </c>
      <c r="AC52" s="1"/>
      <c r="AD52" s="1">
        <v>0</v>
      </c>
      <c r="AE52" s="4"/>
      <c r="AF52" s="4">
        <f t="shared" si="0"/>
        <v>774291.55000000016</v>
      </c>
    </row>
    <row r="53" spans="1:64">
      <c r="A53" s="4">
        <v>174</v>
      </c>
      <c r="B53" s="3" t="s">
        <v>108</v>
      </c>
      <c r="D53" s="3" t="s">
        <v>68</v>
      </c>
      <c r="F53" s="1">
        <v>90835</v>
      </c>
      <c r="G53" s="1">
        <v>0</v>
      </c>
      <c r="H53" s="1">
        <v>14689</v>
      </c>
      <c r="I53" s="1">
        <v>0</v>
      </c>
      <c r="J53" s="1">
        <v>43107</v>
      </c>
      <c r="K53" s="1">
        <v>0</v>
      </c>
      <c r="L53" s="1">
        <v>31846</v>
      </c>
      <c r="M53" s="1">
        <v>0</v>
      </c>
      <c r="N53" s="1">
        <v>0</v>
      </c>
      <c r="O53" s="1">
        <v>0</v>
      </c>
      <c r="P53" s="1">
        <v>4151</v>
      </c>
      <c r="Q53" s="1">
        <v>0</v>
      </c>
      <c r="R53" s="1">
        <v>2259</v>
      </c>
      <c r="S53" s="1">
        <v>0</v>
      </c>
      <c r="T53" s="1">
        <v>26023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4"/>
      <c r="AF53" s="4">
        <f t="shared" si="0"/>
        <v>212910</v>
      </c>
    </row>
    <row r="54" spans="1:64">
      <c r="A54" s="4">
        <v>73</v>
      </c>
      <c r="B54" s="3" t="s">
        <v>109</v>
      </c>
      <c r="D54" s="3" t="s">
        <v>110</v>
      </c>
      <c r="F54" s="1">
        <v>0</v>
      </c>
      <c r="G54" s="1">
        <v>0</v>
      </c>
      <c r="H54" s="1">
        <v>0</v>
      </c>
      <c r="I54" s="1">
        <v>0</v>
      </c>
      <c r="J54" s="1">
        <v>15129</v>
      </c>
      <c r="K54" s="1">
        <v>0</v>
      </c>
      <c r="L54" s="1">
        <v>360897</v>
      </c>
      <c r="M54" s="1">
        <v>0</v>
      </c>
      <c r="N54" s="1">
        <v>94574</v>
      </c>
      <c r="O54" s="1">
        <v>0</v>
      </c>
      <c r="P54" s="1">
        <v>0</v>
      </c>
      <c r="Q54" s="1">
        <v>0</v>
      </c>
      <c r="R54" s="1">
        <f>37881+292414</f>
        <v>330295</v>
      </c>
      <c r="S54" s="1">
        <v>0</v>
      </c>
      <c r="T54" s="1">
        <v>13545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4"/>
      <c r="AF54" s="4">
        <f t="shared" si="0"/>
        <v>814440</v>
      </c>
      <c r="AG54" s="48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4"/>
    </row>
    <row r="55" spans="1:64">
      <c r="A55" s="4">
        <v>27</v>
      </c>
      <c r="B55" s="35" t="s">
        <v>594</v>
      </c>
      <c r="C55" s="35"/>
      <c r="D55" s="35" t="s">
        <v>477</v>
      </c>
      <c r="E55" s="35"/>
      <c r="F55" s="1">
        <v>355840.53</v>
      </c>
      <c r="G55" s="1"/>
      <c r="H55" s="1">
        <v>115500.2</v>
      </c>
      <c r="I55" s="1"/>
      <c r="J55" s="1">
        <v>62187.9</v>
      </c>
      <c r="K55" s="1"/>
      <c r="L55" s="1">
        <v>54530.63</v>
      </c>
      <c r="M55" s="1"/>
      <c r="N55" s="1">
        <v>0</v>
      </c>
      <c r="O55" s="1"/>
      <c r="P55" s="1">
        <v>29895.72</v>
      </c>
      <c r="Q55" s="1"/>
      <c r="R55" s="1">
        <v>20804.240000000002</v>
      </c>
      <c r="S55" s="1"/>
      <c r="T55" s="1">
        <v>4866.68</v>
      </c>
      <c r="U55" s="1"/>
      <c r="V55" s="1">
        <v>0</v>
      </c>
      <c r="W55" s="1"/>
      <c r="X55" s="1">
        <v>0</v>
      </c>
      <c r="Y55" s="1"/>
      <c r="Z55" s="1">
        <v>0</v>
      </c>
      <c r="AA55" s="1"/>
      <c r="AB55" s="1">
        <v>0</v>
      </c>
      <c r="AC55" s="1"/>
      <c r="AD55" s="1">
        <v>5639</v>
      </c>
      <c r="AE55" s="35"/>
      <c r="AF55" s="4">
        <f t="shared" si="0"/>
        <v>649264.9</v>
      </c>
    </row>
    <row r="56" spans="1:64">
      <c r="A56" s="4">
        <v>121</v>
      </c>
      <c r="B56" s="3" t="s">
        <v>111</v>
      </c>
      <c r="D56" s="3" t="s">
        <v>16</v>
      </c>
      <c r="F56" s="1">
        <v>114637.18</v>
      </c>
      <c r="G56" s="1">
        <v>0</v>
      </c>
      <c r="H56" s="1">
        <v>19014.490000000002</v>
      </c>
      <c r="I56" s="1">
        <v>0</v>
      </c>
      <c r="J56" s="1">
        <v>63978.28</v>
      </c>
      <c r="K56" s="1">
        <v>0</v>
      </c>
      <c r="L56" s="1">
        <v>44818.87</v>
      </c>
      <c r="M56" s="1">
        <v>0</v>
      </c>
      <c r="N56" s="1">
        <v>0</v>
      </c>
      <c r="O56" s="1">
        <v>0</v>
      </c>
      <c r="P56" s="1">
        <v>12714.17</v>
      </c>
      <c r="Q56" s="1">
        <v>0</v>
      </c>
      <c r="R56" s="1">
        <v>4402.8100000000004</v>
      </c>
      <c r="S56" s="1">
        <v>0</v>
      </c>
      <c r="T56" s="1">
        <v>12966.35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4"/>
      <c r="AF56" s="4">
        <f t="shared" si="0"/>
        <v>272532.14999999997</v>
      </c>
    </row>
    <row r="57" spans="1:64">
      <c r="A57" s="4">
        <v>28</v>
      </c>
      <c r="B57" s="3" t="s">
        <v>595</v>
      </c>
      <c r="D57" s="3" t="s">
        <v>62</v>
      </c>
      <c r="F57" s="1">
        <v>435216.61</v>
      </c>
      <c r="G57" s="1"/>
      <c r="H57" s="1">
        <v>97618.06</v>
      </c>
      <c r="I57" s="1"/>
      <c r="J57" s="1">
        <v>110939.96</v>
      </c>
      <c r="K57" s="1"/>
      <c r="L57" s="1">
        <v>90181.98</v>
      </c>
      <c r="M57" s="1"/>
      <c r="N57" s="1">
        <v>0</v>
      </c>
      <c r="O57" s="1"/>
      <c r="P57" s="1">
        <v>24934.83</v>
      </c>
      <c r="Q57" s="1"/>
      <c r="R57" s="1">
        <v>2908.95</v>
      </c>
      <c r="S57" s="1"/>
      <c r="T57" s="1">
        <v>149</v>
      </c>
      <c r="U57" s="1"/>
      <c r="V57" s="1">
        <v>0</v>
      </c>
      <c r="W57" s="1"/>
      <c r="X57" s="1">
        <v>0</v>
      </c>
      <c r="Y57" s="1"/>
      <c r="Z57" s="1">
        <v>490</v>
      </c>
      <c r="AA57" s="1"/>
      <c r="AB57" s="1">
        <v>0</v>
      </c>
      <c r="AC57" s="1"/>
      <c r="AD57" s="1">
        <v>0</v>
      </c>
      <c r="AE57" s="4"/>
      <c r="AF57" s="4">
        <f t="shared" si="0"/>
        <v>762439.38999999978</v>
      </c>
    </row>
    <row r="58" spans="1:64">
      <c r="A58" s="4">
        <v>199</v>
      </c>
      <c r="B58" s="35" t="s">
        <v>571</v>
      </c>
      <c r="C58" s="35"/>
      <c r="D58" s="35" t="s">
        <v>504</v>
      </c>
      <c r="E58" s="35"/>
      <c r="F58" s="1">
        <v>1041242.04</v>
      </c>
      <c r="G58" s="1"/>
      <c r="H58" s="1">
        <v>389609.32</v>
      </c>
      <c r="I58" s="1"/>
      <c r="J58" s="1">
        <v>318755.49</v>
      </c>
      <c r="K58" s="1"/>
      <c r="L58" s="1">
        <v>174527.05</v>
      </c>
      <c r="M58" s="1"/>
      <c r="N58" s="1">
        <v>0</v>
      </c>
      <c r="O58" s="1"/>
      <c r="P58" s="1">
        <v>49261.46</v>
      </c>
      <c r="Q58" s="1"/>
      <c r="R58" s="1">
        <v>6282.34</v>
      </c>
      <c r="S58" s="1"/>
      <c r="T58" s="1">
        <v>124654.74</v>
      </c>
      <c r="U58" s="1"/>
      <c r="V58" s="1">
        <v>0</v>
      </c>
      <c r="W58" s="1"/>
      <c r="X58" s="1">
        <v>0</v>
      </c>
      <c r="Y58" s="1"/>
      <c r="Z58" s="1">
        <v>0</v>
      </c>
      <c r="AA58" s="1"/>
      <c r="AB58" s="1">
        <v>0</v>
      </c>
      <c r="AC58" s="1"/>
      <c r="AD58" s="1">
        <v>0</v>
      </c>
      <c r="AE58" s="35"/>
      <c r="AF58" s="4">
        <f t="shared" si="0"/>
        <v>2104332.4400000004</v>
      </c>
    </row>
    <row r="59" spans="1:64">
      <c r="A59" s="4">
        <v>199</v>
      </c>
      <c r="B59" s="35" t="s">
        <v>625</v>
      </c>
      <c r="C59" s="35"/>
      <c r="D59" s="35" t="s">
        <v>580</v>
      </c>
      <c r="E59" s="35"/>
      <c r="F59" s="1">
        <v>24564695</v>
      </c>
      <c r="G59" s="1">
        <v>0</v>
      </c>
      <c r="H59" s="1">
        <v>0</v>
      </c>
      <c r="I59" s="1">
        <v>0</v>
      </c>
      <c r="J59" s="1">
        <v>12389892</v>
      </c>
      <c r="K59" s="1">
        <v>0</v>
      </c>
      <c r="L59" s="1">
        <v>0</v>
      </c>
      <c r="M59" s="1">
        <v>0</v>
      </c>
      <c r="N59" s="1">
        <v>9287940</v>
      </c>
      <c r="O59" s="1">
        <v>0</v>
      </c>
      <c r="P59" s="1">
        <v>0</v>
      </c>
      <c r="Q59" s="1">
        <v>0</v>
      </c>
      <c r="R59" s="1">
        <f>1872979+4731945</f>
        <v>6604924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2500000</v>
      </c>
      <c r="AA59" s="1">
        <v>0</v>
      </c>
      <c r="AB59" s="1">
        <v>0</v>
      </c>
      <c r="AC59" s="1">
        <v>0</v>
      </c>
      <c r="AD59" s="1">
        <v>0</v>
      </c>
      <c r="AE59" s="35"/>
      <c r="AF59" s="4">
        <f t="shared" si="0"/>
        <v>55347451</v>
      </c>
    </row>
    <row r="60" spans="1:64">
      <c r="A60" s="4">
        <v>32</v>
      </c>
      <c r="B60" s="3" t="s">
        <v>113</v>
      </c>
      <c r="D60" s="3" t="s">
        <v>114</v>
      </c>
      <c r="F60" s="1">
        <v>1801226</v>
      </c>
      <c r="G60" s="1">
        <v>0</v>
      </c>
      <c r="H60" s="1">
        <v>752501</v>
      </c>
      <c r="I60" s="1">
        <v>0</v>
      </c>
      <c r="J60" s="1">
        <v>643411</v>
      </c>
      <c r="K60" s="1">
        <v>0</v>
      </c>
      <c r="L60" s="1">
        <v>272422</v>
      </c>
      <c r="M60" s="1">
        <v>0</v>
      </c>
      <c r="N60" s="1">
        <v>0</v>
      </c>
      <c r="O60" s="1">
        <v>0</v>
      </c>
      <c r="P60" s="1">
        <v>46322</v>
      </c>
      <c r="Q60" s="1">
        <v>0</v>
      </c>
      <c r="R60" s="1">
        <v>14338</v>
      </c>
      <c r="S60" s="1">
        <v>0</v>
      </c>
      <c r="T60" s="1">
        <v>178779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4"/>
      <c r="AF60" s="4">
        <f t="shared" si="0"/>
        <v>3708999</v>
      </c>
    </row>
    <row r="61" spans="1:64">
      <c r="A61" s="4">
        <v>231</v>
      </c>
      <c r="B61" s="35" t="s">
        <v>301</v>
      </c>
      <c r="C61" s="35"/>
      <c r="D61" s="35" t="s">
        <v>501</v>
      </c>
      <c r="E61" s="35"/>
      <c r="F61" s="1">
        <v>158617.42000000001</v>
      </c>
      <c r="G61" s="1"/>
      <c r="H61" s="1">
        <v>53046.13</v>
      </c>
      <c r="I61" s="1"/>
      <c r="J61" s="1">
        <v>75133.31</v>
      </c>
      <c r="K61" s="1"/>
      <c r="L61" s="1">
        <v>35757.93</v>
      </c>
      <c r="M61" s="1"/>
      <c r="N61" s="1">
        <v>0</v>
      </c>
      <c r="O61" s="1"/>
      <c r="P61" s="1">
        <v>8193.9599999999991</v>
      </c>
      <c r="Q61" s="1"/>
      <c r="R61" s="1">
        <v>500</v>
      </c>
      <c r="S61" s="1"/>
      <c r="T61" s="1">
        <v>0</v>
      </c>
      <c r="U61" s="1"/>
      <c r="V61" s="1">
        <v>0</v>
      </c>
      <c r="W61" s="1"/>
      <c r="X61" s="1">
        <v>0</v>
      </c>
      <c r="Y61" s="1"/>
      <c r="Z61" s="1">
        <v>0</v>
      </c>
      <c r="AA61" s="1"/>
      <c r="AB61" s="1">
        <v>0</v>
      </c>
      <c r="AC61" s="1"/>
      <c r="AD61" s="1">
        <v>0</v>
      </c>
      <c r="AE61" s="35"/>
      <c r="AF61" s="4">
        <f t="shared" si="0"/>
        <v>331248.75</v>
      </c>
      <c r="AG61" s="48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4"/>
    </row>
    <row r="62" spans="1:64">
      <c r="A62" s="4">
        <v>34</v>
      </c>
      <c r="B62" s="3" t="s">
        <v>115</v>
      </c>
      <c r="D62" s="3" t="s">
        <v>116</v>
      </c>
      <c r="F62" s="1">
        <v>0</v>
      </c>
      <c r="G62" s="1">
        <v>0</v>
      </c>
      <c r="H62" s="1">
        <v>0</v>
      </c>
      <c r="I62" s="1">
        <v>0</v>
      </c>
      <c r="J62" s="1">
        <v>419356</v>
      </c>
      <c r="K62" s="1">
        <v>0</v>
      </c>
      <c r="L62" s="1">
        <v>3181475</v>
      </c>
      <c r="M62" s="1">
        <v>0</v>
      </c>
      <c r="N62" s="1">
        <v>972536</v>
      </c>
      <c r="O62" s="1">
        <v>0</v>
      </c>
      <c r="P62" s="1">
        <v>0</v>
      </c>
      <c r="Q62" s="1">
        <v>0</v>
      </c>
      <c r="R62" s="1">
        <f>1242267+501173</f>
        <v>1743440</v>
      </c>
      <c r="S62" s="1">
        <v>0</v>
      </c>
      <c r="T62" s="1">
        <v>84470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923000</v>
      </c>
      <c r="AA62" s="1">
        <v>0</v>
      </c>
      <c r="AB62" s="1">
        <v>1007000</v>
      </c>
      <c r="AC62" s="1">
        <v>0</v>
      </c>
      <c r="AD62" s="1">
        <v>7086</v>
      </c>
      <c r="AE62" s="4"/>
      <c r="AF62" s="4">
        <f t="shared" si="0"/>
        <v>8338363</v>
      </c>
    </row>
    <row r="63" spans="1:64">
      <c r="A63" s="4">
        <v>49</v>
      </c>
      <c r="B63" s="3" t="s">
        <v>427</v>
      </c>
      <c r="D63" s="3" t="s">
        <v>19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>5566281+1518458</f>
        <v>7084739</v>
      </c>
      <c r="S63" s="1">
        <v>0</v>
      </c>
      <c r="T63" s="1">
        <v>121320</v>
      </c>
      <c r="U63" s="1">
        <v>0</v>
      </c>
      <c r="V63" s="1">
        <v>81484</v>
      </c>
      <c r="W63" s="1">
        <v>0</v>
      </c>
      <c r="X63" s="1">
        <v>21507</v>
      </c>
      <c r="Y63" s="1">
        <v>0</v>
      </c>
      <c r="Z63" s="1">
        <v>614500</v>
      </c>
      <c r="AA63" s="1">
        <v>0</v>
      </c>
      <c r="AB63" s="1">
        <v>0</v>
      </c>
      <c r="AC63" s="1">
        <v>0</v>
      </c>
      <c r="AD63" s="1">
        <v>0</v>
      </c>
      <c r="AE63" s="4"/>
      <c r="AF63" s="4">
        <f t="shared" si="0"/>
        <v>7923550</v>
      </c>
    </row>
    <row r="64" spans="1:64">
      <c r="A64" s="4">
        <v>50</v>
      </c>
      <c r="B64" s="3" t="s">
        <v>428</v>
      </c>
      <c r="D64" s="3" t="s">
        <v>19</v>
      </c>
      <c r="F64" s="1">
        <v>0</v>
      </c>
      <c r="G64" s="1">
        <v>0</v>
      </c>
      <c r="H64" s="1">
        <v>0</v>
      </c>
      <c r="I64" s="1">
        <v>0</v>
      </c>
      <c r="J64" s="1">
        <v>36583859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21460860</v>
      </c>
      <c r="S64" s="1">
        <v>0</v>
      </c>
      <c r="T64" s="1">
        <v>489456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5054600</v>
      </c>
      <c r="AA64" s="1">
        <v>0</v>
      </c>
      <c r="AB64" s="1">
        <v>0</v>
      </c>
      <c r="AC64" s="1">
        <v>0</v>
      </c>
      <c r="AD64" s="1">
        <v>0</v>
      </c>
      <c r="AE64" s="4"/>
      <c r="AF64" s="4">
        <f t="shared" si="0"/>
        <v>63588775</v>
      </c>
      <c r="AG64" s="48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4"/>
    </row>
    <row r="65" spans="1:64">
      <c r="A65" s="4">
        <v>201</v>
      </c>
      <c r="B65" s="3" t="s">
        <v>117</v>
      </c>
      <c r="D65" s="3" t="s">
        <v>94</v>
      </c>
      <c r="F65" s="1">
        <v>263524.46999999997</v>
      </c>
      <c r="G65" s="1"/>
      <c r="H65" s="1">
        <v>54943.87</v>
      </c>
      <c r="I65" s="1"/>
      <c r="J65" s="1">
        <v>63651.45</v>
      </c>
      <c r="K65" s="1"/>
      <c r="L65" s="1">
        <v>68958.38</v>
      </c>
      <c r="M65" s="1"/>
      <c r="N65" s="1">
        <v>0</v>
      </c>
      <c r="O65" s="1"/>
      <c r="P65" s="1">
        <v>14423.73</v>
      </c>
      <c r="Q65" s="1"/>
      <c r="R65" s="1">
        <v>8356.42</v>
      </c>
      <c r="S65" s="1"/>
      <c r="T65" s="1">
        <v>7510.02</v>
      </c>
      <c r="U65" s="1"/>
      <c r="V65" s="1">
        <v>0</v>
      </c>
      <c r="W65" s="1"/>
      <c r="X65" s="1">
        <v>0</v>
      </c>
      <c r="Y65" s="1"/>
      <c r="Z65" s="1">
        <v>75590</v>
      </c>
      <c r="AA65" s="1"/>
      <c r="AB65" s="1">
        <v>0</v>
      </c>
      <c r="AC65" s="1"/>
      <c r="AD65" s="1">
        <v>0</v>
      </c>
      <c r="AE65" s="4"/>
      <c r="AF65" s="4">
        <f t="shared" si="0"/>
        <v>556958.34</v>
      </c>
    </row>
    <row r="66" spans="1:64">
      <c r="A66" s="4">
        <v>158</v>
      </c>
      <c r="B66" s="3" t="s">
        <v>72</v>
      </c>
      <c r="D66" s="3" t="s">
        <v>50</v>
      </c>
      <c r="F66" s="1">
        <v>95658.23</v>
      </c>
      <c r="G66" s="1"/>
      <c r="H66" s="1">
        <v>26073.27</v>
      </c>
      <c r="I66" s="1"/>
      <c r="J66" s="1">
        <v>30552.04</v>
      </c>
      <c r="K66" s="1"/>
      <c r="L66" s="1">
        <v>17532.61</v>
      </c>
      <c r="M66" s="1"/>
      <c r="N66" s="1">
        <v>0</v>
      </c>
      <c r="O66" s="1"/>
      <c r="P66" s="1">
        <v>3486.07</v>
      </c>
      <c r="Q66" s="1"/>
      <c r="R66" s="1">
        <v>2132.77</v>
      </c>
      <c r="S66" s="1"/>
      <c r="T66" s="1">
        <v>1183.8</v>
      </c>
      <c r="U66" s="1"/>
      <c r="V66" s="1">
        <v>0</v>
      </c>
      <c r="W66" s="1"/>
      <c r="X66" s="1">
        <v>0</v>
      </c>
      <c r="Y66" s="1"/>
      <c r="Z66" s="1">
        <v>0</v>
      </c>
      <c r="AA66" s="1"/>
      <c r="AB66" s="1">
        <v>0</v>
      </c>
      <c r="AC66" s="1"/>
      <c r="AD66" s="1">
        <v>0</v>
      </c>
      <c r="AE66" s="4"/>
      <c r="AF66" s="4">
        <f t="shared" si="0"/>
        <v>176618.79</v>
      </c>
    </row>
    <row r="67" spans="1:64">
      <c r="A67" s="4">
        <v>38</v>
      </c>
      <c r="B67" s="35" t="s">
        <v>454</v>
      </c>
      <c r="C67" s="35"/>
      <c r="D67" s="35" t="s">
        <v>481</v>
      </c>
      <c r="E67" s="35"/>
      <c r="F67" s="1">
        <v>312398.13</v>
      </c>
      <c r="G67" s="1"/>
      <c r="H67" s="1">
        <v>75710.259999999995</v>
      </c>
      <c r="I67" s="1"/>
      <c r="J67" s="1">
        <v>78528.070000000007</v>
      </c>
      <c r="K67" s="1"/>
      <c r="L67" s="1">
        <v>125268.21</v>
      </c>
      <c r="M67" s="1"/>
      <c r="N67" s="1">
        <v>0</v>
      </c>
      <c r="O67" s="1"/>
      <c r="P67" s="1">
        <v>19061.59</v>
      </c>
      <c r="Q67" s="1"/>
      <c r="R67" s="1">
        <v>5190.3999999999996</v>
      </c>
      <c r="S67" s="1"/>
      <c r="T67" s="1">
        <v>8189.73</v>
      </c>
      <c r="U67" s="1"/>
      <c r="V67" s="1">
        <v>0</v>
      </c>
      <c r="W67" s="1"/>
      <c r="X67" s="1">
        <v>0</v>
      </c>
      <c r="Y67" s="1"/>
      <c r="Z67" s="1">
        <v>0</v>
      </c>
      <c r="AA67" s="1"/>
      <c r="AB67" s="1">
        <v>0</v>
      </c>
      <c r="AC67" s="1"/>
      <c r="AD67" s="1">
        <v>0</v>
      </c>
      <c r="AE67" s="35"/>
      <c r="AF67" s="4">
        <f t="shared" si="0"/>
        <v>624346.39</v>
      </c>
      <c r="AG67" s="48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4"/>
    </row>
    <row r="68" spans="1:64">
      <c r="A68" s="4">
        <v>76</v>
      </c>
      <c r="B68" s="3" t="s">
        <v>118</v>
      </c>
      <c r="D68" s="3" t="s">
        <v>92</v>
      </c>
      <c r="F68" s="1">
        <v>22863298</v>
      </c>
      <c r="G68" s="1">
        <v>0</v>
      </c>
      <c r="H68" s="1">
        <v>7086471</v>
      </c>
      <c r="I68" s="1">
        <v>0</v>
      </c>
      <c r="J68" s="1">
        <v>6288259</v>
      </c>
      <c r="K68" s="1">
        <v>0</v>
      </c>
      <c r="L68" s="1">
        <v>4711617</v>
      </c>
      <c r="M68" s="1">
        <v>0</v>
      </c>
      <c r="N68" s="1">
        <v>0</v>
      </c>
      <c r="O68" s="1">
        <v>0</v>
      </c>
      <c r="P68" s="1">
        <v>689549</v>
      </c>
      <c r="Q68" s="1">
        <v>0</v>
      </c>
      <c r="R68" s="1">
        <v>1870146</v>
      </c>
      <c r="S68" s="1">
        <v>0</v>
      </c>
      <c r="T68" s="1">
        <v>95145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44200</v>
      </c>
      <c r="AC68" s="1">
        <v>0</v>
      </c>
      <c r="AD68" s="1">
        <v>0</v>
      </c>
      <c r="AE68" s="4"/>
      <c r="AF68" s="4">
        <f t="shared" si="0"/>
        <v>43648685</v>
      </c>
      <c r="AI68" s="4"/>
    </row>
    <row r="69" spans="1:64">
      <c r="A69" s="4">
        <v>63</v>
      </c>
      <c r="B69" s="3" t="s">
        <v>363</v>
      </c>
      <c r="D69" s="4" t="s">
        <v>70</v>
      </c>
      <c r="F69" s="1">
        <v>423938.62</v>
      </c>
      <c r="G69" s="1"/>
      <c r="H69" s="1">
        <v>126233.74</v>
      </c>
      <c r="I69" s="1"/>
      <c r="J69" s="1">
        <v>134448.6</v>
      </c>
      <c r="K69" s="1"/>
      <c r="L69" s="1">
        <v>92318.35</v>
      </c>
      <c r="M69" s="1"/>
      <c r="N69" s="1">
        <v>0</v>
      </c>
      <c r="O69" s="1"/>
      <c r="P69" s="1">
        <v>14629.99</v>
      </c>
      <c r="Q69" s="1"/>
      <c r="R69" s="1">
        <v>1433.95</v>
      </c>
      <c r="S69" s="1"/>
      <c r="T69" s="1">
        <v>19343.22</v>
      </c>
      <c r="U69" s="1"/>
      <c r="V69" s="1">
        <v>0</v>
      </c>
      <c r="W69" s="1"/>
      <c r="X69" s="1">
        <v>0</v>
      </c>
      <c r="Y69" s="1"/>
      <c r="Z69" s="1">
        <v>327242</v>
      </c>
      <c r="AA69" s="1"/>
      <c r="AB69" s="1">
        <v>0</v>
      </c>
      <c r="AC69" s="1"/>
      <c r="AD69" s="1">
        <v>0</v>
      </c>
      <c r="AE69" s="4"/>
      <c r="AF69" s="4">
        <f t="shared" si="0"/>
        <v>1139588.4699999997</v>
      </c>
      <c r="AI69" s="4"/>
    </row>
    <row r="70" spans="1:64">
      <c r="A70" s="4">
        <v>10</v>
      </c>
      <c r="B70" s="3" t="s">
        <v>119</v>
      </c>
      <c r="D70" s="3" t="s">
        <v>43</v>
      </c>
      <c r="F70" s="1">
        <v>319188</v>
      </c>
      <c r="G70" s="1">
        <v>0</v>
      </c>
      <c r="H70" s="1">
        <v>91449</v>
      </c>
      <c r="I70" s="1">
        <v>0</v>
      </c>
      <c r="J70" s="1">
        <v>46604</v>
      </c>
      <c r="K70" s="1">
        <v>0</v>
      </c>
      <c r="L70" s="1">
        <v>28235</v>
      </c>
      <c r="M70" s="1">
        <v>0</v>
      </c>
      <c r="N70" s="1">
        <v>0</v>
      </c>
      <c r="O70" s="1">
        <v>0</v>
      </c>
      <c r="P70" s="1">
        <v>20968</v>
      </c>
      <c r="Q70" s="1">
        <v>0</v>
      </c>
      <c r="R70" s="1">
        <v>4006</v>
      </c>
      <c r="S70" s="1">
        <v>0</v>
      </c>
      <c r="T70" s="1">
        <v>9587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4"/>
      <c r="AF70" s="4">
        <f t="shared" si="0"/>
        <v>520037</v>
      </c>
      <c r="AI70" s="4"/>
    </row>
    <row r="71" spans="1:64">
      <c r="A71" s="4">
        <v>45</v>
      </c>
      <c r="B71" s="3" t="s">
        <v>120</v>
      </c>
      <c r="D71" s="3" t="s">
        <v>121</v>
      </c>
      <c r="F71" s="1">
        <v>579352</v>
      </c>
      <c r="G71" s="1">
        <v>0</v>
      </c>
      <c r="H71" s="1">
        <v>215098</v>
      </c>
      <c r="I71" s="1">
        <v>0</v>
      </c>
      <c r="J71" s="1">
        <v>167091</v>
      </c>
      <c r="K71" s="1">
        <v>0</v>
      </c>
      <c r="L71" s="1">
        <v>78707</v>
      </c>
      <c r="M71" s="1">
        <v>0</v>
      </c>
      <c r="N71" s="1">
        <v>0</v>
      </c>
      <c r="O71" s="1">
        <v>0</v>
      </c>
      <c r="P71" s="1">
        <v>15920</v>
      </c>
      <c r="Q71" s="1">
        <v>0</v>
      </c>
      <c r="R71" s="1">
        <v>3635</v>
      </c>
      <c r="S71" s="1">
        <v>0</v>
      </c>
      <c r="T71" s="1">
        <v>2932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49009</v>
      </c>
      <c r="AA71" s="1">
        <v>0</v>
      </c>
      <c r="AB71" s="1">
        <v>0</v>
      </c>
      <c r="AC71" s="1">
        <v>0</v>
      </c>
      <c r="AD71" s="1">
        <v>0</v>
      </c>
      <c r="AE71" s="4"/>
      <c r="AF71" s="4">
        <f t="shared" si="0"/>
        <v>1111744</v>
      </c>
      <c r="AI71" s="4"/>
    </row>
    <row r="72" spans="1:64">
      <c r="A72" s="4">
        <v>47</v>
      </c>
      <c r="B72" s="35" t="s">
        <v>122</v>
      </c>
      <c r="C72" s="35"/>
      <c r="D72" s="35" t="s">
        <v>482</v>
      </c>
      <c r="E72" s="35"/>
      <c r="F72" s="1">
        <v>227279.37</v>
      </c>
      <c r="G72" s="1"/>
      <c r="H72" s="1">
        <v>36818.620000000003</v>
      </c>
      <c r="I72" s="1"/>
      <c r="J72" s="1">
        <v>71378.509999999995</v>
      </c>
      <c r="K72" s="1"/>
      <c r="L72" s="1">
        <v>84350.05</v>
      </c>
      <c r="M72" s="1"/>
      <c r="N72" s="1">
        <v>0</v>
      </c>
      <c r="O72" s="1"/>
      <c r="P72" s="1">
        <v>12181.62</v>
      </c>
      <c r="Q72" s="1"/>
      <c r="R72" s="1">
        <v>4088.41</v>
      </c>
      <c r="S72" s="1"/>
      <c r="T72" s="1">
        <v>10449</v>
      </c>
      <c r="U72" s="1"/>
      <c r="V72" s="1">
        <v>0</v>
      </c>
      <c r="W72" s="1"/>
      <c r="X72" s="1">
        <v>0</v>
      </c>
      <c r="Y72" s="1"/>
      <c r="Z72" s="1">
        <v>0</v>
      </c>
      <c r="AA72" s="1"/>
      <c r="AB72" s="1">
        <v>0</v>
      </c>
      <c r="AC72" s="1"/>
      <c r="AD72" s="1">
        <v>0</v>
      </c>
      <c r="AE72" s="35"/>
      <c r="AF72" s="4">
        <f t="shared" ref="AF72:AF85" si="1">SUM(F72:AD72)</f>
        <v>446545.57999999996</v>
      </c>
      <c r="AI72" s="4"/>
    </row>
    <row r="73" spans="1:64">
      <c r="A73" s="4">
        <v>51</v>
      </c>
      <c r="B73" s="3" t="s">
        <v>596</v>
      </c>
      <c r="D73" s="3" t="s">
        <v>19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36831749</v>
      </c>
      <c r="M73" s="1">
        <v>0</v>
      </c>
      <c r="N73" s="1">
        <v>5337363</v>
      </c>
      <c r="O73" s="1">
        <v>0</v>
      </c>
      <c r="P73" s="1">
        <v>0</v>
      </c>
      <c r="Q73" s="1">
        <v>0</v>
      </c>
      <c r="R73" s="1">
        <f>2901655+12426863</f>
        <v>15328518</v>
      </c>
      <c r="S73" s="1">
        <v>0</v>
      </c>
      <c r="T73" s="1">
        <v>740307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8828881</v>
      </c>
      <c r="AA73" s="1">
        <v>0</v>
      </c>
      <c r="AB73" s="1">
        <v>0</v>
      </c>
      <c r="AC73" s="1">
        <v>0</v>
      </c>
      <c r="AD73" s="1">
        <v>0</v>
      </c>
      <c r="AE73" s="4"/>
      <c r="AF73" s="4">
        <f t="shared" si="1"/>
        <v>67066818</v>
      </c>
      <c r="AG73" s="48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4"/>
    </row>
    <row r="74" spans="1:64">
      <c r="A74" s="4"/>
      <c r="B74" s="4" t="s">
        <v>618</v>
      </c>
      <c r="C74" s="4"/>
      <c r="D74" s="4" t="s">
        <v>22</v>
      </c>
      <c r="F74" s="1">
        <v>1117362</v>
      </c>
      <c r="G74" s="1">
        <v>0</v>
      </c>
      <c r="H74" s="1">
        <v>348474</v>
      </c>
      <c r="I74" s="1">
        <v>0</v>
      </c>
      <c r="J74" s="1">
        <v>404250</v>
      </c>
      <c r="K74" s="1">
        <v>0</v>
      </c>
      <c r="L74" s="1">
        <v>390001</v>
      </c>
      <c r="M74" s="1">
        <v>0</v>
      </c>
      <c r="N74" s="1">
        <v>0</v>
      </c>
      <c r="O74" s="1">
        <v>0</v>
      </c>
      <c r="P74" s="1">
        <v>55480</v>
      </c>
      <c r="Q74" s="1">
        <v>0</v>
      </c>
      <c r="R74" s="1">
        <v>15088</v>
      </c>
      <c r="S74" s="1">
        <v>0</v>
      </c>
      <c r="T74" s="1">
        <v>143514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4"/>
      <c r="AF74" s="4">
        <f t="shared" si="1"/>
        <v>2474169</v>
      </c>
      <c r="AG74" s="48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4"/>
    </row>
    <row r="75" spans="1:64">
      <c r="A75" s="4">
        <v>169</v>
      </c>
      <c r="B75" s="3" t="s">
        <v>124</v>
      </c>
      <c r="D75" s="3" t="s">
        <v>55</v>
      </c>
      <c r="F75" s="1">
        <v>0</v>
      </c>
      <c r="G75" s="1">
        <v>0</v>
      </c>
      <c r="H75" s="1">
        <v>0</v>
      </c>
      <c r="I75" s="1">
        <v>0</v>
      </c>
      <c r="J75" s="1">
        <v>904385</v>
      </c>
      <c r="K75" s="1">
        <v>0</v>
      </c>
      <c r="L75" s="1">
        <v>16447613</v>
      </c>
      <c r="M75" s="1">
        <v>0</v>
      </c>
      <c r="N75" s="1">
        <v>509288</v>
      </c>
      <c r="O75" s="1">
        <v>0</v>
      </c>
      <c r="P75" s="1">
        <v>0</v>
      </c>
      <c r="Q75" s="1">
        <v>0</v>
      </c>
      <c r="R75" s="1">
        <f>5227184+2840098</f>
        <v>8067282</v>
      </c>
      <c r="S75" s="1">
        <v>0</v>
      </c>
      <c r="T75" s="1">
        <v>419202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3053148</v>
      </c>
      <c r="AA75" s="1">
        <v>0</v>
      </c>
      <c r="AB75" s="1">
        <v>0</v>
      </c>
      <c r="AC75" s="1">
        <v>0</v>
      </c>
      <c r="AD75" s="1">
        <v>0</v>
      </c>
      <c r="AE75" s="4"/>
      <c r="AF75" s="4">
        <f t="shared" si="1"/>
        <v>29400918</v>
      </c>
    </row>
    <row r="76" spans="1:64">
      <c r="A76" s="4">
        <v>62</v>
      </c>
      <c r="B76" s="3" t="s">
        <v>125</v>
      </c>
      <c r="D76" s="3" t="s">
        <v>126</v>
      </c>
      <c r="F76" s="1">
        <v>677053.87</v>
      </c>
      <c r="G76" s="1">
        <v>0</v>
      </c>
      <c r="H76" s="1">
        <v>174677.74</v>
      </c>
      <c r="I76" s="1">
        <v>0</v>
      </c>
      <c r="J76" s="1">
        <v>327294.76</v>
      </c>
      <c r="K76" s="1">
        <v>0</v>
      </c>
      <c r="L76" s="1">
        <v>200923.26</v>
      </c>
      <c r="M76" s="1">
        <v>0</v>
      </c>
      <c r="N76" s="1">
        <v>0</v>
      </c>
      <c r="O76" s="1">
        <v>0</v>
      </c>
      <c r="P76" s="1">
        <v>35253.660000000003</v>
      </c>
      <c r="Q76" s="1">
        <v>0</v>
      </c>
      <c r="R76" s="1">
        <v>8762.14</v>
      </c>
      <c r="S76" s="1">
        <v>0</v>
      </c>
      <c r="T76" s="1">
        <v>31833.86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40000</v>
      </c>
      <c r="AA76" s="1">
        <v>0</v>
      </c>
      <c r="AB76" s="1">
        <v>0</v>
      </c>
      <c r="AC76" s="1">
        <v>0</v>
      </c>
      <c r="AD76" s="1">
        <v>0</v>
      </c>
      <c r="AE76" s="4"/>
      <c r="AF76" s="4">
        <f t="shared" si="1"/>
        <v>1495799.29</v>
      </c>
      <c r="AI76" s="4"/>
    </row>
    <row r="77" spans="1:64">
      <c r="A77" s="4">
        <v>64</v>
      </c>
      <c r="B77" s="3" t="s">
        <v>127</v>
      </c>
      <c r="D77" s="3" t="s">
        <v>70</v>
      </c>
      <c r="F77" s="1">
        <v>1801158</v>
      </c>
      <c r="G77" s="1">
        <v>0</v>
      </c>
      <c r="H77" s="1">
        <v>0</v>
      </c>
      <c r="I77" s="1">
        <v>0</v>
      </c>
      <c r="J77" s="1">
        <v>437569</v>
      </c>
      <c r="K77" s="1">
        <v>0</v>
      </c>
      <c r="L77" s="1">
        <v>436702</v>
      </c>
      <c r="M77" s="1">
        <v>0</v>
      </c>
      <c r="N77" s="1">
        <v>0</v>
      </c>
      <c r="O77" s="1">
        <v>0</v>
      </c>
      <c r="P77" s="1">
        <v>210789</v>
      </c>
      <c r="Q77" s="1">
        <v>0</v>
      </c>
      <c r="R77" s="1">
        <v>601235</v>
      </c>
      <c r="S77" s="1">
        <v>0</v>
      </c>
      <c r="T77" s="1">
        <v>60126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4"/>
      <c r="AF77" s="4">
        <f t="shared" si="1"/>
        <v>3547579</v>
      </c>
    </row>
    <row r="78" spans="1:64">
      <c r="A78" s="4">
        <v>4</v>
      </c>
      <c r="B78" s="3" t="s">
        <v>128</v>
      </c>
      <c r="D78" s="3" t="s">
        <v>97</v>
      </c>
      <c r="F78" s="1">
        <v>217314.54</v>
      </c>
      <c r="G78" s="1"/>
      <c r="H78" s="1">
        <v>32780.75</v>
      </c>
      <c r="I78" s="1"/>
      <c r="J78" s="1">
        <v>30480.44</v>
      </c>
      <c r="K78" s="1"/>
      <c r="L78" s="1">
        <v>64104.5</v>
      </c>
      <c r="M78" s="1"/>
      <c r="N78" s="1">
        <v>0</v>
      </c>
      <c r="O78" s="1"/>
      <c r="P78" s="1">
        <v>20109.439999999999</v>
      </c>
      <c r="Q78" s="1"/>
      <c r="R78" s="1">
        <v>4471.8500000000004</v>
      </c>
      <c r="S78" s="1"/>
      <c r="T78" s="1">
        <v>0</v>
      </c>
      <c r="U78" s="1"/>
      <c r="V78" s="1">
        <v>0</v>
      </c>
      <c r="W78" s="1"/>
      <c r="X78" s="1">
        <v>0</v>
      </c>
      <c r="Y78" s="1"/>
      <c r="Z78" s="1">
        <v>0</v>
      </c>
      <c r="AA78" s="1"/>
      <c r="AB78" s="1">
        <v>0</v>
      </c>
      <c r="AC78" s="1"/>
      <c r="AD78" s="1">
        <v>0</v>
      </c>
      <c r="AE78" s="4"/>
      <c r="AF78" s="4">
        <f t="shared" si="1"/>
        <v>369261.51999999996</v>
      </c>
      <c r="AI78" s="4"/>
    </row>
    <row r="79" spans="1:64">
      <c r="A79" s="4">
        <v>83</v>
      </c>
      <c r="B79" s="3" t="s">
        <v>129</v>
      </c>
      <c r="D79" s="3" t="s">
        <v>42</v>
      </c>
      <c r="F79" s="1">
        <v>233929.06</v>
      </c>
      <c r="G79" s="1"/>
      <c r="H79" s="1">
        <v>48719.28</v>
      </c>
      <c r="I79" s="1"/>
      <c r="J79" s="1">
        <v>32127.56</v>
      </c>
      <c r="K79" s="1"/>
      <c r="L79" s="1">
        <v>41231.79</v>
      </c>
      <c r="M79" s="1"/>
      <c r="N79" s="1">
        <v>0</v>
      </c>
      <c r="O79" s="1"/>
      <c r="P79" s="1">
        <v>8085.16</v>
      </c>
      <c r="Q79" s="1"/>
      <c r="R79" s="1">
        <v>2914.49</v>
      </c>
      <c r="S79" s="1"/>
      <c r="T79" s="1">
        <v>7616.24</v>
      </c>
      <c r="U79" s="1"/>
      <c r="V79" s="1">
        <v>0</v>
      </c>
      <c r="W79" s="1"/>
      <c r="X79" s="1">
        <v>0</v>
      </c>
      <c r="Y79" s="1"/>
      <c r="Z79" s="1">
        <v>47983</v>
      </c>
      <c r="AA79" s="1"/>
      <c r="AB79" s="1">
        <v>0</v>
      </c>
      <c r="AC79" s="1"/>
      <c r="AD79" s="1">
        <v>0</v>
      </c>
      <c r="AE79" s="4"/>
      <c r="AF79" s="4">
        <f t="shared" si="1"/>
        <v>422606.5799999999</v>
      </c>
      <c r="AI79" s="4"/>
    </row>
    <row r="80" spans="1:64">
      <c r="A80" s="4">
        <v>258</v>
      </c>
      <c r="B80" s="3" t="s">
        <v>130</v>
      </c>
      <c r="D80" s="3" t="s">
        <v>63</v>
      </c>
      <c r="F80" s="1">
        <v>144306</v>
      </c>
      <c r="G80" s="1">
        <v>0</v>
      </c>
      <c r="H80" s="1">
        <v>62504</v>
      </c>
      <c r="I80" s="1">
        <v>0</v>
      </c>
      <c r="J80" s="1">
        <v>37408</v>
      </c>
      <c r="K80" s="1">
        <v>0</v>
      </c>
      <c r="L80" s="1">
        <v>26245</v>
      </c>
      <c r="M80" s="1">
        <v>0</v>
      </c>
      <c r="N80" s="1">
        <v>0</v>
      </c>
      <c r="O80" s="1">
        <v>0</v>
      </c>
      <c r="P80" s="1">
        <v>3672</v>
      </c>
      <c r="Q80" s="1">
        <v>0</v>
      </c>
      <c r="R80" s="1">
        <v>9607</v>
      </c>
      <c r="S80" s="1">
        <v>0</v>
      </c>
      <c r="T80" s="1">
        <v>2134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4"/>
      <c r="AF80" s="4">
        <f t="shared" si="1"/>
        <v>285876</v>
      </c>
      <c r="AI80" s="4"/>
    </row>
    <row r="81" spans="1:64">
      <c r="A81" s="4">
        <v>232</v>
      </c>
      <c r="B81" s="3" t="s">
        <v>131</v>
      </c>
      <c r="D81" s="3" t="s">
        <v>26</v>
      </c>
      <c r="F81" s="1">
        <v>401216</v>
      </c>
      <c r="G81" s="1">
        <v>0</v>
      </c>
      <c r="H81" s="1">
        <v>79928</v>
      </c>
      <c r="I81" s="1">
        <v>0</v>
      </c>
      <c r="J81" s="1">
        <v>70344</v>
      </c>
      <c r="K81" s="1">
        <v>0</v>
      </c>
      <c r="L81" s="1">
        <v>119787</v>
      </c>
      <c r="M81" s="1">
        <v>0</v>
      </c>
      <c r="N81" s="1">
        <v>0</v>
      </c>
      <c r="O81" s="1">
        <v>0</v>
      </c>
      <c r="P81" s="1">
        <v>16705</v>
      </c>
      <c r="Q81" s="1">
        <v>0</v>
      </c>
      <c r="R81" s="1">
        <v>3775</v>
      </c>
      <c r="S81" s="1">
        <v>0</v>
      </c>
      <c r="T81" s="1">
        <v>724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4"/>
      <c r="AF81" s="4">
        <f t="shared" si="1"/>
        <v>692479</v>
      </c>
      <c r="AI81" s="4"/>
    </row>
    <row r="82" spans="1:64">
      <c r="A82" s="4">
        <v>88</v>
      </c>
      <c r="B82" s="3" t="s">
        <v>336</v>
      </c>
      <c r="D82" s="3" t="s">
        <v>132</v>
      </c>
      <c r="F82" s="1">
        <v>399457.81</v>
      </c>
      <c r="G82" s="1"/>
      <c r="H82" s="1">
        <v>137441.26</v>
      </c>
      <c r="I82" s="1"/>
      <c r="J82" s="1">
        <v>91088.98</v>
      </c>
      <c r="K82" s="1"/>
      <c r="L82" s="1">
        <v>175023.98</v>
      </c>
      <c r="M82" s="1"/>
      <c r="N82" s="1">
        <v>0</v>
      </c>
      <c r="O82" s="1"/>
      <c r="P82" s="1">
        <v>25199.35</v>
      </c>
      <c r="Q82" s="1"/>
      <c r="R82" s="1">
        <v>7641.57</v>
      </c>
      <c r="S82" s="1"/>
      <c r="T82" s="1">
        <v>15330.95</v>
      </c>
      <c r="U82" s="1"/>
      <c r="V82" s="1">
        <v>0</v>
      </c>
      <c r="W82" s="1"/>
      <c r="X82" s="1">
        <v>0</v>
      </c>
      <c r="Y82" s="1"/>
      <c r="Z82" s="1">
        <v>150000</v>
      </c>
      <c r="AA82" s="1"/>
      <c r="AB82" s="1">
        <v>0</v>
      </c>
      <c r="AC82" s="1"/>
      <c r="AD82" s="1">
        <v>0</v>
      </c>
      <c r="AE82" s="4"/>
      <c r="AF82" s="4">
        <f t="shared" si="1"/>
        <v>1001183.8999999999</v>
      </c>
      <c r="AG82" s="48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4"/>
    </row>
    <row r="83" spans="1:64">
      <c r="A83" s="4">
        <v>138</v>
      </c>
      <c r="B83" s="35" t="s">
        <v>133</v>
      </c>
      <c r="C83" s="35"/>
      <c r="D83" s="35" t="s">
        <v>87</v>
      </c>
      <c r="E83" s="35"/>
      <c r="F83" s="1">
        <v>32359.18</v>
      </c>
      <c r="G83" s="1">
        <v>0</v>
      </c>
      <c r="H83" s="1">
        <v>4667.78</v>
      </c>
      <c r="I83" s="1">
        <v>0</v>
      </c>
      <c r="J83" s="1">
        <v>13075.38</v>
      </c>
      <c r="K83" s="1">
        <v>0</v>
      </c>
      <c r="L83" s="1">
        <v>10807.51</v>
      </c>
      <c r="M83" s="1">
        <v>0</v>
      </c>
      <c r="N83" s="1">
        <v>0</v>
      </c>
      <c r="O83" s="1">
        <v>0</v>
      </c>
      <c r="P83" s="1">
        <v>5742.56</v>
      </c>
      <c r="Q83" s="1">
        <v>0</v>
      </c>
      <c r="R83" s="1">
        <v>0</v>
      </c>
      <c r="S83" s="1">
        <v>0</v>
      </c>
      <c r="T83" s="1">
        <v>31136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35"/>
      <c r="AF83" s="4">
        <f t="shared" si="1"/>
        <v>97788.41</v>
      </c>
    </row>
    <row r="84" spans="1:64">
      <c r="A84" s="4">
        <v>52</v>
      </c>
      <c r="B84" s="35" t="s">
        <v>456</v>
      </c>
      <c r="C84" s="35"/>
      <c r="D84" s="35" t="s">
        <v>483</v>
      </c>
      <c r="E84" s="35"/>
      <c r="F84" s="1">
        <v>846031.95</v>
      </c>
      <c r="G84" s="1"/>
      <c r="H84" s="1">
        <v>827740.68</v>
      </c>
      <c r="I84" s="1"/>
      <c r="J84" s="1">
        <v>684920.37</v>
      </c>
      <c r="K84" s="1"/>
      <c r="L84" s="1">
        <v>120610.26</v>
      </c>
      <c r="M84" s="1"/>
      <c r="N84" s="1">
        <v>0</v>
      </c>
      <c r="O84" s="1"/>
      <c r="P84" s="1">
        <v>35007.06</v>
      </c>
      <c r="Q84" s="1"/>
      <c r="R84" s="1">
        <v>46343.48</v>
      </c>
      <c r="S84" s="1"/>
      <c r="T84" s="1">
        <v>47911.75</v>
      </c>
      <c r="U84" s="1"/>
      <c r="V84" s="1">
        <v>0</v>
      </c>
      <c r="W84" s="1"/>
      <c r="X84" s="1">
        <v>0</v>
      </c>
      <c r="Y84" s="1"/>
      <c r="Z84" s="1">
        <v>0</v>
      </c>
      <c r="AA84" s="1"/>
      <c r="AB84" s="1">
        <v>0</v>
      </c>
      <c r="AC84" s="1"/>
      <c r="AD84" s="1">
        <v>0</v>
      </c>
      <c r="AE84" s="35"/>
      <c r="AF84" s="4">
        <f t="shared" si="1"/>
        <v>2608565.5499999998</v>
      </c>
    </row>
    <row r="85" spans="1:64">
      <c r="A85" s="4">
        <v>39</v>
      </c>
      <c r="B85" s="4" t="s">
        <v>567</v>
      </c>
      <c r="D85" s="3" t="s">
        <v>51</v>
      </c>
      <c r="F85" s="1">
        <v>251746.59</v>
      </c>
      <c r="G85" s="1"/>
      <c r="H85" s="1">
        <v>152174.20000000001</v>
      </c>
      <c r="I85" s="1"/>
      <c r="J85" s="1">
        <v>117346.58</v>
      </c>
      <c r="K85" s="1"/>
      <c r="L85" s="1">
        <v>40061.71</v>
      </c>
      <c r="M85" s="1"/>
      <c r="N85" s="1">
        <v>0</v>
      </c>
      <c r="O85" s="1"/>
      <c r="P85" s="1">
        <v>6490.84</v>
      </c>
      <c r="Q85" s="1"/>
      <c r="R85" s="1">
        <v>8081</v>
      </c>
      <c r="S85" s="1"/>
      <c r="T85" s="1">
        <v>2553.5500000000002</v>
      </c>
      <c r="U85" s="1"/>
      <c r="V85" s="1">
        <v>0</v>
      </c>
      <c r="W85" s="1"/>
      <c r="X85" s="1">
        <v>0</v>
      </c>
      <c r="Y85" s="1"/>
      <c r="Z85" s="1">
        <v>0</v>
      </c>
      <c r="AA85" s="1"/>
      <c r="AB85" s="1">
        <v>0</v>
      </c>
      <c r="AC85" s="1"/>
      <c r="AD85" s="1">
        <v>0</v>
      </c>
      <c r="AE85" s="4"/>
      <c r="AF85" s="4">
        <f t="shared" si="1"/>
        <v>578454.47000000009</v>
      </c>
    </row>
    <row r="86" spans="1:64">
      <c r="A86" s="4"/>
      <c r="F86" s="1"/>
      <c r="G86" s="6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4"/>
      <c r="AF86" s="4"/>
    </row>
    <row r="87" spans="1:64" ht="14.25" customHeight="1">
      <c r="A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8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4"/>
    </row>
    <row r="88" spans="1:64">
      <c r="B88" s="3" t="s">
        <v>524</v>
      </c>
    </row>
    <row r="89" spans="1:64">
      <c r="B89" s="3" t="s">
        <v>635</v>
      </c>
    </row>
    <row r="90" spans="1:64">
      <c r="B90" s="41" t="s">
        <v>7</v>
      </c>
    </row>
    <row r="91" spans="1:64" s="36" customFormat="1">
      <c r="L91" s="36" t="s">
        <v>8</v>
      </c>
    </row>
    <row r="92" spans="1:64" s="36" customFormat="1">
      <c r="H92" s="36" t="s">
        <v>321</v>
      </c>
      <c r="J92" s="36" t="s">
        <v>323</v>
      </c>
      <c r="L92" s="36" t="s">
        <v>555</v>
      </c>
      <c r="N92" s="36" t="s">
        <v>554</v>
      </c>
      <c r="X92" s="36" t="s">
        <v>330</v>
      </c>
      <c r="AD92" s="36" t="s">
        <v>0</v>
      </c>
    </row>
    <row r="93" spans="1:64" s="36" customFormat="1">
      <c r="H93" s="36" t="s">
        <v>322</v>
      </c>
      <c r="J93" s="36" t="s">
        <v>324</v>
      </c>
      <c r="L93" s="36" t="s">
        <v>325</v>
      </c>
      <c r="N93" s="36" t="s">
        <v>552</v>
      </c>
      <c r="T93" s="36" t="s">
        <v>30</v>
      </c>
      <c r="V93" s="36" t="s">
        <v>328</v>
      </c>
      <c r="X93" s="36" t="s">
        <v>331</v>
      </c>
      <c r="AD93" s="36" t="s">
        <v>296</v>
      </c>
    </row>
    <row r="94" spans="1:64" s="36" customFormat="1" ht="12" customHeight="1">
      <c r="A94" s="36" t="s">
        <v>578</v>
      </c>
      <c r="B94" s="37" t="s">
        <v>8</v>
      </c>
      <c r="D94" s="37" t="s">
        <v>6</v>
      </c>
      <c r="F94" s="37" t="s">
        <v>2</v>
      </c>
      <c r="H94" s="37" t="s">
        <v>3</v>
      </c>
      <c r="J94" s="37" t="s">
        <v>29</v>
      </c>
      <c r="L94" s="37" t="s">
        <v>326</v>
      </c>
      <c r="N94" s="37" t="s">
        <v>553</v>
      </c>
      <c r="P94" s="37" t="s">
        <v>4</v>
      </c>
      <c r="R94" s="37" t="s">
        <v>0</v>
      </c>
      <c r="T94" s="37" t="s">
        <v>327</v>
      </c>
      <c r="V94" s="37" t="s">
        <v>329</v>
      </c>
      <c r="X94" s="37" t="s">
        <v>332</v>
      </c>
      <c r="Z94" s="37" t="s">
        <v>506</v>
      </c>
      <c r="AB94" s="37" t="s">
        <v>507</v>
      </c>
      <c r="AD94" s="37" t="s">
        <v>333</v>
      </c>
      <c r="AF94" s="46" t="s">
        <v>28</v>
      </c>
    </row>
    <row r="95" spans="1:64">
      <c r="A95" s="4">
        <v>40</v>
      </c>
      <c r="B95" s="3" t="s">
        <v>134</v>
      </c>
      <c r="D95" s="3" t="s">
        <v>51</v>
      </c>
      <c r="F95" s="2">
        <v>172564.15</v>
      </c>
      <c r="G95" s="2"/>
      <c r="H95" s="2">
        <v>60560.39</v>
      </c>
      <c r="I95" s="2"/>
      <c r="J95" s="2">
        <v>33474.78</v>
      </c>
      <c r="K95" s="2"/>
      <c r="L95" s="2">
        <v>56204.24</v>
      </c>
      <c r="M95" s="2"/>
      <c r="N95" s="2">
        <v>0</v>
      </c>
      <c r="O95" s="2"/>
      <c r="P95" s="2">
        <v>12878.48</v>
      </c>
      <c r="Q95" s="2"/>
      <c r="R95" s="2">
        <v>429.86</v>
      </c>
      <c r="S95" s="2"/>
      <c r="T95" s="2">
        <v>0</v>
      </c>
      <c r="U95" s="2"/>
      <c r="V95" s="2">
        <v>0</v>
      </c>
      <c r="W95" s="2"/>
      <c r="X95" s="2">
        <v>0</v>
      </c>
      <c r="Y95" s="2"/>
      <c r="Z95" s="2">
        <v>0</v>
      </c>
      <c r="AA95" s="2"/>
      <c r="AB95" s="2">
        <v>0</v>
      </c>
      <c r="AC95" s="2"/>
      <c r="AD95" s="2">
        <v>0</v>
      </c>
      <c r="AE95" s="4"/>
      <c r="AF95" s="7">
        <f t="shared" ref="AF95" si="2">SUM(F95:AD95)</f>
        <v>336111.89999999991</v>
      </c>
    </row>
    <row r="96" spans="1:64">
      <c r="A96" s="4">
        <v>155</v>
      </c>
      <c r="B96" s="3" t="s">
        <v>429</v>
      </c>
      <c r="D96" s="3" t="s">
        <v>20</v>
      </c>
      <c r="F96" s="1">
        <v>0</v>
      </c>
      <c r="G96" s="1">
        <v>0</v>
      </c>
      <c r="H96" s="1">
        <v>0</v>
      </c>
      <c r="I96" s="1">
        <v>0</v>
      </c>
      <c r="J96" s="1">
        <v>201237</v>
      </c>
      <c r="K96" s="1">
        <v>0</v>
      </c>
      <c r="L96" s="1">
        <v>508720</v>
      </c>
      <c r="M96" s="1">
        <v>0</v>
      </c>
      <c r="N96" s="1">
        <v>211703</v>
      </c>
      <c r="O96" s="1">
        <v>0</v>
      </c>
      <c r="P96" s="1">
        <v>0</v>
      </c>
      <c r="Q96" s="1">
        <v>0</v>
      </c>
      <c r="R96" s="1">
        <f>554429+391678</f>
        <v>946107</v>
      </c>
      <c r="S96" s="1">
        <v>0</v>
      </c>
      <c r="T96" s="1">
        <v>11452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8964</v>
      </c>
      <c r="AA96" s="1">
        <v>0</v>
      </c>
      <c r="AB96" s="1">
        <v>0</v>
      </c>
      <c r="AC96" s="1">
        <v>0</v>
      </c>
      <c r="AD96" s="1">
        <v>0</v>
      </c>
      <c r="AE96" s="4"/>
      <c r="AF96" s="4">
        <f t="shared" ref="AF96" si="3">SUM(F96:AD96)</f>
        <v>1888183</v>
      </c>
    </row>
    <row r="97" spans="1:64" s="7" customFormat="1">
      <c r="A97" s="7">
        <v>142</v>
      </c>
      <c r="B97" s="7" t="s">
        <v>135</v>
      </c>
      <c r="D97" s="7" t="s">
        <v>57</v>
      </c>
      <c r="F97" s="1">
        <v>1739758</v>
      </c>
      <c r="G97" s="1">
        <v>0</v>
      </c>
      <c r="H97" s="1">
        <v>535853</v>
      </c>
      <c r="I97" s="1">
        <v>0</v>
      </c>
      <c r="J97" s="1">
        <v>604339</v>
      </c>
      <c r="K97" s="1">
        <v>0</v>
      </c>
      <c r="L97" s="1">
        <v>433994</v>
      </c>
      <c r="M97" s="1">
        <v>0</v>
      </c>
      <c r="N97" s="1">
        <v>0</v>
      </c>
      <c r="O97" s="1">
        <v>0</v>
      </c>
      <c r="P97" s="1">
        <v>38749</v>
      </c>
      <c r="Q97" s="1">
        <v>0</v>
      </c>
      <c r="R97" s="1">
        <v>4697</v>
      </c>
      <c r="S97" s="1">
        <v>0</v>
      </c>
      <c r="T97" s="1">
        <v>44987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4"/>
      <c r="AF97" s="4">
        <f t="shared" ref="AF97:AF131" si="4">SUM(F97:AD97)</f>
        <v>3402377</v>
      </c>
      <c r="AG97" s="47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</row>
    <row r="98" spans="1:64">
      <c r="A98" s="4">
        <v>53</v>
      </c>
      <c r="B98" s="3" t="s">
        <v>18</v>
      </c>
      <c r="D98" s="3" t="s">
        <v>19</v>
      </c>
      <c r="F98" s="1">
        <v>2977175</v>
      </c>
      <c r="G98" s="1">
        <v>0</v>
      </c>
      <c r="H98" s="1">
        <v>0</v>
      </c>
      <c r="I98" s="1">
        <v>0</v>
      </c>
      <c r="J98" s="1">
        <v>685934</v>
      </c>
      <c r="K98" s="1">
        <v>0</v>
      </c>
      <c r="L98" s="1">
        <v>670448</v>
      </c>
      <c r="M98" s="1">
        <v>0</v>
      </c>
      <c r="N98" s="1">
        <v>0</v>
      </c>
      <c r="O98" s="1">
        <v>0</v>
      </c>
      <c r="P98" s="1">
        <v>77972</v>
      </c>
      <c r="Q98" s="1">
        <v>0</v>
      </c>
      <c r="R98" s="1">
        <v>12221</v>
      </c>
      <c r="S98" s="1">
        <v>0</v>
      </c>
      <c r="T98" s="1">
        <v>83966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4"/>
      <c r="AF98" s="4">
        <f t="shared" si="4"/>
        <v>4507716</v>
      </c>
      <c r="AR98" s="3">
        <v>1073.2</v>
      </c>
    </row>
    <row r="99" spans="1:64">
      <c r="A99" s="4">
        <v>84</v>
      </c>
      <c r="B99" s="3" t="s">
        <v>136</v>
      </c>
      <c r="D99" s="3" t="s">
        <v>42</v>
      </c>
      <c r="F99" s="1">
        <v>126812.32</v>
      </c>
      <c r="G99" s="1"/>
      <c r="H99" s="1">
        <v>33207.089999999997</v>
      </c>
      <c r="I99" s="1"/>
      <c r="J99" s="1">
        <v>36487.040000000001</v>
      </c>
      <c r="K99" s="1"/>
      <c r="L99" s="1">
        <v>22745.71</v>
      </c>
      <c r="M99" s="1"/>
      <c r="N99" s="1">
        <v>0</v>
      </c>
      <c r="O99" s="1"/>
      <c r="P99" s="1">
        <v>20036.25</v>
      </c>
      <c r="Q99" s="1"/>
      <c r="R99" s="1">
        <v>2812.01</v>
      </c>
      <c r="S99" s="1"/>
      <c r="T99" s="1">
        <v>7390.19</v>
      </c>
      <c r="U99" s="1"/>
      <c r="V99" s="1">
        <v>0</v>
      </c>
      <c r="W99" s="1"/>
      <c r="X99" s="1">
        <v>0</v>
      </c>
      <c r="Y99" s="1"/>
      <c r="Z99" s="1">
        <v>0</v>
      </c>
      <c r="AA99" s="1"/>
      <c r="AB99" s="1">
        <v>0</v>
      </c>
      <c r="AC99" s="1"/>
      <c r="AD99" s="1">
        <v>0</v>
      </c>
      <c r="AE99" s="4"/>
      <c r="AF99" s="4">
        <f t="shared" si="4"/>
        <v>249490.61000000002</v>
      </c>
      <c r="AR99" s="3">
        <v>811.54</v>
      </c>
    </row>
    <row r="100" spans="1:64">
      <c r="A100" s="4"/>
      <c r="B100" s="3" t="s">
        <v>637</v>
      </c>
      <c r="D100" s="3" t="s">
        <v>89</v>
      </c>
      <c r="F100" s="1">
        <v>397712</v>
      </c>
      <c r="G100" s="1">
        <v>0</v>
      </c>
      <c r="H100" s="1">
        <v>95835</v>
      </c>
      <c r="I100" s="1">
        <v>0</v>
      </c>
      <c r="J100" s="1">
        <v>72780</v>
      </c>
      <c r="K100" s="1">
        <v>0</v>
      </c>
      <c r="L100" s="1">
        <v>15448</v>
      </c>
      <c r="M100" s="1">
        <v>0</v>
      </c>
      <c r="N100" s="1">
        <v>0</v>
      </c>
      <c r="O100" s="1">
        <v>0</v>
      </c>
      <c r="P100" s="1">
        <v>11969</v>
      </c>
      <c r="Q100" s="1">
        <v>0</v>
      </c>
      <c r="R100" s="1">
        <v>20492</v>
      </c>
      <c r="S100" s="1">
        <v>0</v>
      </c>
      <c r="T100" s="1">
        <v>1000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4"/>
      <c r="AF100" s="4">
        <f t="shared" si="4"/>
        <v>615236</v>
      </c>
    </row>
    <row r="101" spans="1:64">
      <c r="A101" s="4">
        <v>70</v>
      </c>
      <c r="B101" s="7" t="s">
        <v>437</v>
      </c>
      <c r="C101" s="7"/>
      <c r="D101" s="7" t="s">
        <v>67</v>
      </c>
      <c r="E101" s="7"/>
      <c r="F101" s="1">
        <v>1312551</v>
      </c>
      <c r="G101" s="1">
        <v>0</v>
      </c>
      <c r="H101" s="1">
        <v>418361</v>
      </c>
      <c r="I101" s="1">
        <v>0</v>
      </c>
      <c r="J101" s="1">
        <v>509097</v>
      </c>
      <c r="K101" s="1">
        <v>0</v>
      </c>
      <c r="L101" s="1">
        <v>325667</v>
      </c>
      <c r="M101" s="1">
        <v>0</v>
      </c>
      <c r="N101" s="1">
        <v>0</v>
      </c>
      <c r="O101" s="1">
        <v>0</v>
      </c>
      <c r="P101" s="1">
        <v>70722</v>
      </c>
      <c r="Q101" s="1">
        <v>0</v>
      </c>
      <c r="R101" s="1">
        <v>8771</v>
      </c>
      <c r="S101" s="1">
        <v>0</v>
      </c>
      <c r="T101" s="1">
        <v>44478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72331</v>
      </c>
      <c r="AA101" s="1">
        <v>0</v>
      </c>
      <c r="AB101" s="1">
        <v>0</v>
      </c>
      <c r="AC101" s="1">
        <v>0</v>
      </c>
      <c r="AD101" s="1">
        <v>0</v>
      </c>
      <c r="AE101" s="4"/>
      <c r="AF101" s="4">
        <f t="shared" si="4"/>
        <v>2761978</v>
      </c>
      <c r="AG101" s="48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4"/>
    </row>
    <row r="102" spans="1:64">
      <c r="A102" s="4">
        <v>123</v>
      </c>
      <c r="B102" s="3" t="s">
        <v>137</v>
      </c>
      <c r="D102" s="3" t="s">
        <v>15</v>
      </c>
      <c r="F102" s="1">
        <v>200631</v>
      </c>
      <c r="G102" s="1">
        <v>0</v>
      </c>
      <c r="H102" s="1">
        <v>60708</v>
      </c>
      <c r="I102" s="1">
        <v>0</v>
      </c>
      <c r="J102" s="1">
        <v>47633</v>
      </c>
      <c r="K102" s="1">
        <v>0</v>
      </c>
      <c r="L102" s="1">
        <v>49017</v>
      </c>
      <c r="M102" s="1">
        <v>0</v>
      </c>
      <c r="N102" s="1">
        <v>0</v>
      </c>
      <c r="O102" s="1">
        <v>0</v>
      </c>
      <c r="P102" s="1">
        <v>10421</v>
      </c>
      <c r="Q102" s="1">
        <v>0</v>
      </c>
      <c r="R102" s="1">
        <v>2210</v>
      </c>
      <c r="S102" s="1">
        <v>0</v>
      </c>
      <c r="T102" s="1">
        <v>170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4"/>
      <c r="AF102" s="4">
        <f t="shared" si="4"/>
        <v>370790</v>
      </c>
      <c r="AR102" s="3">
        <v>2070.62</v>
      </c>
    </row>
    <row r="103" spans="1:64">
      <c r="A103" s="4">
        <v>93</v>
      </c>
      <c r="B103" s="3" t="s">
        <v>597</v>
      </c>
      <c r="D103" s="3" t="s">
        <v>139</v>
      </c>
      <c r="F103" s="1">
        <v>1017441.27</v>
      </c>
      <c r="G103" s="1"/>
      <c r="H103" s="1">
        <v>413766.51</v>
      </c>
      <c r="I103" s="1"/>
      <c r="J103" s="1">
        <v>284542.53999999998</v>
      </c>
      <c r="K103" s="1"/>
      <c r="L103" s="1">
        <v>206033.25</v>
      </c>
      <c r="M103" s="1"/>
      <c r="N103" s="1">
        <v>0</v>
      </c>
      <c r="O103" s="1"/>
      <c r="P103" s="1">
        <v>75867.399999999994</v>
      </c>
      <c r="Q103" s="1"/>
      <c r="R103" s="1">
        <v>9718</v>
      </c>
      <c r="S103" s="1"/>
      <c r="T103" s="1">
        <v>183194.62</v>
      </c>
      <c r="U103" s="1"/>
      <c r="V103" s="1">
        <v>0</v>
      </c>
      <c r="W103" s="1"/>
      <c r="X103" s="1">
        <v>18272.5</v>
      </c>
      <c r="Y103" s="1"/>
      <c r="Z103" s="1">
        <v>235000</v>
      </c>
      <c r="AA103" s="1"/>
      <c r="AB103" s="1">
        <v>0</v>
      </c>
      <c r="AC103" s="1"/>
      <c r="AD103" s="1">
        <v>0</v>
      </c>
      <c r="AE103" s="4"/>
      <c r="AF103" s="4">
        <f t="shared" si="4"/>
        <v>2443836.09</v>
      </c>
    </row>
    <row r="104" spans="1:64" hidden="1">
      <c r="A104" s="4">
        <v>93</v>
      </c>
      <c r="B104" s="3" t="s">
        <v>365</v>
      </c>
      <c r="D104" s="3" t="s">
        <v>494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4"/>
      <c r="AF104" s="4">
        <f t="shared" ref="AF104" si="5">SUM(F104:AD104)</f>
        <v>0</v>
      </c>
    </row>
    <row r="105" spans="1:64">
      <c r="A105" s="4">
        <v>97</v>
      </c>
      <c r="B105" s="3" t="s">
        <v>140</v>
      </c>
      <c r="D105" s="3" t="s">
        <v>61</v>
      </c>
      <c r="F105" s="1">
        <v>47114.36</v>
      </c>
      <c r="G105" s="1"/>
      <c r="H105" s="1">
        <v>13324.45</v>
      </c>
      <c r="I105" s="1"/>
      <c r="J105" s="1">
        <v>22590.39</v>
      </c>
      <c r="K105" s="1"/>
      <c r="L105" s="1">
        <v>20293.98</v>
      </c>
      <c r="M105" s="1"/>
      <c r="N105" s="1">
        <v>0</v>
      </c>
      <c r="O105" s="1"/>
      <c r="P105" s="1">
        <v>3055.11</v>
      </c>
      <c r="Q105" s="1"/>
      <c r="R105" s="1">
        <v>1469</v>
      </c>
      <c r="S105" s="1"/>
      <c r="T105" s="1">
        <v>406.09</v>
      </c>
      <c r="U105" s="1"/>
      <c r="V105" s="1">
        <v>0</v>
      </c>
      <c r="W105" s="1"/>
      <c r="X105" s="1">
        <v>0</v>
      </c>
      <c r="Y105" s="1"/>
      <c r="Z105" s="1">
        <v>0</v>
      </c>
      <c r="AA105" s="1"/>
      <c r="AB105" s="1">
        <v>0</v>
      </c>
      <c r="AC105" s="1"/>
      <c r="AD105" s="1">
        <v>0</v>
      </c>
      <c r="AE105" s="4"/>
      <c r="AF105" s="4">
        <f t="shared" si="4"/>
        <v>108253.37999999999</v>
      </c>
    </row>
    <row r="106" spans="1:64">
      <c r="A106" s="4">
        <v>159</v>
      </c>
      <c r="B106" s="3" t="s">
        <v>141</v>
      </c>
      <c r="D106" s="3" t="s">
        <v>50</v>
      </c>
      <c r="F106" s="1">
        <v>51188</v>
      </c>
      <c r="G106" s="1">
        <v>0</v>
      </c>
      <c r="H106" s="1">
        <v>7760</v>
      </c>
      <c r="I106" s="1">
        <v>0</v>
      </c>
      <c r="J106" s="1">
        <v>16215</v>
      </c>
      <c r="K106" s="1">
        <v>0</v>
      </c>
      <c r="L106" s="1">
        <v>20581</v>
      </c>
      <c r="M106" s="1">
        <v>0</v>
      </c>
      <c r="N106" s="1">
        <v>0</v>
      </c>
      <c r="O106" s="1">
        <v>0</v>
      </c>
      <c r="P106" s="1">
        <v>6224</v>
      </c>
      <c r="Q106" s="1">
        <v>0</v>
      </c>
      <c r="R106" s="1">
        <v>630</v>
      </c>
      <c r="S106" s="1">
        <v>0</v>
      </c>
      <c r="T106" s="1">
        <v>6968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4"/>
      <c r="AF106" s="4">
        <f t="shared" si="4"/>
        <v>109566</v>
      </c>
      <c r="AG106" s="48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4"/>
    </row>
    <row r="107" spans="1:64">
      <c r="A107" s="4">
        <v>240</v>
      </c>
      <c r="B107" s="3" t="s">
        <v>142</v>
      </c>
      <c r="D107" s="3" t="s">
        <v>54</v>
      </c>
      <c r="F107" s="1">
        <v>659889.44999999995</v>
      </c>
      <c r="G107" s="1"/>
      <c r="H107" s="1">
        <v>200600.59</v>
      </c>
      <c r="I107" s="1"/>
      <c r="J107" s="1">
        <v>219474.86</v>
      </c>
      <c r="K107" s="1"/>
      <c r="L107" s="1">
        <v>265849.52</v>
      </c>
      <c r="M107" s="1"/>
      <c r="N107" s="1">
        <v>0</v>
      </c>
      <c r="O107" s="1"/>
      <c r="P107" s="1">
        <v>28635.25</v>
      </c>
      <c r="Q107" s="1"/>
      <c r="R107" s="1">
        <v>2500</v>
      </c>
      <c r="S107" s="1"/>
      <c r="T107" s="1">
        <v>82999</v>
      </c>
      <c r="U107" s="1"/>
      <c r="V107" s="1">
        <v>0</v>
      </c>
      <c r="W107" s="1"/>
      <c r="X107" s="1">
        <v>0</v>
      </c>
      <c r="Y107" s="1"/>
      <c r="Z107" s="1">
        <v>213000</v>
      </c>
      <c r="AA107" s="1"/>
      <c r="AB107" s="1">
        <v>0</v>
      </c>
      <c r="AC107" s="1"/>
      <c r="AD107" s="1">
        <v>12816</v>
      </c>
      <c r="AE107" s="4"/>
      <c r="AF107" s="4">
        <f t="shared" si="4"/>
        <v>1685764.67</v>
      </c>
    </row>
    <row r="108" spans="1:64">
      <c r="A108" s="4">
        <v>48</v>
      </c>
      <c r="B108" s="35" t="s">
        <v>143</v>
      </c>
      <c r="C108" s="35"/>
      <c r="D108" s="35" t="s">
        <v>482</v>
      </c>
      <c r="E108" s="35"/>
      <c r="F108" s="1">
        <v>273513.01</v>
      </c>
      <c r="G108" s="1"/>
      <c r="H108" s="1">
        <v>65302.05</v>
      </c>
      <c r="I108" s="1"/>
      <c r="J108" s="1">
        <v>89074.240000000005</v>
      </c>
      <c r="K108" s="1"/>
      <c r="L108" s="1">
        <v>64184.39</v>
      </c>
      <c r="M108" s="1"/>
      <c r="N108" s="1">
        <v>0</v>
      </c>
      <c r="O108" s="1"/>
      <c r="P108" s="1">
        <v>9820.58</v>
      </c>
      <c r="Q108" s="1"/>
      <c r="R108" s="1">
        <v>2895.41</v>
      </c>
      <c r="S108" s="1"/>
      <c r="T108" s="1">
        <v>3254.83</v>
      </c>
      <c r="U108" s="1"/>
      <c r="V108" s="1">
        <v>0</v>
      </c>
      <c r="W108" s="1"/>
      <c r="X108" s="1">
        <v>0</v>
      </c>
      <c r="Y108" s="1"/>
      <c r="Z108" s="1">
        <v>0</v>
      </c>
      <c r="AA108" s="1"/>
      <c r="AB108" s="1">
        <v>0</v>
      </c>
      <c r="AC108" s="1"/>
      <c r="AD108" s="1">
        <v>0</v>
      </c>
      <c r="AE108" s="35"/>
      <c r="AF108" s="4">
        <f t="shared" si="4"/>
        <v>508044.51</v>
      </c>
    </row>
    <row r="109" spans="1:64">
      <c r="A109" s="4">
        <v>190</v>
      </c>
      <c r="B109" s="3" t="s">
        <v>144</v>
      </c>
      <c r="D109" s="3" t="s">
        <v>145</v>
      </c>
      <c r="F109" s="1">
        <v>500937</v>
      </c>
      <c r="G109" s="1">
        <v>0</v>
      </c>
      <c r="H109" s="1">
        <v>153216</v>
      </c>
      <c r="I109" s="1">
        <v>0</v>
      </c>
      <c r="J109" s="1">
        <v>155704</v>
      </c>
      <c r="K109" s="1">
        <v>0</v>
      </c>
      <c r="L109" s="1">
        <v>120610</v>
      </c>
      <c r="M109" s="1">
        <v>0</v>
      </c>
      <c r="N109" s="1">
        <v>0</v>
      </c>
      <c r="O109" s="1">
        <v>0</v>
      </c>
      <c r="P109" s="1">
        <v>20731</v>
      </c>
      <c r="Q109" s="1">
        <v>0</v>
      </c>
      <c r="R109" s="1">
        <v>4728</v>
      </c>
      <c r="S109" s="1">
        <v>0</v>
      </c>
      <c r="T109" s="1">
        <v>90762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4"/>
      <c r="AF109" s="4">
        <f t="shared" si="4"/>
        <v>1046688</v>
      </c>
      <c r="AO109" s="3">
        <f>+AO108+6837.16</f>
        <v>6837.16</v>
      </c>
      <c r="AR109" s="3">
        <v>23.2</v>
      </c>
    </row>
    <row r="110" spans="1:64">
      <c r="A110" s="4">
        <v>90</v>
      </c>
      <c r="B110" s="3" t="s">
        <v>146</v>
      </c>
      <c r="D110" s="3" t="s">
        <v>17</v>
      </c>
      <c r="F110" s="1">
        <v>2833009</v>
      </c>
      <c r="G110" s="1">
        <v>0</v>
      </c>
      <c r="H110" s="1">
        <v>688390</v>
      </c>
      <c r="I110" s="1">
        <v>0</v>
      </c>
      <c r="J110" s="1">
        <v>809015</v>
      </c>
      <c r="K110" s="1">
        <v>0</v>
      </c>
      <c r="L110" s="1">
        <v>720206</v>
      </c>
      <c r="M110" s="1">
        <v>0</v>
      </c>
      <c r="N110" s="1">
        <v>0</v>
      </c>
      <c r="O110" s="1">
        <v>0</v>
      </c>
      <c r="P110" s="1">
        <v>93862</v>
      </c>
      <c r="Q110" s="1">
        <v>0</v>
      </c>
      <c r="R110" s="1">
        <v>13210</v>
      </c>
      <c r="S110" s="1">
        <v>0</v>
      </c>
      <c r="T110" s="1">
        <v>111863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687686</v>
      </c>
      <c r="AA110" s="1">
        <v>0</v>
      </c>
      <c r="AB110" s="1">
        <v>0</v>
      </c>
      <c r="AC110" s="1">
        <v>0</v>
      </c>
      <c r="AD110" s="1">
        <v>0</v>
      </c>
      <c r="AE110" s="4"/>
      <c r="AF110" s="4">
        <f t="shared" si="4"/>
        <v>5957241</v>
      </c>
    </row>
    <row r="111" spans="1:64">
      <c r="A111" s="4">
        <v>170</v>
      </c>
      <c r="B111" s="35" t="s">
        <v>147</v>
      </c>
      <c r="C111" s="35"/>
      <c r="D111" s="35" t="s">
        <v>497</v>
      </c>
      <c r="E111" s="35"/>
      <c r="F111" s="1">
        <v>325069.28999999998</v>
      </c>
      <c r="G111" s="1"/>
      <c r="H111" s="1">
        <v>76861.27</v>
      </c>
      <c r="I111" s="1"/>
      <c r="J111" s="1">
        <v>67823.92</v>
      </c>
      <c r="K111" s="1"/>
      <c r="L111" s="1">
        <v>46434.63</v>
      </c>
      <c r="M111" s="1"/>
      <c r="N111" s="1">
        <v>0</v>
      </c>
      <c r="O111" s="1"/>
      <c r="P111" s="1">
        <v>9464.2099999999991</v>
      </c>
      <c r="Q111" s="1"/>
      <c r="R111" s="1">
        <v>4523.38</v>
      </c>
      <c r="S111" s="1"/>
      <c r="T111" s="1">
        <v>3184.7</v>
      </c>
      <c r="U111" s="1"/>
      <c r="V111" s="1">
        <v>0</v>
      </c>
      <c r="W111" s="1"/>
      <c r="X111" s="1">
        <v>0</v>
      </c>
      <c r="Y111" s="1"/>
      <c r="Z111" s="1">
        <v>0</v>
      </c>
      <c r="AA111" s="1"/>
      <c r="AB111" s="1">
        <v>0</v>
      </c>
      <c r="AC111" s="1"/>
      <c r="AD111" s="1">
        <v>0</v>
      </c>
      <c r="AE111" s="35"/>
      <c r="AF111" s="4">
        <f t="shared" si="4"/>
        <v>533361.39999999991</v>
      </c>
    </row>
    <row r="112" spans="1:64" s="4" customFormat="1">
      <c r="A112" s="4">
        <v>224</v>
      </c>
      <c r="B112" s="3" t="s">
        <v>34</v>
      </c>
      <c r="C112" s="3"/>
      <c r="D112" s="3" t="s">
        <v>56</v>
      </c>
      <c r="E112" s="3"/>
      <c r="F112" s="1">
        <v>372658.07</v>
      </c>
      <c r="G112" s="1"/>
      <c r="H112" s="1">
        <v>135630.5</v>
      </c>
      <c r="I112" s="1"/>
      <c r="J112" s="1">
        <v>75745.39</v>
      </c>
      <c r="K112" s="1"/>
      <c r="L112" s="1">
        <v>40540.74</v>
      </c>
      <c r="M112" s="1"/>
      <c r="N112" s="1">
        <v>0</v>
      </c>
      <c r="O112" s="1"/>
      <c r="P112" s="1">
        <v>18492.62</v>
      </c>
      <c r="Q112" s="1"/>
      <c r="R112" s="1">
        <v>245</v>
      </c>
      <c r="S112" s="1"/>
      <c r="T112" s="1">
        <v>0</v>
      </c>
      <c r="U112" s="1"/>
      <c r="V112" s="1">
        <v>0</v>
      </c>
      <c r="W112" s="1"/>
      <c r="X112" s="1">
        <v>0</v>
      </c>
      <c r="Y112" s="1"/>
      <c r="Z112" s="1">
        <v>0</v>
      </c>
      <c r="AA112" s="1"/>
      <c r="AB112" s="1">
        <v>0</v>
      </c>
      <c r="AC112" s="1"/>
      <c r="AD112" s="1">
        <v>0</v>
      </c>
      <c r="AF112" s="4">
        <f t="shared" ref="AF112" si="6">SUM(F112:AD112)</f>
        <v>643312.31999999995</v>
      </c>
      <c r="AR112" s="4">
        <v>2845</v>
      </c>
    </row>
    <row r="113" spans="1:64" s="4" customFormat="1">
      <c r="A113" s="4">
        <v>224</v>
      </c>
      <c r="B113" s="3" t="s">
        <v>35</v>
      </c>
      <c r="C113" s="3"/>
      <c r="D113" s="3" t="s">
        <v>26</v>
      </c>
      <c r="E113" s="3"/>
      <c r="F113" s="1">
        <v>60956.22</v>
      </c>
      <c r="G113" s="1"/>
      <c r="H113" s="1">
        <v>9232.49</v>
      </c>
      <c r="I113" s="1"/>
      <c r="J113" s="1">
        <v>11656.83</v>
      </c>
      <c r="K113" s="1"/>
      <c r="L113" s="1">
        <v>11632.11</v>
      </c>
      <c r="M113" s="1"/>
      <c r="N113" s="1">
        <v>0</v>
      </c>
      <c r="O113" s="1"/>
      <c r="P113" s="1">
        <v>4809.4399999999996</v>
      </c>
      <c r="Q113" s="1"/>
      <c r="R113" s="1">
        <v>566</v>
      </c>
      <c r="S113" s="1"/>
      <c r="T113" s="1">
        <v>0</v>
      </c>
      <c r="U113" s="1"/>
      <c r="V113" s="1">
        <v>0</v>
      </c>
      <c r="W113" s="1"/>
      <c r="X113" s="1">
        <v>0</v>
      </c>
      <c r="Y113" s="1"/>
      <c r="Z113" s="1">
        <v>0</v>
      </c>
      <c r="AA113" s="1"/>
      <c r="AB113" s="1">
        <v>0</v>
      </c>
      <c r="AC113" s="1"/>
      <c r="AD113" s="1">
        <v>0</v>
      </c>
      <c r="AF113" s="4">
        <f t="shared" si="4"/>
        <v>98853.090000000011</v>
      </c>
      <c r="AR113" s="4">
        <v>2845</v>
      </c>
    </row>
    <row r="114" spans="1:64" s="7" customFormat="1">
      <c r="A114" s="4">
        <v>143</v>
      </c>
      <c r="B114" s="3" t="s">
        <v>148</v>
      </c>
      <c r="C114" s="3"/>
      <c r="D114" s="3" t="s">
        <v>57</v>
      </c>
      <c r="E114" s="3"/>
      <c r="F114" s="1">
        <v>215531.68</v>
      </c>
      <c r="G114" s="1"/>
      <c r="H114" s="1">
        <v>79211.67</v>
      </c>
      <c r="I114" s="1"/>
      <c r="J114" s="1">
        <v>84870.02</v>
      </c>
      <c r="K114" s="1"/>
      <c r="L114" s="1">
        <v>72221.399999999994</v>
      </c>
      <c r="M114" s="1"/>
      <c r="N114" s="1">
        <v>0</v>
      </c>
      <c r="O114" s="1"/>
      <c r="P114" s="1">
        <v>6247.56</v>
      </c>
      <c r="Q114" s="1"/>
      <c r="R114" s="1">
        <v>5476.23</v>
      </c>
      <c r="S114" s="1"/>
      <c r="T114" s="1">
        <v>0</v>
      </c>
      <c r="U114" s="1"/>
      <c r="V114" s="1">
        <v>0</v>
      </c>
      <c r="W114" s="1"/>
      <c r="X114" s="1">
        <v>0</v>
      </c>
      <c r="Y114" s="1"/>
      <c r="Z114" s="1">
        <v>0</v>
      </c>
      <c r="AA114" s="1"/>
      <c r="AB114" s="1">
        <v>0</v>
      </c>
      <c r="AC114" s="1"/>
      <c r="AD114" s="1">
        <v>0</v>
      </c>
      <c r="AE114" s="4"/>
      <c r="AF114" s="4">
        <f t="shared" si="4"/>
        <v>463558.56</v>
      </c>
      <c r="AR114" s="7">
        <v>10653.53</v>
      </c>
    </row>
    <row r="115" spans="1:64">
      <c r="A115" s="4">
        <v>11</v>
      </c>
      <c r="B115" s="35" t="s">
        <v>304</v>
      </c>
      <c r="C115" s="35"/>
      <c r="D115" s="35" t="s">
        <v>471</v>
      </c>
      <c r="E115" s="35"/>
      <c r="F115" s="1">
        <v>95037.71</v>
      </c>
      <c r="G115" s="1"/>
      <c r="H115" s="1">
        <v>15045.44</v>
      </c>
      <c r="I115" s="1"/>
      <c r="J115" s="1">
        <v>23980.54</v>
      </c>
      <c r="K115" s="1"/>
      <c r="L115" s="1">
        <v>17338.810000000001</v>
      </c>
      <c r="M115" s="1"/>
      <c r="N115" s="1">
        <v>0</v>
      </c>
      <c r="O115" s="1"/>
      <c r="P115" s="1">
        <v>3802.81</v>
      </c>
      <c r="Q115" s="1"/>
      <c r="R115" s="1">
        <v>9555.2999999999993</v>
      </c>
      <c r="S115" s="1"/>
      <c r="T115" s="1">
        <v>11805.23</v>
      </c>
      <c r="U115" s="1"/>
      <c r="V115" s="1">
        <v>0</v>
      </c>
      <c r="W115" s="1"/>
      <c r="X115" s="1">
        <v>0</v>
      </c>
      <c r="Y115" s="1"/>
      <c r="Z115" s="1">
        <v>0</v>
      </c>
      <c r="AA115" s="1"/>
      <c r="AB115" s="1">
        <v>0</v>
      </c>
      <c r="AC115" s="1"/>
      <c r="AD115" s="1">
        <v>0</v>
      </c>
      <c r="AE115" s="35"/>
      <c r="AF115" s="4">
        <f t="shared" si="4"/>
        <v>176565.84</v>
      </c>
    </row>
    <row r="116" spans="1:64">
      <c r="A116" s="4">
        <v>77</v>
      </c>
      <c r="B116" s="3" t="s">
        <v>149</v>
      </c>
      <c r="D116" s="3" t="s">
        <v>92</v>
      </c>
      <c r="F116" s="1">
        <v>1113413</v>
      </c>
      <c r="G116" s="1">
        <v>0</v>
      </c>
      <c r="H116" s="1">
        <v>463177</v>
      </c>
      <c r="I116" s="1">
        <v>0</v>
      </c>
      <c r="J116" s="1">
        <v>345127</v>
      </c>
      <c r="K116" s="1">
        <v>0</v>
      </c>
      <c r="L116" s="1">
        <v>296897</v>
      </c>
      <c r="M116" s="1">
        <v>0</v>
      </c>
      <c r="N116" s="1">
        <v>0</v>
      </c>
      <c r="O116" s="1">
        <v>0</v>
      </c>
      <c r="P116" s="1">
        <v>34596</v>
      </c>
      <c r="Q116" s="1">
        <v>0</v>
      </c>
      <c r="R116" s="1">
        <v>4937</v>
      </c>
      <c r="S116" s="1">
        <v>0</v>
      </c>
      <c r="T116" s="1">
        <v>33354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40455</v>
      </c>
      <c r="AA116" s="1">
        <v>0</v>
      </c>
      <c r="AB116" s="1">
        <v>0</v>
      </c>
      <c r="AC116" s="1">
        <v>0</v>
      </c>
      <c r="AD116" s="1">
        <v>0</v>
      </c>
      <c r="AE116" s="4"/>
      <c r="AF116" s="4">
        <f t="shared" si="4"/>
        <v>2331956</v>
      </c>
    </row>
    <row r="117" spans="1:64" hidden="1">
      <c r="A117" s="4">
        <v>132</v>
      </c>
      <c r="B117" s="3" t="s">
        <v>150</v>
      </c>
      <c r="D117" s="3" t="s">
        <v>41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4"/>
      <c r="AF117" s="4">
        <f t="shared" si="4"/>
        <v>0</v>
      </c>
    </row>
    <row r="118" spans="1:64">
      <c r="A118" s="4">
        <v>91</v>
      </c>
      <c r="B118" s="3" t="s">
        <v>598</v>
      </c>
      <c r="D118" s="3" t="s">
        <v>152</v>
      </c>
      <c r="F118" s="1">
        <v>0</v>
      </c>
      <c r="G118" s="1">
        <v>0</v>
      </c>
      <c r="H118" s="1">
        <v>0</v>
      </c>
      <c r="I118" s="1">
        <v>0</v>
      </c>
      <c r="J118" s="1">
        <v>338561</v>
      </c>
      <c r="K118" s="1">
        <v>0</v>
      </c>
      <c r="L118" s="1">
        <f>3394092+664208+1417322</f>
        <v>5475622</v>
      </c>
      <c r="M118" s="1">
        <v>0</v>
      </c>
      <c r="N118" s="1">
        <v>771037</v>
      </c>
      <c r="O118" s="1">
        <v>0</v>
      </c>
      <c r="P118" s="1">
        <v>0</v>
      </c>
      <c r="Q118" s="1">
        <v>0</v>
      </c>
      <c r="R118" s="1">
        <f>1204842+25832</f>
        <v>1230674</v>
      </c>
      <c r="S118" s="1">
        <v>0</v>
      </c>
      <c r="T118" s="1">
        <v>70625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4"/>
      <c r="AF118" s="4">
        <f t="shared" si="4"/>
        <v>7886519</v>
      </c>
    </row>
    <row r="119" spans="1:64">
      <c r="A119" s="4">
        <v>59</v>
      </c>
      <c r="B119" s="3" t="s">
        <v>153</v>
      </c>
      <c r="D119" s="3" t="s">
        <v>81</v>
      </c>
      <c r="F119" s="1">
        <v>340000</v>
      </c>
      <c r="G119" s="1"/>
      <c r="H119" s="1">
        <v>97751.5</v>
      </c>
      <c r="I119" s="1"/>
      <c r="J119" s="1">
        <v>98945.02</v>
      </c>
      <c r="K119" s="1"/>
      <c r="L119" s="1">
        <v>54821.05</v>
      </c>
      <c r="M119" s="1"/>
      <c r="N119" s="1">
        <v>0</v>
      </c>
      <c r="O119" s="1"/>
      <c r="P119" s="1">
        <v>25192.17</v>
      </c>
      <c r="Q119" s="1"/>
      <c r="R119" s="1">
        <v>3585.27</v>
      </c>
      <c r="S119" s="1"/>
      <c r="T119" s="1">
        <v>92442.29</v>
      </c>
      <c r="U119" s="1"/>
      <c r="V119" s="1">
        <v>0</v>
      </c>
      <c r="W119" s="1"/>
      <c r="X119" s="1">
        <v>107350.56</v>
      </c>
      <c r="Y119" s="1"/>
      <c r="Z119" s="1">
        <v>0</v>
      </c>
      <c r="AA119" s="1"/>
      <c r="AB119" s="1">
        <v>0</v>
      </c>
      <c r="AC119" s="1"/>
      <c r="AD119" s="1">
        <v>0</v>
      </c>
      <c r="AE119" s="4"/>
      <c r="AF119" s="4">
        <f t="shared" si="4"/>
        <v>820087.8600000001</v>
      </c>
    </row>
    <row r="120" spans="1:64">
      <c r="A120" s="4">
        <v>92</v>
      </c>
      <c r="B120" s="3" t="s">
        <v>599</v>
      </c>
      <c r="D120" s="3" t="s">
        <v>154</v>
      </c>
      <c r="F120" s="1">
        <v>634373</v>
      </c>
      <c r="G120" s="1">
        <v>0</v>
      </c>
      <c r="H120" s="1">
        <v>318765</v>
      </c>
      <c r="I120" s="1">
        <v>0</v>
      </c>
      <c r="J120" s="1">
        <v>177104</v>
      </c>
      <c r="K120" s="1">
        <v>0</v>
      </c>
      <c r="L120" s="1">
        <v>178044</v>
      </c>
      <c r="M120" s="1">
        <v>0</v>
      </c>
      <c r="N120" s="1">
        <v>0</v>
      </c>
      <c r="O120" s="1">
        <v>0</v>
      </c>
      <c r="P120" s="1">
        <v>26717</v>
      </c>
      <c r="Q120" s="1">
        <v>0</v>
      </c>
      <c r="R120" s="1">
        <v>7792</v>
      </c>
      <c r="S120" s="1">
        <v>0</v>
      </c>
      <c r="T120" s="1">
        <v>1673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4"/>
      <c r="AF120" s="4">
        <f t="shared" si="4"/>
        <v>1344468</v>
      </c>
      <c r="AG120" s="48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4"/>
    </row>
    <row r="121" spans="1:64">
      <c r="A121" s="4">
        <v>12</v>
      </c>
      <c r="B121" s="35" t="s">
        <v>155</v>
      </c>
      <c r="C121" s="35"/>
      <c r="D121" s="35" t="s">
        <v>471</v>
      </c>
      <c r="E121" s="35"/>
      <c r="F121" s="1">
        <v>202108.03</v>
      </c>
      <c r="G121" s="1"/>
      <c r="H121" s="1">
        <v>53030.78</v>
      </c>
      <c r="I121" s="1"/>
      <c r="J121" s="1">
        <v>79429.98</v>
      </c>
      <c r="K121" s="1"/>
      <c r="L121" s="1">
        <v>60371.55</v>
      </c>
      <c r="M121" s="1"/>
      <c r="N121" s="1">
        <v>0</v>
      </c>
      <c r="O121" s="1"/>
      <c r="P121" s="1">
        <v>12898.8</v>
      </c>
      <c r="Q121" s="1"/>
      <c r="R121" s="1">
        <v>3217.24</v>
      </c>
      <c r="S121" s="1"/>
      <c r="T121" s="1">
        <v>0</v>
      </c>
      <c r="U121" s="1"/>
      <c r="V121" s="1">
        <v>0</v>
      </c>
      <c r="W121" s="1"/>
      <c r="X121" s="1">
        <v>0</v>
      </c>
      <c r="Y121" s="1"/>
      <c r="Z121" s="1">
        <v>102624</v>
      </c>
      <c r="AA121" s="1"/>
      <c r="AB121" s="1">
        <v>0</v>
      </c>
      <c r="AC121" s="1"/>
      <c r="AD121" s="1">
        <v>0</v>
      </c>
      <c r="AE121" s="35"/>
      <c r="AF121" s="4">
        <f t="shared" si="4"/>
        <v>513680.37999999995</v>
      </c>
    </row>
    <row r="122" spans="1:64">
      <c r="A122" s="4">
        <v>98</v>
      </c>
      <c r="B122" s="3" t="s">
        <v>156</v>
      </c>
      <c r="D122" s="3" t="s">
        <v>61</v>
      </c>
      <c r="F122" s="1">
        <v>30483</v>
      </c>
      <c r="G122" s="1">
        <v>0</v>
      </c>
      <c r="H122" s="1">
        <v>4403</v>
      </c>
      <c r="I122" s="1">
        <v>0</v>
      </c>
      <c r="J122" s="1">
        <v>9544</v>
      </c>
      <c r="K122" s="1">
        <v>0</v>
      </c>
      <c r="L122" s="1">
        <v>7952</v>
      </c>
      <c r="M122" s="1">
        <v>0</v>
      </c>
      <c r="N122" s="1">
        <v>0</v>
      </c>
      <c r="O122" s="1">
        <v>0</v>
      </c>
      <c r="P122" s="1">
        <v>2963</v>
      </c>
      <c r="Q122" s="1">
        <v>0</v>
      </c>
      <c r="R122" s="1">
        <v>2936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4"/>
      <c r="AF122" s="4">
        <f t="shared" si="4"/>
        <v>58281</v>
      </c>
      <c r="AG122" s="48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4"/>
    </row>
    <row r="123" spans="1:64">
      <c r="A123" s="4">
        <v>181</v>
      </c>
      <c r="B123" s="3" t="s">
        <v>157</v>
      </c>
      <c r="D123" s="3" t="s">
        <v>158</v>
      </c>
      <c r="F123" s="1">
        <v>212975</v>
      </c>
      <c r="G123" s="1">
        <v>0</v>
      </c>
      <c r="H123" s="1">
        <v>43074</v>
      </c>
      <c r="I123" s="1">
        <v>0</v>
      </c>
      <c r="J123" s="1">
        <v>60618</v>
      </c>
      <c r="K123" s="1">
        <v>0</v>
      </c>
      <c r="L123" s="1">
        <v>25506</v>
      </c>
      <c r="M123" s="1">
        <v>0</v>
      </c>
      <c r="N123" s="1">
        <v>0</v>
      </c>
      <c r="O123" s="1">
        <v>0</v>
      </c>
      <c r="P123" s="1">
        <v>12834</v>
      </c>
      <c r="Q123" s="1">
        <v>0</v>
      </c>
      <c r="R123" s="1">
        <v>15409</v>
      </c>
      <c r="S123" s="1">
        <v>0</v>
      </c>
      <c r="T123" s="1">
        <v>80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30000</v>
      </c>
      <c r="AA123" s="1">
        <v>0</v>
      </c>
      <c r="AB123" s="1">
        <v>0</v>
      </c>
      <c r="AC123" s="1">
        <v>0</v>
      </c>
      <c r="AD123" s="1">
        <v>0</v>
      </c>
      <c r="AE123" s="4"/>
      <c r="AF123" s="4">
        <f t="shared" si="4"/>
        <v>400496</v>
      </c>
      <c r="AG123" s="48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4"/>
    </row>
    <row r="124" spans="1:64">
      <c r="A124" s="4">
        <v>13</v>
      </c>
      <c r="B124" s="4" t="s">
        <v>305</v>
      </c>
      <c r="C124" s="35"/>
      <c r="D124" s="35" t="s">
        <v>471</v>
      </c>
      <c r="E124" s="35"/>
      <c r="F124" s="1">
        <v>155104.44</v>
      </c>
      <c r="G124" s="1"/>
      <c r="H124" s="1">
        <v>37142.93</v>
      </c>
      <c r="I124" s="1"/>
      <c r="J124" s="1">
        <v>65235.45</v>
      </c>
      <c r="K124" s="1"/>
      <c r="L124" s="1">
        <v>69938.429999999993</v>
      </c>
      <c r="M124" s="1"/>
      <c r="N124" s="1">
        <v>0</v>
      </c>
      <c r="O124" s="1"/>
      <c r="P124" s="1">
        <v>8717.8799999999992</v>
      </c>
      <c r="Q124" s="1"/>
      <c r="R124" s="1">
        <v>1048.71</v>
      </c>
      <c r="S124" s="1"/>
      <c r="T124" s="1">
        <v>8331.44</v>
      </c>
      <c r="U124" s="1"/>
      <c r="V124" s="1">
        <v>0</v>
      </c>
      <c r="W124" s="1"/>
      <c r="X124" s="1">
        <v>0</v>
      </c>
      <c r="Y124" s="1"/>
      <c r="Z124" s="1">
        <v>0</v>
      </c>
      <c r="AA124" s="1"/>
      <c r="AB124" s="1">
        <v>0</v>
      </c>
      <c r="AC124" s="1"/>
      <c r="AD124" s="1">
        <v>0</v>
      </c>
      <c r="AE124" s="35"/>
      <c r="AF124" s="4">
        <f t="shared" si="4"/>
        <v>345519.28</v>
      </c>
      <c r="AG124" s="48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4"/>
    </row>
    <row r="125" spans="1:64">
      <c r="A125" s="4">
        <v>239</v>
      </c>
      <c r="B125" s="3" t="s">
        <v>159</v>
      </c>
      <c r="D125" s="3" t="s">
        <v>160</v>
      </c>
      <c r="F125" s="1">
        <v>226550</v>
      </c>
      <c r="G125" s="1">
        <v>0</v>
      </c>
      <c r="H125" s="1">
        <v>72462</v>
      </c>
      <c r="I125" s="1">
        <v>0</v>
      </c>
      <c r="J125" s="1">
        <v>45746</v>
      </c>
      <c r="K125" s="1">
        <v>0</v>
      </c>
      <c r="L125" s="1">
        <v>53012</v>
      </c>
      <c r="M125" s="1">
        <v>0</v>
      </c>
      <c r="N125" s="1">
        <v>0</v>
      </c>
      <c r="O125" s="1">
        <v>0</v>
      </c>
      <c r="P125" s="1">
        <v>12273</v>
      </c>
      <c r="Q125" s="1">
        <v>0</v>
      </c>
      <c r="R125" s="1">
        <v>2332</v>
      </c>
      <c r="S125" s="1">
        <v>0</v>
      </c>
      <c r="T125" s="1">
        <v>15192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4"/>
      <c r="AF125" s="4">
        <f t="shared" si="4"/>
        <v>427567</v>
      </c>
    </row>
    <row r="126" spans="1:64">
      <c r="A126" s="4">
        <v>144</v>
      </c>
      <c r="B126" s="3" t="s">
        <v>36</v>
      </c>
      <c r="D126" s="3" t="s">
        <v>57</v>
      </c>
      <c r="F126" s="1">
        <v>236743.32</v>
      </c>
      <c r="G126" s="1"/>
      <c r="H126" s="1">
        <v>71212.009999999995</v>
      </c>
      <c r="I126" s="1"/>
      <c r="J126" s="1">
        <v>78566.31</v>
      </c>
      <c r="K126" s="1"/>
      <c r="L126" s="1">
        <v>57313.54</v>
      </c>
      <c r="M126" s="1"/>
      <c r="N126" s="1">
        <v>0</v>
      </c>
      <c r="O126" s="1"/>
      <c r="P126" s="1">
        <v>12034.1</v>
      </c>
      <c r="Q126" s="1"/>
      <c r="R126" s="1">
        <v>2458.58</v>
      </c>
      <c r="S126" s="1"/>
      <c r="T126" s="1">
        <v>4098.8</v>
      </c>
      <c r="U126" s="1"/>
      <c r="V126" s="1">
        <v>0</v>
      </c>
      <c r="W126" s="1"/>
      <c r="X126" s="1">
        <v>0</v>
      </c>
      <c r="Y126" s="1"/>
      <c r="Z126" s="1">
        <v>0</v>
      </c>
      <c r="AA126" s="1"/>
      <c r="AB126" s="1">
        <v>0</v>
      </c>
      <c r="AC126" s="1"/>
      <c r="AD126" s="1">
        <v>2641</v>
      </c>
      <c r="AE126" s="4"/>
      <c r="AF126" s="4">
        <f t="shared" si="4"/>
        <v>465067.66</v>
      </c>
    </row>
    <row r="127" spans="1:64">
      <c r="A127" s="4">
        <v>107</v>
      </c>
      <c r="B127" s="3" t="s">
        <v>161</v>
      </c>
      <c r="D127" s="3" t="s">
        <v>58</v>
      </c>
      <c r="F127" s="1">
        <v>669036.23</v>
      </c>
      <c r="G127" s="1"/>
      <c r="H127" s="1">
        <v>184686.34</v>
      </c>
      <c r="I127" s="1"/>
      <c r="J127" s="1">
        <v>179621.15</v>
      </c>
      <c r="K127" s="1"/>
      <c r="L127" s="1">
        <v>95532.93</v>
      </c>
      <c r="M127" s="1"/>
      <c r="N127" s="1">
        <v>0</v>
      </c>
      <c r="O127" s="1"/>
      <c r="P127" s="1">
        <v>13450.35</v>
      </c>
      <c r="Q127" s="1"/>
      <c r="R127" s="1">
        <v>10924.5</v>
      </c>
      <c r="S127" s="1"/>
      <c r="T127" s="1">
        <v>11811.46</v>
      </c>
      <c r="U127" s="1"/>
      <c r="V127" s="1">
        <v>0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0</v>
      </c>
      <c r="AE127" s="4"/>
      <c r="AF127" s="4">
        <f t="shared" si="4"/>
        <v>1165062.96</v>
      </c>
    </row>
    <row r="128" spans="1:64">
      <c r="A128" s="4">
        <v>103</v>
      </c>
      <c r="B128" s="3" t="s">
        <v>162</v>
      </c>
      <c r="D128" s="3" t="s">
        <v>60</v>
      </c>
      <c r="F128" s="1">
        <v>60984.2</v>
      </c>
      <c r="G128" s="1">
        <v>0</v>
      </c>
      <c r="H128" s="1">
        <v>9448.91</v>
      </c>
      <c r="I128" s="1">
        <v>0</v>
      </c>
      <c r="J128" s="1">
        <v>23713.71</v>
      </c>
      <c r="K128" s="1">
        <v>0</v>
      </c>
      <c r="L128" s="1">
        <v>8523.43</v>
      </c>
      <c r="M128" s="1">
        <v>0</v>
      </c>
      <c r="N128" s="1">
        <v>0</v>
      </c>
      <c r="O128" s="1">
        <v>0</v>
      </c>
      <c r="P128" s="1">
        <v>6399.55</v>
      </c>
      <c r="Q128" s="1">
        <v>0</v>
      </c>
      <c r="R128" s="1">
        <v>1626.08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4"/>
      <c r="AF128" s="4">
        <f t="shared" si="4"/>
        <v>110695.88</v>
      </c>
    </row>
    <row r="129" spans="1:64">
      <c r="A129" s="4">
        <v>109</v>
      </c>
      <c r="B129" s="3" t="s">
        <v>600</v>
      </c>
      <c r="D129" s="3" t="s">
        <v>163</v>
      </c>
      <c r="F129" s="1">
        <v>551855.91</v>
      </c>
      <c r="G129" s="1"/>
      <c r="H129" s="1">
        <v>155811.76999999999</v>
      </c>
      <c r="I129" s="1"/>
      <c r="J129" s="1">
        <v>153095.06</v>
      </c>
      <c r="K129" s="1"/>
      <c r="L129" s="1">
        <v>81540.399999999994</v>
      </c>
      <c r="M129" s="1"/>
      <c r="N129" s="1">
        <v>0</v>
      </c>
      <c r="O129" s="1"/>
      <c r="P129" s="1">
        <v>9362.2199999999993</v>
      </c>
      <c r="Q129" s="1"/>
      <c r="R129" s="1">
        <v>17264.849999999999</v>
      </c>
      <c r="S129" s="1"/>
      <c r="T129" s="1">
        <v>79.959999999999994</v>
      </c>
      <c r="U129" s="1"/>
      <c r="V129" s="1">
        <v>0</v>
      </c>
      <c r="W129" s="1"/>
      <c r="X129" s="1">
        <v>0</v>
      </c>
      <c r="Y129" s="1"/>
      <c r="Z129" s="1">
        <v>225000</v>
      </c>
      <c r="AA129" s="1"/>
      <c r="AB129" s="1">
        <v>8782</v>
      </c>
      <c r="AC129" s="1"/>
      <c r="AD129" s="1">
        <v>0</v>
      </c>
      <c r="AE129" s="4"/>
      <c r="AF129" s="4">
        <f t="shared" si="4"/>
        <v>1202792.17</v>
      </c>
    </row>
    <row r="130" spans="1:64">
      <c r="A130" s="4">
        <v>133</v>
      </c>
      <c r="B130" s="3" t="s">
        <v>306</v>
      </c>
      <c r="D130" s="3" t="s">
        <v>41</v>
      </c>
      <c r="F130" s="1">
        <v>111658.66</v>
      </c>
      <c r="G130" s="1"/>
      <c r="H130" s="1">
        <v>19146.93</v>
      </c>
      <c r="I130" s="1"/>
      <c r="J130" s="1">
        <v>19943.48</v>
      </c>
      <c r="K130" s="1"/>
      <c r="L130" s="1">
        <v>17539.96</v>
      </c>
      <c r="M130" s="1"/>
      <c r="N130" s="1">
        <v>0</v>
      </c>
      <c r="O130" s="1"/>
      <c r="P130" s="1">
        <v>2730.49</v>
      </c>
      <c r="Q130" s="1"/>
      <c r="R130" s="1">
        <v>150</v>
      </c>
      <c r="S130" s="1"/>
      <c r="T130" s="1">
        <v>0</v>
      </c>
      <c r="U130" s="1"/>
      <c r="V130" s="1">
        <v>0</v>
      </c>
      <c r="W130" s="1"/>
      <c r="X130" s="1">
        <v>0</v>
      </c>
      <c r="Y130" s="1"/>
      <c r="Z130" s="1">
        <v>0</v>
      </c>
      <c r="AA130" s="1"/>
      <c r="AB130" s="1">
        <v>0</v>
      </c>
      <c r="AC130" s="1"/>
      <c r="AD130" s="1">
        <v>0</v>
      </c>
      <c r="AE130" s="4"/>
      <c r="AF130" s="4">
        <f t="shared" si="4"/>
        <v>171169.52</v>
      </c>
      <c r="AG130" s="48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4"/>
    </row>
    <row r="131" spans="1:64">
      <c r="A131" s="4">
        <v>225</v>
      </c>
      <c r="B131" s="3" t="s">
        <v>164</v>
      </c>
      <c r="D131" s="3" t="s">
        <v>56</v>
      </c>
      <c r="F131" s="1">
        <v>333274.58</v>
      </c>
      <c r="G131" s="1"/>
      <c r="H131" s="1">
        <v>114016.83</v>
      </c>
      <c r="I131" s="1"/>
      <c r="J131" s="1">
        <v>77020.67</v>
      </c>
      <c r="K131" s="1"/>
      <c r="L131" s="1">
        <v>75720.240000000005</v>
      </c>
      <c r="M131" s="1"/>
      <c r="N131" s="1">
        <v>0</v>
      </c>
      <c r="O131" s="1"/>
      <c r="P131" s="1">
        <v>33166.519999999997</v>
      </c>
      <c r="Q131" s="1"/>
      <c r="R131" s="1">
        <v>1782.15</v>
      </c>
      <c r="S131" s="1"/>
      <c r="T131" s="1">
        <v>17.760000000000002</v>
      </c>
      <c r="U131" s="1"/>
      <c r="V131" s="1">
        <v>0</v>
      </c>
      <c r="W131" s="1"/>
      <c r="X131" s="1">
        <v>0</v>
      </c>
      <c r="Y131" s="1"/>
      <c r="Z131" s="1">
        <v>55236</v>
      </c>
      <c r="AA131" s="1"/>
      <c r="AB131" s="1">
        <v>0</v>
      </c>
      <c r="AC131" s="1"/>
      <c r="AD131" s="1">
        <v>0</v>
      </c>
      <c r="AE131" s="4"/>
      <c r="AF131" s="4">
        <f t="shared" si="4"/>
        <v>690234.75000000012</v>
      </c>
    </row>
    <row r="132" spans="1:64" hidden="1">
      <c r="A132" s="4">
        <v>218</v>
      </c>
      <c r="B132" s="3" t="s">
        <v>337</v>
      </c>
      <c r="D132" s="3" t="s">
        <v>22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4"/>
      <c r="AF132" s="4">
        <f t="shared" ref="AF132:AF165" si="7">SUM(F132:AD132)</f>
        <v>0</v>
      </c>
      <c r="AG132" s="48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4"/>
    </row>
    <row r="133" spans="1:64">
      <c r="A133" s="4">
        <v>66</v>
      </c>
      <c r="B133" s="3" t="s">
        <v>166</v>
      </c>
      <c r="D133" s="3" t="s">
        <v>167</v>
      </c>
      <c r="F133" s="1">
        <v>279776.71999999997</v>
      </c>
      <c r="G133" s="1"/>
      <c r="H133" s="1">
        <v>88607.03</v>
      </c>
      <c r="I133" s="1"/>
      <c r="J133" s="1">
        <v>132571.31</v>
      </c>
      <c r="K133" s="1"/>
      <c r="L133" s="1">
        <v>34688.400000000001</v>
      </c>
      <c r="M133" s="1"/>
      <c r="N133" s="1">
        <v>0</v>
      </c>
      <c r="O133" s="1"/>
      <c r="P133" s="1">
        <v>11315.83</v>
      </c>
      <c r="Q133" s="1"/>
      <c r="R133" s="1">
        <v>1218.82</v>
      </c>
      <c r="S133" s="1"/>
      <c r="T133" s="1">
        <v>340</v>
      </c>
      <c r="U133" s="1"/>
      <c r="V133" s="1">
        <v>0</v>
      </c>
      <c r="W133" s="1"/>
      <c r="X133" s="1">
        <v>0</v>
      </c>
      <c r="Y133" s="1"/>
      <c r="Z133" s="1">
        <v>1138</v>
      </c>
      <c r="AA133" s="1"/>
      <c r="AB133" s="1">
        <v>0</v>
      </c>
      <c r="AC133" s="1"/>
      <c r="AD133" s="1">
        <v>0</v>
      </c>
      <c r="AE133" s="4"/>
      <c r="AF133" s="4">
        <f t="shared" si="7"/>
        <v>549656.10999999987</v>
      </c>
      <c r="AG133" s="48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4"/>
    </row>
    <row r="134" spans="1:64">
      <c r="A134" s="4">
        <v>148</v>
      </c>
      <c r="B134" s="3" t="s">
        <v>37</v>
      </c>
      <c r="D134" s="3" t="s">
        <v>12</v>
      </c>
      <c r="F134" s="1">
        <v>200742.16</v>
      </c>
      <c r="G134" s="1"/>
      <c r="H134" s="1">
        <v>31886.7</v>
      </c>
      <c r="I134" s="1"/>
      <c r="J134" s="1">
        <v>76036.78</v>
      </c>
      <c r="K134" s="1"/>
      <c r="L134" s="1">
        <v>55590.29</v>
      </c>
      <c r="M134" s="1"/>
      <c r="N134" s="1">
        <v>0</v>
      </c>
      <c r="O134" s="1"/>
      <c r="P134" s="1">
        <v>7351.79</v>
      </c>
      <c r="Q134" s="1"/>
      <c r="R134" s="1">
        <v>150</v>
      </c>
      <c r="S134" s="1"/>
      <c r="T134" s="1">
        <v>1847.95</v>
      </c>
      <c r="U134" s="1"/>
      <c r="V134" s="1">
        <v>30000</v>
      </c>
      <c r="W134" s="1"/>
      <c r="X134" s="1">
        <v>50082.5</v>
      </c>
      <c r="Y134" s="1"/>
      <c r="Z134" s="1">
        <v>0</v>
      </c>
      <c r="AA134" s="1"/>
      <c r="AB134" s="1">
        <v>0</v>
      </c>
      <c r="AC134" s="1"/>
      <c r="AD134" s="1">
        <v>0</v>
      </c>
      <c r="AE134" s="4"/>
      <c r="AF134" s="4">
        <f t="shared" si="7"/>
        <v>453688.17</v>
      </c>
    </row>
    <row r="135" spans="1:64" hidden="1">
      <c r="A135" s="4">
        <v>182</v>
      </c>
      <c r="B135" s="3" t="s">
        <v>168</v>
      </c>
      <c r="D135" s="3" t="s">
        <v>158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4"/>
      <c r="AF135" s="4">
        <f t="shared" si="7"/>
        <v>0</v>
      </c>
      <c r="AG135" s="48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4"/>
    </row>
    <row r="136" spans="1:64">
      <c r="A136" s="4">
        <v>164</v>
      </c>
      <c r="B136" s="35" t="s">
        <v>339</v>
      </c>
      <c r="C136" s="35"/>
      <c r="D136" s="35" t="s">
        <v>494</v>
      </c>
      <c r="E136" s="35"/>
      <c r="F136" s="1">
        <v>143930.62</v>
      </c>
      <c r="G136" s="1"/>
      <c r="H136" s="1">
        <v>22186.37</v>
      </c>
      <c r="I136" s="1"/>
      <c r="J136" s="1">
        <v>24401.05</v>
      </c>
      <c r="K136" s="1"/>
      <c r="L136" s="1">
        <v>18228.34</v>
      </c>
      <c r="M136" s="1"/>
      <c r="N136" s="1">
        <v>0</v>
      </c>
      <c r="O136" s="1"/>
      <c r="P136" s="1">
        <v>2316.36</v>
      </c>
      <c r="Q136" s="1"/>
      <c r="R136" s="1">
        <v>1188</v>
      </c>
      <c r="S136" s="1"/>
      <c r="T136" s="1">
        <v>752.81</v>
      </c>
      <c r="U136" s="1"/>
      <c r="V136" s="1">
        <v>0</v>
      </c>
      <c r="W136" s="1"/>
      <c r="X136" s="1">
        <v>0</v>
      </c>
      <c r="Y136" s="1"/>
      <c r="Z136" s="1">
        <v>0</v>
      </c>
      <c r="AA136" s="1"/>
      <c r="AB136" s="1">
        <v>0</v>
      </c>
      <c r="AC136" s="1"/>
      <c r="AD136" s="1">
        <v>0</v>
      </c>
      <c r="AE136" s="35"/>
      <c r="AF136" s="4">
        <f t="shared" si="7"/>
        <v>213003.54999999996</v>
      </c>
    </row>
    <row r="137" spans="1:64">
      <c r="A137" s="4">
        <v>115</v>
      </c>
      <c r="B137" s="3" t="s">
        <v>169</v>
      </c>
      <c r="D137" s="3" t="s">
        <v>170</v>
      </c>
      <c r="F137" s="1">
        <v>182484.94</v>
      </c>
      <c r="G137" s="1"/>
      <c r="H137" s="1">
        <v>93086.73</v>
      </c>
      <c r="I137" s="1"/>
      <c r="J137" s="1">
        <v>46910.69</v>
      </c>
      <c r="K137" s="1"/>
      <c r="L137" s="1">
        <v>40983.22</v>
      </c>
      <c r="M137" s="1"/>
      <c r="N137" s="1">
        <v>0</v>
      </c>
      <c r="O137" s="1"/>
      <c r="P137" s="1">
        <v>10297.77</v>
      </c>
      <c r="Q137" s="1"/>
      <c r="R137" s="1">
        <v>1098</v>
      </c>
      <c r="S137" s="1"/>
      <c r="T137" s="1">
        <v>23045.96</v>
      </c>
      <c r="U137" s="1"/>
      <c r="V137" s="1">
        <v>0</v>
      </c>
      <c r="W137" s="1"/>
      <c r="X137" s="1">
        <v>0</v>
      </c>
      <c r="Y137" s="1"/>
      <c r="Z137" s="1">
        <v>0</v>
      </c>
      <c r="AA137" s="1"/>
      <c r="AB137" s="1">
        <v>0</v>
      </c>
      <c r="AC137" s="1"/>
      <c r="AD137" s="1">
        <v>0</v>
      </c>
      <c r="AE137" s="4"/>
      <c r="AF137" s="4">
        <f t="shared" si="7"/>
        <v>397907.31</v>
      </c>
    </row>
    <row r="138" spans="1:64">
      <c r="A138" s="4">
        <v>173</v>
      </c>
      <c r="B138" s="3" t="s">
        <v>338</v>
      </c>
      <c r="D138" s="3" t="s">
        <v>59</v>
      </c>
      <c r="F138" s="1">
        <v>227892.55</v>
      </c>
      <c r="G138" s="1"/>
      <c r="H138" s="1">
        <v>67275.520000000004</v>
      </c>
      <c r="I138" s="1"/>
      <c r="J138" s="1">
        <v>89010.76</v>
      </c>
      <c r="K138" s="1"/>
      <c r="L138" s="1">
        <v>34077.550000000003</v>
      </c>
      <c r="M138" s="1"/>
      <c r="N138" s="1">
        <v>0</v>
      </c>
      <c r="O138" s="1"/>
      <c r="P138" s="1">
        <v>16202.64</v>
      </c>
      <c r="Q138" s="1"/>
      <c r="R138" s="1">
        <v>4598.6899999999996</v>
      </c>
      <c r="S138" s="1"/>
      <c r="T138" s="1">
        <v>924.68</v>
      </c>
      <c r="U138" s="1"/>
      <c r="V138" s="1">
        <v>0</v>
      </c>
      <c r="W138" s="1"/>
      <c r="X138" s="1">
        <v>0</v>
      </c>
      <c r="Y138" s="1"/>
      <c r="Z138" s="1">
        <v>0</v>
      </c>
      <c r="AA138" s="1"/>
      <c r="AB138" s="1">
        <v>0</v>
      </c>
      <c r="AC138" s="1"/>
      <c r="AD138" s="1">
        <v>0</v>
      </c>
      <c r="AE138" s="4"/>
      <c r="AF138" s="4">
        <f t="shared" si="7"/>
        <v>439982.39</v>
      </c>
    </row>
    <row r="139" spans="1:64">
      <c r="A139" s="4">
        <v>205</v>
      </c>
      <c r="B139" s="3" t="s">
        <v>171</v>
      </c>
      <c r="D139" s="3" t="s">
        <v>45</v>
      </c>
      <c r="F139" s="1">
        <v>398332.85</v>
      </c>
      <c r="G139" s="1">
        <v>0</v>
      </c>
      <c r="H139" s="1">
        <v>0</v>
      </c>
      <c r="I139" s="1">
        <v>0</v>
      </c>
      <c r="J139" s="1">
        <v>57326.75</v>
      </c>
      <c r="K139" s="1">
        <v>0</v>
      </c>
      <c r="L139" s="1">
        <v>75263.490000000005</v>
      </c>
      <c r="M139" s="1">
        <v>0</v>
      </c>
      <c r="N139" s="1">
        <v>0</v>
      </c>
      <c r="O139" s="1">
        <v>0</v>
      </c>
      <c r="P139" s="1">
        <v>629.79999999999995</v>
      </c>
      <c r="Q139" s="1">
        <v>0</v>
      </c>
      <c r="R139" s="1">
        <v>6480</v>
      </c>
      <c r="S139" s="1">
        <v>0</v>
      </c>
      <c r="T139" s="1">
        <v>16529.09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4"/>
      <c r="AF139" s="4">
        <f t="shared" si="7"/>
        <v>554561.98</v>
      </c>
    </row>
    <row r="140" spans="1:64">
      <c r="A140" s="4">
        <v>191</v>
      </c>
      <c r="B140" s="3" t="s">
        <v>172</v>
      </c>
      <c r="D140" s="3" t="s">
        <v>173</v>
      </c>
      <c r="F140" s="1">
        <v>767227.46</v>
      </c>
      <c r="G140" s="1"/>
      <c r="H140" s="1">
        <v>155607.75</v>
      </c>
      <c r="I140" s="1"/>
      <c r="J140" s="1">
        <v>250206.79</v>
      </c>
      <c r="K140" s="1"/>
      <c r="L140" s="1">
        <v>169074.8</v>
      </c>
      <c r="M140" s="1"/>
      <c r="N140" s="1">
        <v>0</v>
      </c>
      <c r="O140" s="1"/>
      <c r="P140" s="1">
        <v>29982.04</v>
      </c>
      <c r="Q140" s="1"/>
      <c r="R140" s="1">
        <v>13402.76</v>
      </c>
      <c r="S140" s="1"/>
      <c r="T140" s="1">
        <v>13513.24</v>
      </c>
      <c r="U140" s="1"/>
      <c r="V140" s="1">
        <v>0</v>
      </c>
      <c r="W140" s="1"/>
      <c r="X140" s="1">
        <v>0</v>
      </c>
      <c r="Y140" s="1"/>
      <c r="Z140" s="1">
        <v>0</v>
      </c>
      <c r="AA140" s="1"/>
      <c r="AB140" s="1">
        <v>0</v>
      </c>
      <c r="AC140" s="1"/>
      <c r="AD140" s="1">
        <v>0</v>
      </c>
      <c r="AE140" s="4"/>
      <c r="AF140" s="4">
        <f t="shared" si="7"/>
        <v>1399014.84</v>
      </c>
    </row>
    <row r="141" spans="1:64">
      <c r="A141" s="4">
        <v>14</v>
      </c>
      <c r="B141" s="35" t="s">
        <v>174</v>
      </c>
      <c r="C141" s="35"/>
      <c r="D141" s="35" t="s">
        <v>471</v>
      </c>
      <c r="E141" s="35"/>
      <c r="F141" s="1">
        <v>190371.13</v>
      </c>
      <c r="G141" s="1"/>
      <c r="H141" s="1">
        <v>32433.119999999999</v>
      </c>
      <c r="I141" s="1"/>
      <c r="J141" s="1">
        <v>43024.73</v>
      </c>
      <c r="K141" s="1"/>
      <c r="L141" s="1">
        <v>39540.22</v>
      </c>
      <c r="M141" s="1"/>
      <c r="N141" s="1">
        <v>0</v>
      </c>
      <c r="O141" s="1"/>
      <c r="P141" s="1">
        <v>11408.57</v>
      </c>
      <c r="Q141" s="1"/>
      <c r="R141" s="1">
        <v>9113.9500000000007</v>
      </c>
      <c r="S141" s="1"/>
      <c r="T141" s="1">
        <v>300.16000000000003</v>
      </c>
      <c r="U141" s="1"/>
      <c r="V141" s="1">
        <v>0</v>
      </c>
      <c r="W141" s="1"/>
      <c r="X141" s="1">
        <v>0</v>
      </c>
      <c r="Y141" s="1"/>
      <c r="Z141" s="1">
        <v>0</v>
      </c>
      <c r="AA141" s="1"/>
      <c r="AB141" s="1">
        <v>0</v>
      </c>
      <c r="AC141" s="1"/>
      <c r="AD141" s="1">
        <v>0</v>
      </c>
      <c r="AE141" s="35"/>
      <c r="AF141" s="4">
        <f t="shared" si="7"/>
        <v>326191.87999999995</v>
      </c>
    </row>
    <row r="142" spans="1:64">
      <c r="A142" s="4">
        <v>226</v>
      </c>
      <c r="B142" s="3" t="s">
        <v>175</v>
      </c>
      <c r="D142" s="3" t="s">
        <v>56</v>
      </c>
      <c r="F142" s="1">
        <v>247380.01</v>
      </c>
      <c r="G142" s="1"/>
      <c r="H142" s="1">
        <v>79031.19</v>
      </c>
      <c r="I142" s="1"/>
      <c r="J142" s="1">
        <v>46869.29</v>
      </c>
      <c r="K142" s="1"/>
      <c r="L142" s="1">
        <v>45073.51</v>
      </c>
      <c r="M142" s="1"/>
      <c r="N142" s="1">
        <v>0</v>
      </c>
      <c r="O142" s="1"/>
      <c r="P142" s="1">
        <v>4949.21</v>
      </c>
      <c r="Q142" s="1"/>
      <c r="R142" s="1">
        <v>10754.85</v>
      </c>
      <c r="S142" s="1"/>
      <c r="T142" s="1">
        <v>10712.83</v>
      </c>
      <c r="U142" s="1"/>
      <c r="V142" s="1">
        <v>0</v>
      </c>
      <c r="W142" s="1"/>
      <c r="X142" s="1">
        <v>0</v>
      </c>
      <c r="Y142" s="1"/>
      <c r="Z142" s="1">
        <v>0</v>
      </c>
      <c r="AA142" s="1"/>
      <c r="AB142" s="1">
        <v>0</v>
      </c>
      <c r="AC142" s="1"/>
      <c r="AD142" s="1">
        <v>0</v>
      </c>
      <c r="AE142" s="4"/>
      <c r="AF142" s="4">
        <f t="shared" si="7"/>
        <v>444770.89</v>
      </c>
      <c r="AI142" s="4"/>
    </row>
    <row r="143" spans="1:64">
      <c r="A143" s="4">
        <v>124</v>
      </c>
      <c r="B143" s="3" t="s">
        <v>176</v>
      </c>
      <c r="D143" s="3" t="s">
        <v>15</v>
      </c>
      <c r="F143" s="1">
        <v>418060.43</v>
      </c>
      <c r="G143" s="1"/>
      <c r="H143" s="1">
        <v>87847.16</v>
      </c>
      <c r="I143" s="1"/>
      <c r="J143" s="1">
        <v>107763.2</v>
      </c>
      <c r="K143" s="1"/>
      <c r="L143" s="1">
        <v>128784.9</v>
      </c>
      <c r="M143" s="1"/>
      <c r="N143" s="1">
        <v>0</v>
      </c>
      <c r="O143" s="1"/>
      <c r="P143" s="1">
        <v>13300.03</v>
      </c>
      <c r="Q143" s="1"/>
      <c r="R143" s="1">
        <v>5255.05</v>
      </c>
      <c r="S143" s="1"/>
      <c r="T143" s="1">
        <v>6840.03</v>
      </c>
      <c r="U143" s="1"/>
      <c r="V143" s="1">
        <v>0</v>
      </c>
      <c r="W143" s="1"/>
      <c r="X143" s="1">
        <v>0</v>
      </c>
      <c r="Y143" s="1"/>
      <c r="Z143" s="1">
        <v>100000</v>
      </c>
      <c r="AA143" s="1"/>
      <c r="AB143" s="1">
        <v>4700</v>
      </c>
      <c r="AC143" s="1"/>
      <c r="AD143" s="1">
        <v>0</v>
      </c>
      <c r="AE143" s="4"/>
      <c r="AF143" s="4">
        <f t="shared" si="7"/>
        <v>872550.8</v>
      </c>
      <c r="AH143" s="49"/>
      <c r="AI143" s="49"/>
      <c r="AJ143" s="49"/>
      <c r="AK143" s="49"/>
    </row>
    <row r="144" spans="1:64">
      <c r="A144" s="4">
        <v>54</v>
      </c>
      <c r="B144" s="12" t="s">
        <v>438</v>
      </c>
      <c r="C144" s="15"/>
      <c r="D144" s="15" t="s">
        <v>19</v>
      </c>
      <c r="E144" s="15"/>
      <c r="F144" s="1">
        <v>0</v>
      </c>
      <c r="G144" s="1">
        <v>0</v>
      </c>
      <c r="H144" s="1">
        <v>0</v>
      </c>
      <c r="I144" s="1">
        <v>0</v>
      </c>
      <c r="J144" s="1">
        <v>61097</v>
      </c>
      <c r="K144" s="1">
        <v>0</v>
      </c>
      <c r="L144" s="1">
        <v>1390501</v>
      </c>
      <c r="M144" s="1">
        <v>0</v>
      </c>
      <c r="N144" s="1">
        <v>729443</v>
      </c>
      <c r="O144" s="1">
        <v>0</v>
      </c>
      <c r="P144" s="1">
        <v>0</v>
      </c>
      <c r="Q144" s="1">
        <v>0</v>
      </c>
      <c r="R144" s="1">
        <f>1273655+304217</f>
        <v>1577872</v>
      </c>
      <c r="S144" s="1">
        <v>0</v>
      </c>
      <c r="T144" s="1">
        <v>35278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5"/>
      <c r="AF144" s="4">
        <f t="shared" si="7"/>
        <v>3794191</v>
      </c>
    </row>
    <row r="145" spans="1:64" hidden="1">
      <c r="A145" s="4">
        <v>25</v>
      </c>
      <c r="B145" s="3" t="s">
        <v>9</v>
      </c>
      <c r="D145" s="3" t="s">
        <v>10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4"/>
      <c r="AF145" s="4">
        <f t="shared" si="7"/>
        <v>0</v>
      </c>
      <c r="AG145" s="48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4"/>
    </row>
    <row r="146" spans="1:64">
      <c r="A146" s="4">
        <v>241</v>
      </c>
      <c r="B146" s="3" t="s">
        <v>177</v>
      </c>
      <c r="D146" s="3" t="s">
        <v>54</v>
      </c>
      <c r="F146" s="1">
        <v>438922.32</v>
      </c>
      <c r="G146" s="1"/>
      <c r="H146" s="1">
        <v>170527.05</v>
      </c>
      <c r="I146" s="1"/>
      <c r="J146" s="1">
        <v>124792.4</v>
      </c>
      <c r="K146" s="1"/>
      <c r="L146" s="1">
        <v>236000.52</v>
      </c>
      <c r="M146" s="1"/>
      <c r="N146" s="1">
        <v>0</v>
      </c>
      <c r="O146" s="1"/>
      <c r="P146" s="1">
        <v>54921.3</v>
      </c>
      <c r="Q146" s="1"/>
      <c r="R146" s="1">
        <v>14053.35</v>
      </c>
      <c r="S146" s="1"/>
      <c r="T146" s="1">
        <v>99598.15</v>
      </c>
      <c r="U146" s="1"/>
      <c r="V146" s="1">
        <v>0</v>
      </c>
      <c r="W146" s="1"/>
      <c r="X146" s="1">
        <v>0</v>
      </c>
      <c r="Y146" s="1"/>
      <c r="Z146" s="1">
        <v>0</v>
      </c>
      <c r="AA146" s="1"/>
      <c r="AB146" s="1">
        <v>9553</v>
      </c>
      <c r="AC146" s="1"/>
      <c r="AD146" s="1">
        <v>0</v>
      </c>
      <c r="AE146" s="4"/>
      <c r="AF146" s="4">
        <f t="shared" si="7"/>
        <v>1148368.0900000001</v>
      </c>
      <c r="AG146" s="48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4"/>
    </row>
    <row r="147" spans="1:64">
      <c r="A147" s="4">
        <v>41</v>
      </c>
      <c r="B147" s="35" t="s">
        <v>307</v>
      </c>
      <c r="C147" s="35"/>
      <c r="D147" s="35" t="s">
        <v>481</v>
      </c>
      <c r="E147" s="35"/>
      <c r="F147" s="1">
        <v>85837.37</v>
      </c>
      <c r="G147" s="1"/>
      <c r="H147" s="1">
        <v>27459.69</v>
      </c>
      <c r="I147" s="1"/>
      <c r="J147" s="1">
        <v>46681.06</v>
      </c>
      <c r="K147" s="1"/>
      <c r="L147" s="1">
        <v>22132.34</v>
      </c>
      <c r="M147" s="1"/>
      <c r="N147" s="1">
        <v>0</v>
      </c>
      <c r="O147" s="1"/>
      <c r="P147" s="1">
        <v>2451.23</v>
      </c>
      <c r="Q147" s="1"/>
      <c r="R147" s="1">
        <v>4139</v>
      </c>
      <c r="S147" s="1"/>
      <c r="T147" s="1">
        <v>6082.66</v>
      </c>
      <c r="U147" s="1"/>
      <c r="V147" s="1">
        <v>0</v>
      </c>
      <c r="W147" s="1"/>
      <c r="X147" s="1">
        <v>0</v>
      </c>
      <c r="Y147" s="1"/>
      <c r="Z147" s="1">
        <v>58067</v>
      </c>
      <c r="AA147" s="1"/>
      <c r="AB147" s="1">
        <v>0</v>
      </c>
      <c r="AC147" s="1"/>
      <c r="AD147" s="1">
        <v>0</v>
      </c>
      <c r="AE147" s="35"/>
      <c r="AF147" s="4">
        <f t="shared" si="7"/>
        <v>252850.35</v>
      </c>
    </row>
    <row r="148" spans="1:64" s="4" customFormat="1">
      <c r="A148" s="4">
        <v>42</v>
      </c>
      <c r="B148" s="3" t="s">
        <v>178</v>
      </c>
      <c r="C148" s="3"/>
      <c r="D148" s="3" t="s">
        <v>51</v>
      </c>
      <c r="E148" s="3"/>
      <c r="F148" s="1">
        <v>211432.46</v>
      </c>
      <c r="G148" s="1"/>
      <c r="H148" s="1">
        <v>65633.31</v>
      </c>
      <c r="I148" s="1"/>
      <c r="J148" s="1">
        <v>57145.3</v>
      </c>
      <c r="K148" s="1"/>
      <c r="L148" s="1">
        <v>54544.58</v>
      </c>
      <c r="M148" s="1"/>
      <c r="N148" s="1">
        <v>0</v>
      </c>
      <c r="O148" s="1"/>
      <c r="P148" s="1">
        <v>18803.04</v>
      </c>
      <c r="Q148" s="1"/>
      <c r="R148" s="1">
        <v>6118</v>
      </c>
      <c r="S148" s="1"/>
      <c r="T148" s="1">
        <v>1775806.08</v>
      </c>
      <c r="U148" s="1"/>
      <c r="V148" s="1">
        <v>0</v>
      </c>
      <c r="W148" s="1"/>
      <c r="X148" s="1">
        <v>0</v>
      </c>
      <c r="Y148" s="1"/>
      <c r="Z148" s="1">
        <v>0</v>
      </c>
      <c r="AA148" s="1"/>
      <c r="AB148" s="1">
        <v>0</v>
      </c>
      <c r="AC148" s="1"/>
      <c r="AD148" s="1">
        <v>0</v>
      </c>
      <c r="AF148" s="4">
        <f t="shared" si="7"/>
        <v>2189482.77</v>
      </c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s="4" customFormat="1">
      <c r="A149" s="4">
        <v>104</v>
      </c>
      <c r="B149" s="3" t="s">
        <v>179</v>
      </c>
      <c r="C149" s="3"/>
      <c r="D149" s="3" t="s">
        <v>60</v>
      </c>
      <c r="E149" s="3"/>
      <c r="F149" s="1">
        <v>63959.46</v>
      </c>
      <c r="G149" s="1"/>
      <c r="H149" s="1">
        <v>21241.68</v>
      </c>
      <c r="I149" s="1"/>
      <c r="J149" s="1">
        <v>20205.36</v>
      </c>
      <c r="K149" s="1"/>
      <c r="L149" s="1">
        <v>6710.89</v>
      </c>
      <c r="M149" s="1"/>
      <c r="N149" s="1">
        <v>0</v>
      </c>
      <c r="O149" s="1"/>
      <c r="P149" s="1">
        <v>3493.5</v>
      </c>
      <c r="Q149" s="1"/>
      <c r="R149" s="1">
        <v>1557</v>
      </c>
      <c r="S149" s="1"/>
      <c r="T149" s="1">
        <v>11652.22</v>
      </c>
      <c r="U149" s="1"/>
      <c r="V149" s="1">
        <v>12565.05</v>
      </c>
      <c r="W149" s="1"/>
      <c r="X149" s="1">
        <v>8908.59</v>
      </c>
      <c r="Y149" s="1"/>
      <c r="Z149" s="1">
        <v>0</v>
      </c>
      <c r="AA149" s="1"/>
      <c r="AB149" s="1">
        <v>0</v>
      </c>
      <c r="AC149" s="1"/>
      <c r="AD149" s="1">
        <v>1002</v>
      </c>
      <c r="AF149" s="4">
        <f t="shared" si="7"/>
        <v>151295.75</v>
      </c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s="4" customFormat="1">
      <c r="A150" s="4">
        <v>134</v>
      </c>
      <c r="B150" s="3" t="s">
        <v>572</v>
      </c>
      <c r="C150" s="3"/>
      <c r="D150" s="3" t="s">
        <v>41</v>
      </c>
      <c r="E150" s="3"/>
      <c r="F150" s="1">
        <v>1572189</v>
      </c>
      <c r="G150" s="1">
        <v>0</v>
      </c>
      <c r="H150" s="1">
        <v>442593</v>
      </c>
      <c r="I150" s="1">
        <v>0</v>
      </c>
      <c r="J150" s="1">
        <v>320249</v>
      </c>
      <c r="K150" s="1">
        <v>0</v>
      </c>
      <c r="L150" s="1">
        <v>205995</v>
      </c>
      <c r="M150" s="1">
        <v>0</v>
      </c>
      <c r="N150" s="1">
        <v>0</v>
      </c>
      <c r="O150" s="1">
        <v>0</v>
      </c>
      <c r="P150" s="1">
        <v>26512</v>
      </c>
      <c r="Q150" s="1">
        <v>0</v>
      </c>
      <c r="R150" s="1">
        <v>73627</v>
      </c>
      <c r="S150" s="1">
        <v>0</v>
      </c>
      <c r="T150" s="1">
        <v>3180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F150" s="4">
        <f t="shared" si="7"/>
        <v>2644345</v>
      </c>
      <c r="AG150" s="48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</row>
    <row r="151" spans="1:64" s="4" customFormat="1">
      <c r="A151" s="4">
        <v>5</v>
      </c>
      <c r="B151" s="3" t="s">
        <v>180</v>
      </c>
      <c r="C151" s="3"/>
      <c r="D151" s="3" t="s">
        <v>97</v>
      </c>
      <c r="E151" s="3"/>
      <c r="F151" s="1">
        <v>1574551</v>
      </c>
      <c r="G151" s="1">
        <v>0</v>
      </c>
      <c r="H151" s="1">
        <v>482184</v>
      </c>
      <c r="I151" s="1">
        <v>0</v>
      </c>
      <c r="J151" s="1">
        <v>281039</v>
      </c>
      <c r="K151" s="1">
        <v>0</v>
      </c>
      <c r="L151" s="1">
        <v>114120</v>
      </c>
      <c r="M151" s="1">
        <v>0</v>
      </c>
      <c r="N151" s="1">
        <v>0</v>
      </c>
      <c r="O151" s="1">
        <v>0</v>
      </c>
      <c r="P151" s="1">
        <v>40671</v>
      </c>
      <c r="Q151" s="1">
        <v>0</v>
      </c>
      <c r="R151" s="1">
        <v>13293</v>
      </c>
      <c r="S151" s="1">
        <v>0</v>
      </c>
      <c r="T151" s="1">
        <v>7086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150</v>
      </c>
      <c r="AA151" s="1">
        <v>0</v>
      </c>
      <c r="AB151" s="1">
        <v>0</v>
      </c>
      <c r="AC151" s="1">
        <v>0</v>
      </c>
      <c r="AD151" s="1">
        <v>0</v>
      </c>
      <c r="AF151" s="4">
        <f t="shared" si="7"/>
        <v>2513094</v>
      </c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s="4" customFormat="1">
      <c r="A152" s="4">
        <v>139</v>
      </c>
      <c r="B152" s="3" t="s">
        <v>573</v>
      </c>
      <c r="C152" s="3"/>
      <c r="D152" s="3" t="s">
        <v>87</v>
      </c>
      <c r="E152" s="3"/>
      <c r="F152" s="1">
        <v>626929</v>
      </c>
      <c r="G152" s="1">
        <v>0</v>
      </c>
      <c r="H152" s="1">
        <v>261397</v>
      </c>
      <c r="I152" s="1">
        <v>0</v>
      </c>
      <c r="J152" s="1">
        <v>181818</v>
      </c>
      <c r="K152" s="1">
        <v>0</v>
      </c>
      <c r="L152" s="1">
        <v>163750</v>
      </c>
      <c r="M152" s="1">
        <v>0</v>
      </c>
      <c r="N152" s="1">
        <v>0</v>
      </c>
      <c r="O152" s="1">
        <v>0</v>
      </c>
      <c r="P152" s="1">
        <v>30054</v>
      </c>
      <c r="Q152" s="1">
        <v>0</v>
      </c>
      <c r="R152" s="1">
        <v>15055</v>
      </c>
      <c r="S152" s="1">
        <v>0</v>
      </c>
      <c r="T152" s="1">
        <v>32557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F152" s="4">
        <f t="shared" si="7"/>
        <v>1311560</v>
      </c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s="4" customFormat="1">
      <c r="A153" s="4">
        <v>108</v>
      </c>
      <c r="B153" s="3" t="s">
        <v>574</v>
      </c>
      <c r="C153" s="3"/>
      <c r="D153" s="3" t="s">
        <v>181</v>
      </c>
      <c r="E153" s="3"/>
      <c r="F153" s="1">
        <v>345036</v>
      </c>
      <c r="G153" s="1">
        <v>0</v>
      </c>
      <c r="H153" s="1">
        <v>136062</v>
      </c>
      <c r="I153" s="1">
        <v>0</v>
      </c>
      <c r="J153" s="1">
        <v>107433</v>
      </c>
      <c r="K153" s="1">
        <v>0</v>
      </c>
      <c r="L153" s="1">
        <v>136046</v>
      </c>
      <c r="M153" s="1">
        <v>0</v>
      </c>
      <c r="N153" s="1">
        <v>0</v>
      </c>
      <c r="O153" s="1">
        <v>0</v>
      </c>
      <c r="P153" s="1">
        <v>41013</v>
      </c>
      <c r="Q153" s="1">
        <v>0</v>
      </c>
      <c r="R153" s="1">
        <v>3136</v>
      </c>
      <c r="S153" s="1">
        <v>0</v>
      </c>
      <c r="T153" s="1">
        <v>8545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F153" s="4">
        <f t="shared" si="7"/>
        <v>777271</v>
      </c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s="4" customFormat="1">
      <c r="A154" s="4">
        <v>149</v>
      </c>
      <c r="B154" s="3" t="s">
        <v>11</v>
      </c>
      <c r="C154" s="3"/>
      <c r="D154" s="3" t="s">
        <v>12</v>
      </c>
      <c r="E154" s="3"/>
      <c r="F154" s="1">
        <v>512046</v>
      </c>
      <c r="G154" s="1">
        <v>0</v>
      </c>
      <c r="H154" s="1">
        <v>0</v>
      </c>
      <c r="I154" s="1">
        <v>0</v>
      </c>
      <c r="J154" s="1">
        <v>72412</v>
      </c>
      <c r="K154" s="1">
        <v>0</v>
      </c>
      <c r="L154" s="1">
        <v>104884</v>
      </c>
      <c r="M154" s="1">
        <v>0</v>
      </c>
      <c r="N154" s="1">
        <v>0</v>
      </c>
      <c r="O154" s="1">
        <v>0</v>
      </c>
      <c r="P154" s="1">
        <v>26007</v>
      </c>
      <c r="Q154" s="1">
        <v>0</v>
      </c>
      <c r="R154" s="1">
        <v>2174</v>
      </c>
      <c r="S154" s="1">
        <v>0</v>
      </c>
      <c r="T154" s="1">
        <v>22369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78200</v>
      </c>
      <c r="AA154" s="1">
        <v>0</v>
      </c>
      <c r="AB154" s="1">
        <v>0</v>
      </c>
      <c r="AC154" s="1">
        <v>0</v>
      </c>
      <c r="AD154" s="1">
        <v>0</v>
      </c>
      <c r="AF154" s="4">
        <f t="shared" si="7"/>
        <v>818092</v>
      </c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s="4" customFormat="1">
      <c r="A155" s="4">
        <v>7</v>
      </c>
      <c r="B155" s="3" t="s">
        <v>563</v>
      </c>
      <c r="C155" s="3"/>
      <c r="D155" s="3" t="s">
        <v>83</v>
      </c>
      <c r="E155" s="3"/>
      <c r="F155" s="1">
        <v>261019</v>
      </c>
      <c r="G155" s="1">
        <v>0</v>
      </c>
      <c r="H155" s="1">
        <v>78556</v>
      </c>
      <c r="I155" s="1">
        <v>0</v>
      </c>
      <c r="J155" s="1">
        <v>107848</v>
      </c>
      <c r="K155" s="1">
        <v>0</v>
      </c>
      <c r="L155" s="1">
        <v>46658</v>
      </c>
      <c r="M155" s="1">
        <v>0</v>
      </c>
      <c r="N155" s="1">
        <v>0</v>
      </c>
      <c r="O155" s="1">
        <v>0</v>
      </c>
      <c r="P155" s="1">
        <v>16764</v>
      </c>
      <c r="Q155" s="1">
        <v>0</v>
      </c>
      <c r="R155" s="1">
        <v>2544</v>
      </c>
      <c r="S155" s="1">
        <v>0</v>
      </c>
      <c r="T155" s="1">
        <v>10786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F155" s="4">
        <f t="shared" si="7"/>
        <v>524175</v>
      </c>
      <c r="AG155" s="48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</row>
    <row r="156" spans="1:64" s="4" customFormat="1">
      <c r="A156" s="4">
        <v>145</v>
      </c>
      <c r="B156" s="3" t="s">
        <v>182</v>
      </c>
      <c r="C156" s="3"/>
      <c r="D156" s="3" t="s">
        <v>57</v>
      </c>
      <c r="E156" s="3"/>
      <c r="F156" s="1">
        <v>0</v>
      </c>
      <c r="G156" s="1">
        <v>0</v>
      </c>
      <c r="H156" s="1">
        <v>0</v>
      </c>
      <c r="I156" s="1">
        <v>0</v>
      </c>
      <c r="J156" s="1">
        <v>2041510</v>
      </c>
      <c r="K156" s="1">
        <v>0</v>
      </c>
      <c r="L156" s="1">
        <v>0</v>
      </c>
      <c r="M156" s="1">
        <v>0</v>
      </c>
      <c r="N156" s="1">
        <v>39724</v>
      </c>
      <c r="O156" s="1">
        <v>0</v>
      </c>
      <c r="P156" s="1">
        <v>0</v>
      </c>
      <c r="Q156" s="1">
        <v>0</v>
      </c>
      <c r="R156" s="1">
        <v>222539</v>
      </c>
      <c r="S156" s="1">
        <v>0</v>
      </c>
      <c r="T156" s="1">
        <v>47411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1364661</v>
      </c>
      <c r="AF156" s="4">
        <f t="shared" si="7"/>
        <v>3715845</v>
      </c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s="4" customFormat="1">
      <c r="A157" s="4">
        <v>210</v>
      </c>
      <c r="B157" s="3" t="s">
        <v>308</v>
      </c>
      <c r="C157" s="3"/>
      <c r="D157" s="3" t="s">
        <v>25</v>
      </c>
      <c r="E157" s="3"/>
      <c r="F157" s="1">
        <v>254300.7</v>
      </c>
      <c r="G157" s="1"/>
      <c r="H157" s="1">
        <v>62613.24</v>
      </c>
      <c r="I157" s="1"/>
      <c r="J157" s="1">
        <v>90299.6</v>
      </c>
      <c r="K157" s="1"/>
      <c r="L157" s="1">
        <v>116435.84</v>
      </c>
      <c r="M157" s="1"/>
      <c r="N157" s="1">
        <v>0</v>
      </c>
      <c r="O157" s="1"/>
      <c r="P157" s="1">
        <v>11779.35</v>
      </c>
      <c r="Q157" s="1"/>
      <c r="R157" s="1">
        <v>850.68</v>
      </c>
      <c r="S157" s="1"/>
      <c r="T157" s="1">
        <v>3440.58</v>
      </c>
      <c r="U157" s="1"/>
      <c r="V157" s="1">
        <v>0</v>
      </c>
      <c r="W157" s="1"/>
      <c r="X157" s="1">
        <v>0</v>
      </c>
      <c r="Y157" s="1"/>
      <c r="Z157" s="1">
        <v>0</v>
      </c>
      <c r="AA157" s="1"/>
      <c r="AB157" s="1">
        <v>0</v>
      </c>
      <c r="AC157" s="1"/>
      <c r="AD157" s="1">
        <v>0</v>
      </c>
      <c r="AF157" s="4">
        <f t="shared" si="7"/>
        <v>539719.99</v>
      </c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>
      <c r="A158" s="4">
        <v>125</v>
      </c>
      <c r="B158" s="3" t="s">
        <v>184</v>
      </c>
      <c r="D158" s="3" t="s">
        <v>15</v>
      </c>
      <c r="F158" s="1">
        <v>511788</v>
      </c>
      <c r="G158" s="1">
        <v>0</v>
      </c>
      <c r="H158" s="1">
        <v>145382</v>
      </c>
      <c r="I158" s="1">
        <v>0</v>
      </c>
      <c r="J158" s="1">
        <v>136912</v>
      </c>
      <c r="K158" s="1">
        <v>0</v>
      </c>
      <c r="L158" s="1">
        <v>239040</v>
      </c>
      <c r="M158" s="1">
        <v>0</v>
      </c>
      <c r="N158" s="1">
        <v>0</v>
      </c>
      <c r="O158" s="1">
        <v>0</v>
      </c>
      <c r="P158" s="1">
        <v>21564</v>
      </c>
      <c r="Q158" s="1">
        <v>0</v>
      </c>
      <c r="R158" s="1">
        <v>5255</v>
      </c>
      <c r="S158" s="1">
        <v>0</v>
      </c>
      <c r="T158" s="1">
        <v>3123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4"/>
      <c r="AF158" s="4">
        <f t="shared" si="7"/>
        <v>1063064</v>
      </c>
      <c r="AG158" s="48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4"/>
    </row>
    <row r="159" spans="1:64">
      <c r="A159" s="4">
        <v>197</v>
      </c>
      <c r="B159" s="3" t="s">
        <v>601</v>
      </c>
      <c r="D159" s="3" t="s">
        <v>185</v>
      </c>
      <c r="F159" s="1">
        <v>3824186</v>
      </c>
      <c r="G159" s="1">
        <v>0</v>
      </c>
      <c r="H159" s="1">
        <v>1495940</v>
      </c>
      <c r="I159" s="1">
        <v>0</v>
      </c>
      <c r="J159" s="1">
        <v>777480</v>
      </c>
      <c r="K159" s="1">
        <v>0</v>
      </c>
      <c r="L159" s="1">
        <v>828655</v>
      </c>
      <c r="M159" s="1">
        <v>0</v>
      </c>
      <c r="N159" s="1">
        <v>0</v>
      </c>
      <c r="O159" s="1">
        <v>0</v>
      </c>
      <c r="P159" s="1">
        <v>118850</v>
      </c>
      <c r="Q159" s="1">
        <v>0</v>
      </c>
      <c r="R159" s="1">
        <v>30426</v>
      </c>
      <c r="S159" s="1">
        <v>0</v>
      </c>
      <c r="T159" s="1">
        <v>55734</v>
      </c>
      <c r="U159" s="1">
        <v>0</v>
      </c>
      <c r="V159" s="1">
        <v>88911</v>
      </c>
      <c r="W159" s="1">
        <v>0</v>
      </c>
      <c r="X159" s="1">
        <v>1220</v>
      </c>
      <c r="Y159" s="1">
        <v>0</v>
      </c>
      <c r="Z159" s="1">
        <v>131750</v>
      </c>
      <c r="AA159" s="1">
        <v>0</v>
      </c>
      <c r="AB159" s="1">
        <v>0</v>
      </c>
      <c r="AC159" s="1">
        <v>0</v>
      </c>
      <c r="AD159" s="1">
        <v>22000</v>
      </c>
      <c r="AE159" s="4"/>
      <c r="AF159" s="4">
        <f t="shared" si="7"/>
        <v>7375152</v>
      </c>
      <c r="AG159" s="48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4"/>
    </row>
    <row r="160" spans="1:64">
      <c r="A160" s="4">
        <v>195</v>
      </c>
      <c r="B160" s="3" t="s">
        <v>186</v>
      </c>
      <c r="D160" s="3" t="s">
        <v>102</v>
      </c>
      <c r="F160" s="1">
        <v>23442.880000000001</v>
      </c>
      <c r="G160" s="1"/>
      <c r="H160" s="1">
        <v>3863.89</v>
      </c>
      <c r="I160" s="1"/>
      <c r="J160" s="1">
        <v>12502.1</v>
      </c>
      <c r="K160" s="1"/>
      <c r="L160" s="1">
        <v>6037.42</v>
      </c>
      <c r="M160" s="1"/>
      <c r="N160" s="1">
        <v>0</v>
      </c>
      <c r="O160" s="1"/>
      <c r="P160" s="1">
        <v>4117.45</v>
      </c>
      <c r="Q160" s="1"/>
      <c r="R160" s="1">
        <v>591</v>
      </c>
      <c r="S160" s="1"/>
      <c r="T160" s="1">
        <v>0</v>
      </c>
      <c r="U160" s="1"/>
      <c r="V160" s="1">
        <v>0</v>
      </c>
      <c r="W160" s="1"/>
      <c r="X160" s="1">
        <v>0</v>
      </c>
      <c r="Y160" s="1"/>
      <c r="Z160" s="1">
        <v>0</v>
      </c>
      <c r="AA160" s="1"/>
      <c r="AB160" s="1">
        <v>0</v>
      </c>
      <c r="AC160" s="1"/>
      <c r="AD160" s="1">
        <v>0</v>
      </c>
      <c r="AE160" s="4"/>
      <c r="AF160" s="4">
        <f t="shared" si="7"/>
        <v>50554.74</v>
      </c>
      <c r="AG160" s="48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4"/>
    </row>
    <row r="161" spans="1:64">
      <c r="A161" s="4">
        <v>154</v>
      </c>
      <c r="B161" s="3" t="s">
        <v>187</v>
      </c>
      <c r="D161" s="3" t="s">
        <v>188</v>
      </c>
      <c r="F161" s="1">
        <v>926397</v>
      </c>
      <c r="G161" s="1">
        <v>0</v>
      </c>
      <c r="H161" s="1">
        <v>315224</v>
      </c>
      <c r="I161" s="1">
        <v>0</v>
      </c>
      <c r="J161" s="1">
        <v>235127</v>
      </c>
      <c r="K161" s="1">
        <v>0</v>
      </c>
      <c r="L161" s="1">
        <v>161828</v>
      </c>
      <c r="M161" s="1">
        <v>0</v>
      </c>
      <c r="N161" s="1">
        <v>0</v>
      </c>
      <c r="O161" s="1">
        <v>0</v>
      </c>
      <c r="P161" s="1">
        <v>37375</v>
      </c>
      <c r="Q161" s="1">
        <v>0</v>
      </c>
      <c r="R161" s="1">
        <v>14416</v>
      </c>
      <c r="S161" s="1">
        <v>0</v>
      </c>
      <c r="T161" s="1">
        <v>60587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4"/>
      <c r="AF161" s="4">
        <f t="shared" si="7"/>
        <v>1750954</v>
      </c>
      <c r="AG161" s="48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4"/>
    </row>
    <row r="162" spans="1:64">
      <c r="A162" s="4">
        <v>21</v>
      </c>
      <c r="B162" s="35" t="s">
        <v>430</v>
      </c>
      <c r="C162" s="35"/>
      <c r="D162" s="35" t="s">
        <v>474</v>
      </c>
      <c r="E162" s="35"/>
      <c r="F162" s="1">
        <v>463118.22</v>
      </c>
      <c r="G162" s="1"/>
      <c r="H162" s="1">
        <v>128486.93</v>
      </c>
      <c r="I162" s="1"/>
      <c r="J162" s="1">
        <v>176368.03</v>
      </c>
      <c r="K162" s="1"/>
      <c r="L162" s="1">
        <v>174323.38</v>
      </c>
      <c r="M162" s="1"/>
      <c r="N162" s="1">
        <v>0</v>
      </c>
      <c r="O162" s="1"/>
      <c r="P162" s="1">
        <v>23361.87</v>
      </c>
      <c r="Q162" s="1"/>
      <c r="R162" s="1">
        <v>3826.68</v>
      </c>
      <c r="S162" s="1"/>
      <c r="T162" s="1">
        <v>43463.31</v>
      </c>
      <c r="U162" s="1"/>
      <c r="V162" s="1">
        <v>0</v>
      </c>
      <c r="W162" s="1"/>
      <c r="X162" s="1">
        <v>0</v>
      </c>
      <c r="Y162" s="1"/>
      <c r="Z162" s="1">
        <v>432</v>
      </c>
      <c r="AA162" s="1"/>
      <c r="AB162" s="1">
        <v>0</v>
      </c>
      <c r="AC162" s="1"/>
      <c r="AD162" s="1">
        <v>0</v>
      </c>
      <c r="AE162" s="35"/>
      <c r="AF162" s="4">
        <f t="shared" si="7"/>
        <v>1013380.4199999999</v>
      </c>
      <c r="AI162" s="4"/>
    </row>
    <row r="163" spans="1:64">
      <c r="A163" s="4">
        <v>198</v>
      </c>
      <c r="B163" s="3" t="s">
        <v>189</v>
      </c>
      <c r="D163" s="3" t="s">
        <v>185</v>
      </c>
      <c r="F163" s="1">
        <v>240080.23</v>
      </c>
      <c r="G163" s="1"/>
      <c r="H163" s="1">
        <v>108897.59</v>
      </c>
      <c r="I163" s="1"/>
      <c r="J163" s="1">
        <v>96475.66</v>
      </c>
      <c r="K163" s="1"/>
      <c r="L163" s="1">
        <v>70413.91</v>
      </c>
      <c r="M163" s="1"/>
      <c r="N163" s="1">
        <v>0</v>
      </c>
      <c r="O163" s="1"/>
      <c r="P163" s="1">
        <v>16153.89</v>
      </c>
      <c r="Q163" s="1"/>
      <c r="R163" s="1">
        <v>267.87</v>
      </c>
      <c r="S163" s="1"/>
      <c r="T163" s="1">
        <v>8315.65</v>
      </c>
      <c r="U163" s="1"/>
      <c r="V163" s="1">
        <v>0</v>
      </c>
      <c r="W163" s="1"/>
      <c r="X163" s="1">
        <v>420</v>
      </c>
      <c r="Y163" s="1"/>
      <c r="Z163" s="1">
        <v>0</v>
      </c>
      <c r="AA163" s="1"/>
      <c r="AB163" s="1">
        <v>0</v>
      </c>
      <c r="AC163" s="1"/>
      <c r="AD163" s="1">
        <v>13</v>
      </c>
      <c r="AE163" s="4"/>
      <c r="AF163" s="4">
        <f t="shared" si="7"/>
        <v>541037.80000000005</v>
      </c>
    </row>
    <row r="164" spans="1:64">
      <c r="A164" s="4">
        <v>242</v>
      </c>
      <c r="B164" s="35" t="s">
        <v>190</v>
      </c>
      <c r="C164" s="35"/>
      <c r="D164" s="35" t="s">
        <v>502</v>
      </c>
      <c r="E164" s="35"/>
      <c r="F164" s="1">
        <v>354515.69</v>
      </c>
      <c r="G164" s="1"/>
      <c r="H164" s="1">
        <v>61178.31</v>
      </c>
      <c r="I164" s="1"/>
      <c r="J164" s="1">
        <v>104297.51</v>
      </c>
      <c r="K164" s="1"/>
      <c r="L164" s="1">
        <v>116055.93</v>
      </c>
      <c r="M164" s="1"/>
      <c r="N164" s="1">
        <v>0</v>
      </c>
      <c r="O164" s="1"/>
      <c r="P164" s="1">
        <v>11825.8</v>
      </c>
      <c r="Q164" s="1"/>
      <c r="R164" s="1">
        <v>74.209999999999994</v>
      </c>
      <c r="S164" s="1"/>
      <c r="T164" s="1">
        <v>211</v>
      </c>
      <c r="U164" s="1"/>
      <c r="V164" s="1">
        <v>0</v>
      </c>
      <c r="W164" s="1"/>
      <c r="X164" s="1">
        <v>0</v>
      </c>
      <c r="Y164" s="1"/>
      <c r="Z164" s="1">
        <v>350000</v>
      </c>
      <c r="AA164" s="1"/>
      <c r="AB164" s="1">
        <v>0</v>
      </c>
      <c r="AC164" s="1"/>
      <c r="AD164" s="1">
        <v>1660</v>
      </c>
      <c r="AE164" s="35"/>
      <c r="AF164" s="4">
        <f t="shared" si="7"/>
        <v>999818.45</v>
      </c>
    </row>
    <row r="165" spans="1:64">
      <c r="A165" s="4">
        <v>99</v>
      </c>
      <c r="B165" s="3" t="s">
        <v>191</v>
      </c>
      <c r="D165" s="3" t="s">
        <v>61</v>
      </c>
      <c r="F165" s="1">
        <v>293311.58</v>
      </c>
      <c r="G165" s="1"/>
      <c r="H165" s="1">
        <v>71868.100000000006</v>
      </c>
      <c r="I165" s="1"/>
      <c r="J165" s="1">
        <v>94143.76</v>
      </c>
      <c r="K165" s="1"/>
      <c r="L165" s="1">
        <v>106492.81</v>
      </c>
      <c r="M165" s="1"/>
      <c r="N165" s="1">
        <v>0</v>
      </c>
      <c r="O165" s="1"/>
      <c r="P165" s="1">
        <v>37159.269999999997</v>
      </c>
      <c r="Q165" s="1"/>
      <c r="R165" s="1">
        <v>3579.17</v>
      </c>
      <c r="S165" s="1"/>
      <c r="T165" s="1">
        <v>13849.18</v>
      </c>
      <c r="U165" s="1"/>
      <c r="V165" s="1">
        <v>0</v>
      </c>
      <c r="W165" s="1"/>
      <c r="X165" s="1">
        <v>0</v>
      </c>
      <c r="Y165" s="1"/>
      <c r="Z165" s="1">
        <v>0</v>
      </c>
      <c r="AA165" s="1"/>
      <c r="AB165" s="1">
        <v>0</v>
      </c>
      <c r="AC165" s="1"/>
      <c r="AD165" s="1">
        <v>0</v>
      </c>
      <c r="AE165" s="4"/>
      <c r="AF165" s="4">
        <f t="shared" si="7"/>
        <v>620403.87000000011</v>
      </c>
      <c r="AG165" s="48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4"/>
    </row>
    <row r="166" spans="1:64">
      <c r="A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8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4"/>
    </row>
    <row r="167" spans="1:64">
      <c r="A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4" t="s">
        <v>591</v>
      </c>
      <c r="AG167" s="48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4"/>
    </row>
    <row r="168" spans="1:64">
      <c r="B168" s="3" t="s">
        <v>524</v>
      </c>
    </row>
    <row r="169" spans="1:64">
      <c r="B169" s="3" t="s">
        <v>635</v>
      </c>
    </row>
    <row r="170" spans="1:64">
      <c r="B170" s="41" t="s">
        <v>7</v>
      </c>
    </row>
    <row r="171" spans="1:64" s="36" customFormat="1">
      <c r="L171" s="36" t="s">
        <v>8</v>
      </c>
    </row>
    <row r="172" spans="1:64" s="36" customFormat="1">
      <c r="H172" s="36" t="s">
        <v>321</v>
      </c>
      <c r="J172" s="36" t="s">
        <v>323</v>
      </c>
      <c r="L172" s="36" t="s">
        <v>555</v>
      </c>
      <c r="N172" s="36" t="s">
        <v>554</v>
      </c>
      <c r="X172" s="36" t="s">
        <v>330</v>
      </c>
      <c r="AD172" s="36" t="s">
        <v>0</v>
      </c>
    </row>
    <row r="173" spans="1:64" s="36" customFormat="1">
      <c r="H173" s="36" t="s">
        <v>322</v>
      </c>
      <c r="J173" s="36" t="s">
        <v>324</v>
      </c>
      <c r="L173" s="36" t="s">
        <v>325</v>
      </c>
      <c r="N173" s="36" t="s">
        <v>552</v>
      </c>
      <c r="T173" s="36" t="s">
        <v>30</v>
      </c>
      <c r="V173" s="36" t="s">
        <v>328</v>
      </c>
      <c r="X173" s="36" t="s">
        <v>331</v>
      </c>
      <c r="AD173" s="36" t="s">
        <v>296</v>
      </c>
    </row>
    <row r="174" spans="1:64" s="36" customFormat="1" ht="12" customHeight="1">
      <c r="A174" s="36" t="s">
        <v>578</v>
      </c>
      <c r="B174" s="37" t="s">
        <v>8</v>
      </c>
      <c r="D174" s="37" t="s">
        <v>6</v>
      </c>
      <c r="F174" s="37" t="s">
        <v>2</v>
      </c>
      <c r="H174" s="37" t="s">
        <v>3</v>
      </c>
      <c r="J174" s="37" t="s">
        <v>29</v>
      </c>
      <c r="L174" s="37" t="s">
        <v>326</v>
      </c>
      <c r="N174" s="37" t="s">
        <v>553</v>
      </c>
      <c r="P174" s="37" t="s">
        <v>4</v>
      </c>
      <c r="R174" s="37" t="s">
        <v>0</v>
      </c>
      <c r="T174" s="37" t="s">
        <v>327</v>
      </c>
      <c r="V174" s="37" t="s">
        <v>329</v>
      </c>
      <c r="X174" s="37" t="s">
        <v>332</v>
      </c>
      <c r="Z174" s="37" t="s">
        <v>506</v>
      </c>
      <c r="AB174" s="37" t="s">
        <v>507</v>
      </c>
      <c r="AD174" s="37" t="s">
        <v>333</v>
      </c>
      <c r="AF174" s="46" t="s">
        <v>28</v>
      </c>
    </row>
    <row r="175" spans="1:64" s="7" customFormat="1">
      <c r="A175" s="7">
        <v>237</v>
      </c>
      <c r="B175" s="7" t="s">
        <v>192</v>
      </c>
      <c r="D175" s="7" t="s">
        <v>193</v>
      </c>
      <c r="F175" s="7">
        <v>786478</v>
      </c>
      <c r="G175" s="7">
        <v>0</v>
      </c>
      <c r="H175" s="7">
        <v>209974</v>
      </c>
      <c r="I175" s="7">
        <v>0</v>
      </c>
      <c r="J175" s="7">
        <v>146448</v>
      </c>
      <c r="K175" s="7">
        <v>0</v>
      </c>
      <c r="L175" s="7">
        <v>269946</v>
      </c>
      <c r="M175" s="7">
        <v>0</v>
      </c>
      <c r="N175" s="7">
        <v>0</v>
      </c>
      <c r="O175" s="7">
        <v>0</v>
      </c>
      <c r="P175" s="7">
        <v>16806</v>
      </c>
      <c r="Q175" s="7">
        <v>0</v>
      </c>
      <c r="R175" s="7">
        <v>74507</v>
      </c>
      <c r="S175" s="7">
        <v>0</v>
      </c>
      <c r="T175" s="7">
        <v>32782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F175" s="7">
        <f t="shared" ref="AF175:AF238" si="8">SUM(F175:AD175)</f>
        <v>1536941</v>
      </c>
      <c r="AG175" s="47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</row>
    <row r="176" spans="1:64">
      <c r="A176" s="4">
        <v>243</v>
      </c>
      <c r="B176" s="35" t="s">
        <v>194</v>
      </c>
      <c r="C176" s="35"/>
      <c r="D176" s="35" t="s">
        <v>502</v>
      </c>
      <c r="E176" s="35"/>
      <c r="F176" s="1">
        <v>581741.47</v>
      </c>
      <c r="G176" s="1"/>
      <c r="H176" s="1">
        <v>204383.04</v>
      </c>
      <c r="I176" s="1"/>
      <c r="J176" s="1">
        <v>153869.45000000001</v>
      </c>
      <c r="K176" s="1"/>
      <c r="L176" s="1">
        <v>163021.43</v>
      </c>
      <c r="M176" s="1"/>
      <c r="N176" s="1">
        <v>0</v>
      </c>
      <c r="O176" s="1"/>
      <c r="P176" s="1">
        <v>21270.400000000001</v>
      </c>
      <c r="Q176" s="1"/>
      <c r="R176" s="1">
        <v>1220.8399999999999</v>
      </c>
      <c r="S176" s="1"/>
      <c r="T176" s="1">
        <v>13844.95</v>
      </c>
      <c r="U176" s="1"/>
      <c r="V176" s="1">
        <v>0</v>
      </c>
      <c r="W176" s="1"/>
      <c r="X176" s="1">
        <v>0</v>
      </c>
      <c r="Y176" s="1"/>
      <c r="Z176" s="1">
        <v>0</v>
      </c>
      <c r="AA176" s="1"/>
      <c r="AB176" s="1">
        <v>0</v>
      </c>
      <c r="AC176" s="1"/>
      <c r="AD176" s="1">
        <v>0</v>
      </c>
      <c r="AE176" s="35"/>
      <c r="AF176" s="4">
        <f t="shared" si="8"/>
        <v>1139351.5799999998</v>
      </c>
    </row>
    <row r="177" spans="1:64">
      <c r="A177" s="4">
        <v>211</v>
      </c>
      <c r="B177" s="3" t="s">
        <v>195</v>
      </c>
      <c r="D177" s="3" t="s">
        <v>25</v>
      </c>
      <c r="F177" s="4">
        <v>1111578.6100000001</v>
      </c>
      <c r="G177" s="4">
        <v>0</v>
      </c>
      <c r="H177" s="4">
        <v>228946.75</v>
      </c>
      <c r="I177" s="4">
        <v>0</v>
      </c>
      <c r="J177" s="4">
        <v>339622.96</v>
      </c>
      <c r="K177" s="4">
        <v>0</v>
      </c>
      <c r="L177" s="4">
        <v>330468.62</v>
      </c>
      <c r="M177" s="4">
        <v>0</v>
      </c>
      <c r="N177" s="4">
        <v>0</v>
      </c>
      <c r="O177" s="4">
        <v>0</v>
      </c>
      <c r="P177" s="4">
        <v>68021.09</v>
      </c>
      <c r="Q177" s="4">
        <v>0</v>
      </c>
      <c r="R177" s="4">
        <v>10535.95</v>
      </c>
      <c r="S177" s="4">
        <v>0</v>
      </c>
      <c r="T177" s="4">
        <v>24683.03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21000</v>
      </c>
      <c r="AA177" s="4">
        <v>0</v>
      </c>
      <c r="AB177" s="4">
        <v>0</v>
      </c>
      <c r="AC177" s="4">
        <v>0</v>
      </c>
      <c r="AD177" s="4">
        <v>0</v>
      </c>
      <c r="AE177" s="4"/>
      <c r="AF177" s="4">
        <f t="shared" si="8"/>
        <v>2134857.0099999998</v>
      </c>
    </row>
    <row r="178" spans="1:64">
      <c r="A178" s="4">
        <v>94</v>
      </c>
      <c r="B178" s="3" t="s">
        <v>340</v>
      </c>
      <c r="D178" s="3" t="s">
        <v>139</v>
      </c>
      <c r="F178" s="1">
        <v>143621.01</v>
      </c>
      <c r="G178" s="1"/>
      <c r="H178" s="1">
        <v>49461.87</v>
      </c>
      <c r="I178" s="1"/>
      <c r="J178" s="1">
        <v>29337.06</v>
      </c>
      <c r="K178" s="1"/>
      <c r="L178" s="1">
        <v>23795.51</v>
      </c>
      <c r="M178" s="1"/>
      <c r="N178" s="1">
        <v>0</v>
      </c>
      <c r="O178" s="1"/>
      <c r="P178" s="1">
        <v>5334.59</v>
      </c>
      <c r="Q178" s="1"/>
      <c r="R178" s="1">
        <v>3076.89</v>
      </c>
      <c r="S178" s="1"/>
      <c r="T178" s="1">
        <v>1600</v>
      </c>
      <c r="U178" s="1"/>
      <c r="V178" s="1">
        <v>0</v>
      </c>
      <c r="W178" s="1"/>
      <c r="X178" s="1">
        <v>0</v>
      </c>
      <c r="Y178" s="1"/>
      <c r="Z178" s="1">
        <v>0</v>
      </c>
      <c r="AA178" s="1"/>
      <c r="AB178" s="1">
        <v>0</v>
      </c>
      <c r="AC178" s="1"/>
      <c r="AD178" s="1">
        <v>0</v>
      </c>
      <c r="AE178" s="4"/>
      <c r="AF178" s="4">
        <f t="shared" si="8"/>
        <v>256226.93000000002</v>
      </c>
    </row>
    <row r="179" spans="1:64">
      <c r="A179" s="4">
        <v>227</v>
      </c>
      <c r="B179" s="7" t="s">
        <v>440</v>
      </c>
      <c r="C179" s="7"/>
      <c r="D179" s="7" t="s">
        <v>56</v>
      </c>
      <c r="E179" s="7"/>
      <c r="F179" s="4">
        <v>336565</v>
      </c>
      <c r="G179" s="4">
        <v>0</v>
      </c>
      <c r="H179" s="4">
        <v>136220</v>
      </c>
      <c r="I179" s="4">
        <v>0</v>
      </c>
      <c r="J179" s="4">
        <v>158742</v>
      </c>
      <c r="K179" s="4">
        <v>0</v>
      </c>
      <c r="L179" s="4">
        <v>126214</v>
      </c>
      <c r="M179" s="4">
        <v>0</v>
      </c>
      <c r="N179" s="4">
        <v>0</v>
      </c>
      <c r="O179" s="4">
        <v>0</v>
      </c>
      <c r="P179" s="4">
        <v>22089</v>
      </c>
      <c r="Q179" s="4">
        <v>0</v>
      </c>
      <c r="R179" s="4">
        <v>4177</v>
      </c>
      <c r="S179" s="4">
        <v>0</v>
      </c>
      <c r="T179" s="4">
        <v>7433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20557</v>
      </c>
      <c r="AA179" s="4">
        <v>0</v>
      </c>
      <c r="AB179" s="4">
        <v>0</v>
      </c>
      <c r="AC179" s="4">
        <v>0</v>
      </c>
      <c r="AD179" s="4">
        <v>0</v>
      </c>
      <c r="AE179" s="4"/>
      <c r="AF179" s="4">
        <f t="shared" si="8"/>
        <v>811997</v>
      </c>
    </row>
    <row r="180" spans="1:64">
      <c r="A180" s="4">
        <v>29</v>
      </c>
      <c r="B180" s="35" t="s">
        <v>196</v>
      </c>
      <c r="C180" s="35"/>
      <c r="D180" s="35" t="s">
        <v>478</v>
      </c>
      <c r="E180" s="35"/>
      <c r="F180" s="1">
        <v>124784.18</v>
      </c>
      <c r="G180" s="1"/>
      <c r="H180" s="1">
        <v>51293.77</v>
      </c>
      <c r="I180" s="1"/>
      <c r="J180" s="1">
        <v>39423.040000000001</v>
      </c>
      <c r="K180" s="1"/>
      <c r="L180" s="1">
        <v>29225.71</v>
      </c>
      <c r="M180" s="1"/>
      <c r="N180" s="1">
        <v>0</v>
      </c>
      <c r="O180" s="1"/>
      <c r="P180" s="1">
        <v>4601.57</v>
      </c>
      <c r="Q180" s="1"/>
      <c r="R180" s="1">
        <v>1500</v>
      </c>
      <c r="S180" s="1"/>
      <c r="T180" s="1">
        <v>10297</v>
      </c>
      <c r="U180" s="1"/>
      <c r="V180" s="1">
        <v>0</v>
      </c>
      <c r="W180" s="1"/>
      <c r="X180" s="1">
        <v>0</v>
      </c>
      <c r="Y180" s="1"/>
      <c r="Z180" s="1">
        <v>0</v>
      </c>
      <c r="AA180" s="1"/>
      <c r="AB180" s="1">
        <v>0</v>
      </c>
      <c r="AC180" s="1"/>
      <c r="AD180" s="1">
        <v>0</v>
      </c>
      <c r="AE180" s="35"/>
      <c r="AF180" s="4">
        <f t="shared" si="8"/>
        <v>261125.27</v>
      </c>
      <c r="AI180" s="4"/>
    </row>
    <row r="181" spans="1:64">
      <c r="A181" s="4">
        <v>156</v>
      </c>
      <c r="B181" s="3" t="s">
        <v>602</v>
      </c>
      <c r="D181" s="3" t="s">
        <v>20</v>
      </c>
      <c r="F181" s="4">
        <v>3786177</v>
      </c>
      <c r="G181" s="4">
        <v>0</v>
      </c>
      <c r="H181" s="4">
        <v>1014761</v>
      </c>
      <c r="I181" s="4">
        <v>0</v>
      </c>
      <c r="J181" s="4">
        <v>1373361</v>
      </c>
      <c r="K181" s="4">
        <v>0</v>
      </c>
      <c r="L181" s="4">
        <v>928694</v>
      </c>
      <c r="M181" s="4">
        <v>0</v>
      </c>
      <c r="N181" s="4">
        <v>0</v>
      </c>
      <c r="O181" s="4">
        <v>0</v>
      </c>
      <c r="P181" s="4">
        <v>126783</v>
      </c>
      <c r="Q181" s="4">
        <v>0</v>
      </c>
      <c r="R181" s="4">
        <v>26375</v>
      </c>
      <c r="S181" s="4">
        <v>0</v>
      </c>
      <c r="T181" s="4">
        <v>0</v>
      </c>
      <c r="U181" s="4">
        <v>0</v>
      </c>
      <c r="V181" s="4">
        <v>0</v>
      </c>
      <c r="W181" s="4"/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/>
      <c r="AF181" s="4">
        <f t="shared" si="8"/>
        <v>7256151</v>
      </c>
      <c r="AG181" s="48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4"/>
    </row>
    <row r="182" spans="1:64">
      <c r="A182" s="4">
        <v>157</v>
      </c>
      <c r="B182" s="35" t="s">
        <v>490</v>
      </c>
      <c r="C182" s="35"/>
      <c r="D182" s="35" t="s">
        <v>491</v>
      </c>
      <c r="E182" s="35"/>
      <c r="F182" s="1">
        <v>354893.16</v>
      </c>
      <c r="G182" s="1"/>
      <c r="H182" s="1">
        <v>93799.07</v>
      </c>
      <c r="I182" s="1"/>
      <c r="J182" s="1">
        <v>94561.919999999998</v>
      </c>
      <c r="K182" s="1"/>
      <c r="L182" s="1">
        <v>94373.15</v>
      </c>
      <c r="M182" s="1"/>
      <c r="N182" s="1">
        <v>0</v>
      </c>
      <c r="O182" s="1"/>
      <c r="P182" s="1">
        <v>11886.41</v>
      </c>
      <c r="Q182" s="1"/>
      <c r="R182" s="1">
        <v>2567</v>
      </c>
      <c r="S182" s="1"/>
      <c r="T182" s="1">
        <v>4127</v>
      </c>
      <c r="U182" s="1"/>
      <c r="V182" s="1">
        <v>0</v>
      </c>
      <c r="W182" s="1"/>
      <c r="X182" s="1">
        <v>0</v>
      </c>
      <c r="Y182" s="1"/>
      <c r="Z182" s="1">
        <v>75000</v>
      </c>
      <c r="AA182" s="1"/>
      <c r="AB182" s="1">
        <v>0</v>
      </c>
      <c r="AC182" s="1"/>
      <c r="AD182" s="1">
        <v>0</v>
      </c>
      <c r="AE182" s="35"/>
      <c r="AF182" s="4">
        <f t="shared" si="8"/>
        <v>731207.71000000008</v>
      </c>
      <c r="AI182" s="4"/>
    </row>
    <row r="183" spans="1:64">
      <c r="A183" s="4">
        <v>126</v>
      </c>
      <c r="B183" s="35" t="s">
        <v>14</v>
      </c>
      <c r="C183" s="35"/>
      <c r="D183" s="35" t="s">
        <v>15</v>
      </c>
      <c r="E183" s="35"/>
      <c r="F183" s="4">
        <v>1896574</v>
      </c>
      <c r="G183" s="4">
        <v>0</v>
      </c>
      <c r="H183" s="4">
        <v>0</v>
      </c>
      <c r="I183" s="4">
        <v>0</v>
      </c>
      <c r="J183" s="4">
        <v>492260</v>
      </c>
      <c r="K183" s="4">
        <v>0</v>
      </c>
      <c r="L183" s="4">
        <v>554763</v>
      </c>
      <c r="M183" s="4">
        <v>0</v>
      </c>
      <c r="N183" s="4">
        <v>0</v>
      </c>
      <c r="O183" s="4">
        <v>0</v>
      </c>
      <c r="P183" s="4">
        <v>31719</v>
      </c>
      <c r="Q183" s="4">
        <v>0</v>
      </c>
      <c r="R183" s="4">
        <v>11234</v>
      </c>
      <c r="S183" s="4">
        <v>0</v>
      </c>
      <c r="T183" s="4">
        <v>47958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139097</v>
      </c>
      <c r="AA183" s="4">
        <v>0</v>
      </c>
      <c r="AB183" s="4">
        <v>75000</v>
      </c>
      <c r="AC183" s="4">
        <v>0</v>
      </c>
      <c r="AD183" s="4">
        <v>0</v>
      </c>
      <c r="AE183" s="35"/>
      <c r="AF183" s="4">
        <f t="shared" si="8"/>
        <v>3248605</v>
      </c>
      <c r="AI183" s="4"/>
    </row>
    <row r="184" spans="1:64">
      <c r="A184" s="4">
        <v>160</v>
      </c>
      <c r="B184" s="35" t="s">
        <v>603</v>
      </c>
      <c r="C184" s="35"/>
      <c r="D184" s="35" t="s">
        <v>493</v>
      </c>
      <c r="E184" s="35"/>
      <c r="F184" s="1">
        <v>511839.5</v>
      </c>
      <c r="G184" s="1"/>
      <c r="H184" s="1">
        <v>133007.17000000001</v>
      </c>
      <c r="I184" s="1"/>
      <c r="J184" s="1">
        <v>124333.92</v>
      </c>
      <c r="K184" s="1"/>
      <c r="L184" s="1">
        <v>59479.199999999997</v>
      </c>
      <c r="M184" s="1"/>
      <c r="N184" s="1">
        <v>0</v>
      </c>
      <c r="O184" s="1"/>
      <c r="P184" s="1">
        <v>21997.25</v>
      </c>
      <c r="Q184" s="1"/>
      <c r="R184" s="1">
        <v>3228.03</v>
      </c>
      <c r="S184" s="1"/>
      <c r="T184" s="1">
        <v>17186.25</v>
      </c>
      <c r="U184" s="1"/>
      <c r="V184" s="1">
        <v>0</v>
      </c>
      <c r="W184" s="1"/>
      <c r="X184" s="1">
        <v>0</v>
      </c>
      <c r="Y184" s="1"/>
      <c r="Z184" s="1">
        <v>130263</v>
      </c>
      <c r="AA184" s="1"/>
      <c r="AB184" s="1">
        <v>0</v>
      </c>
      <c r="AC184" s="1"/>
      <c r="AD184" s="1">
        <v>0</v>
      </c>
      <c r="AE184" s="35"/>
      <c r="AF184" s="4">
        <f t="shared" si="8"/>
        <v>1001334.3200000001</v>
      </c>
    </row>
    <row r="185" spans="1:64">
      <c r="A185" s="4">
        <v>26</v>
      </c>
      <c r="B185" s="3" t="s">
        <v>197</v>
      </c>
      <c r="D185" s="3" t="s">
        <v>10</v>
      </c>
      <c r="F185" s="4">
        <v>2804711</v>
      </c>
      <c r="G185" s="4">
        <v>0</v>
      </c>
      <c r="H185" s="4">
        <v>0</v>
      </c>
      <c r="I185" s="4">
        <v>0</v>
      </c>
      <c r="J185" s="4">
        <v>862470</v>
      </c>
      <c r="K185" s="4">
        <v>0</v>
      </c>
      <c r="L185" s="4">
        <v>613032</v>
      </c>
      <c r="M185" s="4">
        <v>0</v>
      </c>
      <c r="N185" s="4">
        <v>0</v>
      </c>
      <c r="O185" s="4">
        <v>0</v>
      </c>
      <c r="P185" s="4">
        <v>75148</v>
      </c>
      <c r="Q185" s="4">
        <v>0</v>
      </c>
      <c r="R185" s="4">
        <v>19227</v>
      </c>
      <c r="S185" s="4">
        <v>0</v>
      </c>
      <c r="T185" s="4">
        <v>40311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/>
      <c r="AF185" s="4">
        <f t="shared" si="8"/>
        <v>4414899</v>
      </c>
      <c r="AG185" s="48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4"/>
    </row>
    <row r="186" spans="1:64">
      <c r="A186" s="4">
        <v>67</v>
      </c>
      <c r="B186" s="3" t="s">
        <v>198</v>
      </c>
      <c r="D186" s="3" t="s">
        <v>167</v>
      </c>
      <c r="F186" s="1">
        <v>447279.35999999999</v>
      </c>
      <c r="G186" s="1"/>
      <c r="H186" s="1">
        <v>72626.61</v>
      </c>
      <c r="I186" s="1"/>
      <c r="J186" s="1">
        <v>115533.34</v>
      </c>
      <c r="K186" s="1"/>
      <c r="L186" s="1">
        <v>135012.64000000001</v>
      </c>
      <c r="M186" s="1"/>
      <c r="N186" s="1">
        <v>0</v>
      </c>
      <c r="O186" s="1"/>
      <c r="P186" s="1">
        <v>30462.45</v>
      </c>
      <c r="Q186" s="1"/>
      <c r="R186" s="1">
        <v>2399.14</v>
      </c>
      <c r="S186" s="1"/>
      <c r="T186" s="1">
        <v>0</v>
      </c>
      <c r="U186" s="1"/>
      <c r="V186" s="1">
        <v>0</v>
      </c>
      <c r="W186" s="1"/>
      <c r="X186" s="1">
        <v>0</v>
      </c>
      <c r="Y186" s="1"/>
      <c r="Z186" s="1">
        <v>0</v>
      </c>
      <c r="AA186" s="1"/>
      <c r="AB186" s="1">
        <v>0</v>
      </c>
      <c r="AC186" s="1"/>
      <c r="AD186" s="1">
        <v>0</v>
      </c>
      <c r="AE186" s="4"/>
      <c r="AF186" s="4">
        <f t="shared" si="8"/>
        <v>803313.53999999992</v>
      </c>
    </row>
    <row r="187" spans="1:64">
      <c r="A187" s="4">
        <v>165</v>
      </c>
      <c r="B187" s="35" t="s">
        <v>199</v>
      </c>
      <c r="C187" s="35"/>
      <c r="D187" s="35" t="s">
        <v>494</v>
      </c>
      <c r="E187" s="35"/>
      <c r="F187" s="1">
        <v>220330.18</v>
      </c>
      <c r="G187" s="1"/>
      <c r="H187" s="1">
        <v>62910.54</v>
      </c>
      <c r="I187" s="1"/>
      <c r="J187" s="1">
        <v>62317.47</v>
      </c>
      <c r="K187" s="1"/>
      <c r="L187" s="1">
        <v>39914.94</v>
      </c>
      <c r="M187" s="1"/>
      <c r="N187" s="1">
        <v>0</v>
      </c>
      <c r="O187" s="1"/>
      <c r="P187" s="1">
        <v>6160.72</v>
      </c>
      <c r="Q187" s="1"/>
      <c r="R187" s="1">
        <v>1511.85</v>
      </c>
      <c r="S187" s="1"/>
      <c r="T187" s="1">
        <v>0</v>
      </c>
      <c r="U187" s="1"/>
      <c r="V187" s="1">
        <v>0</v>
      </c>
      <c r="W187" s="1"/>
      <c r="X187" s="1">
        <v>0</v>
      </c>
      <c r="Y187" s="1"/>
      <c r="Z187" s="1">
        <v>0</v>
      </c>
      <c r="AA187" s="1"/>
      <c r="AB187" s="1">
        <v>0</v>
      </c>
      <c r="AC187" s="1"/>
      <c r="AD187" s="1">
        <v>0</v>
      </c>
      <c r="AE187" s="35"/>
      <c r="AF187" s="4">
        <f t="shared" si="8"/>
        <v>393145.6999999999</v>
      </c>
    </row>
    <row r="188" spans="1:64">
      <c r="A188" s="4">
        <v>212</v>
      </c>
      <c r="B188" s="35" t="s">
        <v>200</v>
      </c>
      <c r="C188" s="35"/>
      <c r="D188" s="35" t="s">
        <v>499</v>
      </c>
      <c r="E188" s="35"/>
      <c r="F188" s="1">
        <v>342616.65</v>
      </c>
      <c r="G188" s="1"/>
      <c r="H188" s="1">
        <v>105738.08</v>
      </c>
      <c r="I188" s="1"/>
      <c r="J188" s="1">
        <v>75086.850000000006</v>
      </c>
      <c r="K188" s="1"/>
      <c r="L188" s="1">
        <v>82674.37</v>
      </c>
      <c r="M188" s="1"/>
      <c r="N188" s="1">
        <v>0</v>
      </c>
      <c r="O188" s="1"/>
      <c r="P188" s="1">
        <v>7666.16</v>
      </c>
      <c r="Q188" s="1"/>
      <c r="R188" s="1">
        <v>21483.77</v>
      </c>
      <c r="S188" s="1"/>
      <c r="T188" s="1">
        <v>0</v>
      </c>
      <c r="U188" s="1"/>
      <c r="V188" s="1">
        <v>0</v>
      </c>
      <c r="W188" s="1"/>
      <c r="X188" s="1">
        <v>0</v>
      </c>
      <c r="Y188" s="1"/>
      <c r="Z188" s="1">
        <v>15000</v>
      </c>
      <c r="AA188" s="1"/>
      <c r="AB188" s="1">
        <v>0</v>
      </c>
      <c r="AC188" s="1"/>
      <c r="AD188" s="1">
        <v>0</v>
      </c>
      <c r="AE188" s="35"/>
      <c r="AF188" s="4">
        <f t="shared" si="8"/>
        <v>650265.88000000012</v>
      </c>
      <c r="AG188" s="48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4"/>
    </row>
    <row r="189" spans="1:64">
      <c r="A189" s="4">
        <v>259</v>
      </c>
      <c r="B189" s="3" t="s">
        <v>309</v>
      </c>
      <c r="D189" s="3" t="s">
        <v>63</v>
      </c>
      <c r="F189" s="1">
        <v>107245.71</v>
      </c>
      <c r="G189" s="1"/>
      <c r="H189" s="1">
        <v>16988</v>
      </c>
      <c r="I189" s="1"/>
      <c r="J189" s="1">
        <v>39800.160000000003</v>
      </c>
      <c r="K189" s="1"/>
      <c r="L189" s="1">
        <v>37684.29</v>
      </c>
      <c r="M189" s="1"/>
      <c r="N189" s="1">
        <v>0</v>
      </c>
      <c r="O189" s="1"/>
      <c r="P189" s="1">
        <v>7148.8</v>
      </c>
      <c r="Q189" s="1"/>
      <c r="R189" s="1">
        <v>2094.84</v>
      </c>
      <c r="S189" s="1"/>
      <c r="T189" s="1">
        <v>9760</v>
      </c>
      <c r="U189" s="1"/>
      <c r="V189" s="1">
        <v>0</v>
      </c>
      <c r="W189" s="1"/>
      <c r="X189" s="1">
        <v>0</v>
      </c>
      <c r="Y189" s="1"/>
      <c r="Z189" s="1">
        <v>0</v>
      </c>
      <c r="AA189" s="1"/>
      <c r="AB189" s="1">
        <v>0</v>
      </c>
      <c r="AC189" s="1"/>
      <c r="AD189" s="1">
        <v>0</v>
      </c>
      <c r="AE189" s="4"/>
      <c r="AF189" s="4">
        <f t="shared" si="8"/>
        <v>220721.8</v>
      </c>
      <c r="AG189" s="48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4"/>
    </row>
    <row r="190" spans="1:64">
      <c r="A190" s="4">
        <v>168</v>
      </c>
      <c r="B190" s="35" t="s">
        <v>495</v>
      </c>
      <c r="C190" s="35"/>
      <c r="D190" s="35" t="s">
        <v>496</v>
      </c>
      <c r="E190" s="35"/>
      <c r="F190" s="1">
        <v>231766</v>
      </c>
      <c r="G190" s="1"/>
      <c r="H190" s="1">
        <v>82676.820000000007</v>
      </c>
      <c r="I190" s="1"/>
      <c r="J190" s="1">
        <v>48104.21</v>
      </c>
      <c r="K190" s="1"/>
      <c r="L190" s="1">
        <v>49009.17</v>
      </c>
      <c r="M190" s="1"/>
      <c r="N190" s="1">
        <v>0</v>
      </c>
      <c r="O190" s="1"/>
      <c r="P190" s="1">
        <v>5486.51</v>
      </c>
      <c r="Q190" s="1"/>
      <c r="R190" s="1">
        <v>5169</v>
      </c>
      <c r="S190" s="1"/>
      <c r="T190" s="1">
        <v>0</v>
      </c>
      <c r="U190" s="1"/>
      <c r="V190" s="1">
        <v>0</v>
      </c>
      <c r="W190" s="1"/>
      <c r="X190" s="1">
        <v>0</v>
      </c>
      <c r="Y190" s="1"/>
      <c r="Z190" s="1">
        <v>0</v>
      </c>
      <c r="AA190" s="1"/>
      <c r="AB190" s="1">
        <v>0</v>
      </c>
      <c r="AC190" s="1"/>
      <c r="AD190" s="1">
        <v>0</v>
      </c>
      <c r="AE190" s="35"/>
      <c r="AF190" s="4">
        <f t="shared" si="8"/>
        <v>422211.71</v>
      </c>
      <c r="AI190" s="4"/>
    </row>
    <row r="191" spans="1:64">
      <c r="A191" s="4">
        <v>111</v>
      </c>
      <c r="B191" s="3" t="s">
        <v>202</v>
      </c>
      <c r="D191" s="3" t="s">
        <v>89</v>
      </c>
      <c r="F191" s="4">
        <v>59642</v>
      </c>
      <c r="G191" s="4">
        <v>0</v>
      </c>
      <c r="H191" s="4">
        <v>9453</v>
      </c>
      <c r="I191" s="4">
        <v>0</v>
      </c>
      <c r="J191" s="4">
        <v>24854</v>
      </c>
      <c r="K191" s="4">
        <v>0</v>
      </c>
      <c r="L191" s="4">
        <v>12360</v>
      </c>
      <c r="M191" s="4">
        <v>0</v>
      </c>
      <c r="N191" s="4">
        <v>0</v>
      </c>
      <c r="O191" s="4">
        <v>0</v>
      </c>
      <c r="P191" s="4">
        <v>2763</v>
      </c>
      <c r="Q191" s="4">
        <v>0</v>
      </c>
      <c r="R191" s="4">
        <v>322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/>
      <c r="AF191" s="4">
        <f t="shared" si="8"/>
        <v>109394</v>
      </c>
    </row>
    <row r="192" spans="1:64">
      <c r="A192" s="4">
        <v>248</v>
      </c>
      <c r="B192" s="3" t="s">
        <v>203</v>
      </c>
      <c r="D192" s="3" t="s">
        <v>204</v>
      </c>
      <c r="F192" s="4">
        <v>105990</v>
      </c>
      <c r="G192" s="4">
        <v>0</v>
      </c>
      <c r="H192" s="4">
        <v>17101</v>
      </c>
      <c r="I192" s="4">
        <v>0</v>
      </c>
      <c r="J192" s="4">
        <v>26417</v>
      </c>
      <c r="K192" s="4">
        <v>0</v>
      </c>
      <c r="L192" s="4">
        <v>18914</v>
      </c>
      <c r="M192" s="4">
        <v>0</v>
      </c>
      <c r="N192" s="4">
        <v>0</v>
      </c>
      <c r="O192" s="4">
        <v>0</v>
      </c>
      <c r="P192" s="4">
        <v>7779</v>
      </c>
      <c r="Q192" s="4">
        <v>0</v>
      </c>
      <c r="R192" s="4">
        <v>2404</v>
      </c>
      <c r="S192" s="4">
        <v>0</v>
      </c>
      <c r="T192" s="4">
        <v>2870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/>
      <c r="AF192" s="4">
        <f t="shared" si="8"/>
        <v>181475</v>
      </c>
    </row>
    <row r="193" spans="1:64">
      <c r="A193" s="4">
        <v>127</v>
      </c>
      <c r="B193" s="3" t="s">
        <v>205</v>
      </c>
      <c r="D193" s="3" t="s">
        <v>15</v>
      </c>
      <c r="F193" s="4">
        <v>1228176</v>
      </c>
      <c r="G193" s="4">
        <v>0</v>
      </c>
      <c r="H193" s="4">
        <v>389285</v>
      </c>
      <c r="I193" s="4">
        <v>0</v>
      </c>
      <c r="J193" s="4">
        <v>368409</v>
      </c>
      <c r="K193" s="4">
        <v>0</v>
      </c>
      <c r="L193" s="4">
        <v>421463</v>
      </c>
      <c r="M193" s="4">
        <v>0</v>
      </c>
      <c r="N193" s="4">
        <v>0</v>
      </c>
      <c r="O193" s="4">
        <v>0</v>
      </c>
      <c r="P193" s="4">
        <v>44848</v>
      </c>
      <c r="Q193" s="4">
        <v>0</v>
      </c>
      <c r="R193" s="4">
        <v>9162</v>
      </c>
      <c r="S193" s="4">
        <v>0</v>
      </c>
      <c r="T193" s="4">
        <v>61052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628</v>
      </c>
      <c r="AA193" s="4">
        <v>0</v>
      </c>
      <c r="AB193" s="4">
        <v>0</v>
      </c>
      <c r="AC193" s="4">
        <v>0</v>
      </c>
      <c r="AD193" s="4">
        <v>0</v>
      </c>
      <c r="AE193" s="4"/>
      <c r="AF193" s="4">
        <f t="shared" si="8"/>
        <v>2523023</v>
      </c>
      <c r="AG193" s="50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8"/>
    </row>
    <row r="194" spans="1:64">
      <c r="A194" s="4">
        <v>175</v>
      </c>
      <c r="B194" s="3" t="s">
        <v>206</v>
      </c>
      <c r="D194" s="3" t="s">
        <v>68</v>
      </c>
      <c r="F194" s="1">
        <v>124719.76</v>
      </c>
      <c r="G194" s="1"/>
      <c r="H194" s="1">
        <v>22755.360000000001</v>
      </c>
      <c r="I194" s="1"/>
      <c r="J194" s="1">
        <v>76390.259999999995</v>
      </c>
      <c r="K194" s="1"/>
      <c r="L194" s="1">
        <v>27477.32</v>
      </c>
      <c r="M194" s="1"/>
      <c r="N194" s="1">
        <v>0</v>
      </c>
      <c r="O194" s="1"/>
      <c r="P194" s="1">
        <v>4846.78</v>
      </c>
      <c r="Q194" s="1"/>
      <c r="R194" s="1">
        <v>2845.9</v>
      </c>
      <c r="S194" s="1"/>
      <c r="T194" s="1">
        <v>520.34</v>
      </c>
      <c r="U194" s="1"/>
      <c r="V194" s="1">
        <v>0</v>
      </c>
      <c r="W194" s="1"/>
      <c r="X194" s="1">
        <v>0</v>
      </c>
      <c r="Y194" s="1"/>
      <c r="Z194" s="1">
        <v>0</v>
      </c>
      <c r="AA194" s="1"/>
      <c r="AB194" s="1">
        <v>0</v>
      </c>
      <c r="AC194" s="1"/>
      <c r="AD194" s="1">
        <v>0</v>
      </c>
      <c r="AE194" s="4"/>
      <c r="AF194" s="4">
        <f t="shared" si="8"/>
        <v>259555.72</v>
      </c>
    </row>
    <row r="195" spans="1:64">
      <c r="A195" s="4">
        <v>150</v>
      </c>
      <c r="B195" s="35" t="s">
        <v>207</v>
      </c>
      <c r="C195" s="35"/>
      <c r="D195" s="35" t="s">
        <v>489</v>
      </c>
      <c r="E195" s="35"/>
      <c r="F195" s="1">
        <v>98589.37</v>
      </c>
      <c r="G195" s="1"/>
      <c r="H195" s="1">
        <v>16378.43</v>
      </c>
      <c r="I195" s="1"/>
      <c r="J195" s="1">
        <v>45144.58</v>
      </c>
      <c r="K195" s="1"/>
      <c r="L195" s="1">
        <v>25555.02</v>
      </c>
      <c r="M195" s="1"/>
      <c r="N195" s="1">
        <v>0</v>
      </c>
      <c r="O195" s="1"/>
      <c r="P195" s="1">
        <v>4495.6400000000003</v>
      </c>
      <c r="Q195" s="1"/>
      <c r="R195" s="1">
        <v>1631.2</v>
      </c>
      <c r="S195" s="1"/>
      <c r="T195" s="1">
        <v>0</v>
      </c>
      <c r="U195" s="1"/>
      <c r="V195" s="1">
        <v>0</v>
      </c>
      <c r="W195" s="1"/>
      <c r="X195" s="1">
        <v>0</v>
      </c>
      <c r="Y195" s="1"/>
      <c r="Z195" s="1">
        <v>0</v>
      </c>
      <c r="AA195" s="1"/>
      <c r="AB195" s="1">
        <v>0</v>
      </c>
      <c r="AC195" s="1"/>
      <c r="AD195" s="1">
        <v>0</v>
      </c>
      <c r="AE195" s="35"/>
      <c r="AF195" s="4">
        <f t="shared" si="8"/>
        <v>191794.24000000002</v>
      </c>
      <c r="AG195" s="48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4"/>
    </row>
    <row r="196" spans="1:64">
      <c r="A196" s="4">
        <v>122</v>
      </c>
      <c r="B196" s="3" t="s">
        <v>431</v>
      </c>
      <c r="D196" s="3" t="s">
        <v>16</v>
      </c>
      <c r="F196" s="4">
        <v>1098357</v>
      </c>
      <c r="G196" s="4">
        <v>0</v>
      </c>
      <c r="H196" s="4">
        <v>284825</v>
      </c>
      <c r="I196" s="4">
        <v>0</v>
      </c>
      <c r="J196" s="4">
        <v>219288</v>
      </c>
      <c r="K196" s="4">
        <v>0</v>
      </c>
      <c r="L196" s="4">
        <v>297781</v>
      </c>
      <c r="M196" s="4">
        <v>0</v>
      </c>
      <c r="N196" s="4">
        <v>0</v>
      </c>
      <c r="O196" s="4">
        <v>0</v>
      </c>
      <c r="P196" s="4">
        <v>50944</v>
      </c>
      <c r="Q196" s="4">
        <v>0</v>
      </c>
      <c r="R196" s="4">
        <v>4617</v>
      </c>
      <c r="S196" s="4">
        <v>0</v>
      </c>
      <c r="T196" s="4">
        <v>45470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153500</v>
      </c>
      <c r="AA196" s="4">
        <v>0</v>
      </c>
      <c r="AB196" s="4">
        <v>0</v>
      </c>
      <c r="AC196" s="4">
        <v>0</v>
      </c>
      <c r="AD196" s="4">
        <v>0</v>
      </c>
      <c r="AE196" s="4"/>
      <c r="AF196" s="4">
        <f t="shared" si="8"/>
        <v>2154782</v>
      </c>
    </row>
    <row r="197" spans="1:64">
      <c r="A197" s="4">
        <v>178</v>
      </c>
      <c r="B197" s="3" t="s">
        <v>604</v>
      </c>
      <c r="D197" s="3" t="s">
        <v>209</v>
      </c>
      <c r="F197" s="4">
        <v>0</v>
      </c>
      <c r="G197" s="4">
        <v>0</v>
      </c>
      <c r="H197" s="4">
        <v>0</v>
      </c>
      <c r="I197" s="4">
        <v>0</v>
      </c>
      <c r="J197" s="4">
        <v>453541</v>
      </c>
      <c r="K197" s="4">
        <v>0</v>
      </c>
      <c r="L197" s="4">
        <v>497803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2145186</v>
      </c>
      <c r="S197" s="4">
        <v>0</v>
      </c>
      <c r="T197" s="4">
        <v>6848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/>
      <c r="AF197" s="4">
        <f t="shared" si="8"/>
        <v>3103378</v>
      </c>
      <c r="AG197" s="48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4"/>
    </row>
    <row r="198" spans="1:64">
      <c r="A198" s="4">
        <v>105</v>
      </c>
      <c r="B198" s="3" t="s">
        <v>310</v>
      </c>
      <c r="D198" s="3" t="s">
        <v>60</v>
      </c>
      <c r="F198" s="4">
        <v>318560</v>
      </c>
      <c r="G198" s="4">
        <v>0</v>
      </c>
      <c r="H198" s="4">
        <v>90189</v>
      </c>
      <c r="I198" s="4">
        <v>0</v>
      </c>
      <c r="J198" s="4">
        <v>83757</v>
      </c>
      <c r="K198" s="4">
        <v>0</v>
      </c>
      <c r="L198" s="4">
        <v>103153</v>
      </c>
      <c r="M198" s="4">
        <v>0</v>
      </c>
      <c r="N198" s="4">
        <v>0</v>
      </c>
      <c r="O198" s="4">
        <v>0</v>
      </c>
      <c r="P198" s="4">
        <v>11360</v>
      </c>
      <c r="Q198" s="4">
        <v>0</v>
      </c>
      <c r="R198" s="4">
        <v>4884</v>
      </c>
      <c r="S198" s="4">
        <v>0</v>
      </c>
      <c r="T198" s="4">
        <v>527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/>
      <c r="AF198" s="4">
        <f t="shared" si="8"/>
        <v>612430</v>
      </c>
      <c r="AG198" s="48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4"/>
    </row>
    <row r="199" spans="1:64">
      <c r="A199" s="4">
        <v>16</v>
      </c>
      <c r="B199" s="35" t="s">
        <v>461</v>
      </c>
      <c r="C199" s="35"/>
      <c r="D199" s="35" t="s">
        <v>472</v>
      </c>
      <c r="E199" s="35"/>
      <c r="F199" s="1">
        <v>863474.33</v>
      </c>
      <c r="G199" s="1"/>
      <c r="H199" s="1">
        <v>232837.42</v>
      </c>
      <c r="I199" s="1"/>
      <c r="J199" s="1">
        <v>217072.65</v>
      </c>
      <c r="K199" s="1"/>
      <c r="L199" s="1">
        <v>157616.21</v>
      </c>
      <c r="M199" s="1"/>
      <c r="N199" s="1">
        <v>0</v>
      </c>
      <c r="O199" s="1"/>
      <c r="P199" s="1">
        <v>41812.6</v>
      </c>
      <c r="Q199" s="1"/>
      <c r="R199" s="1">
        <v>6868.33</v>
      </c>
      <c r="S199" s="1"/>
      <c r="T199" s="1">
        <v>27298.86</v>
      </c>
      <c r="U199" s="1"/>
      <c r="V199" s="1">
        <v>0</v>
      </c>
      <c r="W199" s="1"/>
      <c r="X199" s="1">
        <v>0</v>
      </c>
      <c r="Y199" s="1"/>
      <c r="Z199" s="1">
        <v>0</v>
      </c>
      <c r="AA199" s="1"/>
      <c r="AB199" s="1">
        <v>0</v>
      </c>
      <c r="AC199" s="1"/>
      <c r="AD199" s="1">
        <v>0</v>
      </c>
      <c r="AE199" s="35"/>
      <c r="AF199" s="4">
        <f t="shared" si="8"/>
        <v>1546980.4000000001</v>
      </c>
    </row>
    <row r="200" spans="1:64" hidden="1">
      <c r="A200" s="4">
        <v>228</v>
      </c>
      <c r="B200" s="3" t="s">
        <v>441</v>
      </c>
      <c r="D200" s="3" t="s">
        <v>56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/>
      <c r="AF200" s="4">
        <f t="shared" si="8"/>
        <v>0</v>
      </c>
    </row>
    <row r="201" spans="1:64">
      <c r="A201" s="4">
        <v>33</v>
      </c>
      <c r="B201" s="35" t="s">
        <v>462</v>
      </c>
      <c r="C201" s="35"/>
      <c r="D201" s="35" t="s">
        <v>479</v>
      </c>
      <c r="E201" s="35"/>
      <c r="F201" s="1">
        <v>245270.24</v>
      </c>
      <c r="G201" s="1"/>
      <c r="H201" s="1">
        <v>82042.69</v>
      </c>
      <c r="I201" s="1"/>
      <c r="J201" s="1">
        <v>64523.15</v>
      </c>
      <c r="K201" s="1"/>
      <c r="L201" s="1">
        <v>18026.22</v>
      </c>
      <c r="M201" s="1"/>
      <c r="N201" s="1">
        <v>0</v>
      </c>
      <c r="O201" s="1"/>
      <c r="P201" s="1">
        <v>9868.59</v>
      </c>
      <c r="Q201" s="1"/>
      <c r="R201" s="1">
        <v>3044.3</v>
      </c>
      <c r="S201" s="1"/>
      <c r="T201" s="1">
        <v>1356.57</v>
      </c>
      <c r="U201" s="1"/>
      <c r="V201" s="1">
        <v>0</v>
      </c>
      <c r="W201" s="1"/>
      <c r="X201" s="1">
        <v>0</v>
      </c>
      <c r="Y201" s="1"/>
      <c r="Z201" s="1">
        <v>0</v>
      </c>
      <c r="AA201" s="1"/>
      <c r="AB201" s="1">
        <v>0</v>
      </c>
      <c r="AC201" s="1"/>
      <c r="AD201" s="1">
        <v>7</v>
      </c>
      <c r="AE201" s="35"/>
      <c r="AF201" s="4">
        <f t="shared" si="8"/>
        <v>424138.76000000007</v>
      </c>
    </row>
    <row r="202" spans="1:64">
      <c r="A202" s="4">
        <v>112</v>
      </c>
      <c r="B202" s="3" t="s">
        <v>341</v>
      </c>
      <c r="D202" s="3" t="s">
        <v>89</v>
      </c>
      <c r="F202" s="4">
        <v>175457</v>
      </c>
      <c r="G202" s="4">
        <v>0</v>
      </c>
      <c r="H202" s="4">
        <v>0</v>
      </c>
      <c r="I202" s="4">
        <v>0</v>
      </c>
      <c r="J202" s="4">
        <v>40306</v>
      </c>
      <c r="K202" s="4">
        <v>0</v>
      </c>
      <c r="L202" s="4">
        <v>37874</v>
      </c>
      <c r="M202" s="4">
        <v>0</v>
      </c>
      <c r="N202" s="4">
        <v>0</v>
      </c>
      <c r="O202" s="4">
        <v>0</v>
      </c>
      <c r="P202" s="4">
        <v>7179</v>
      </c>
      <c r="Q202" s="4">
        <v>0</v>
      </c>
      <c r="R202" s="4">
        <v>9829</v>
      </c>
      <c r="S202" s="4">
        <v>0</v>
      </c>
      <c r="T202" s="4">
        <v>42459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/>
      <c r="AF202" s="4">
        <f t="shared" si="8"/>
        <v>313104</v>
      </c>
    </row>
    <row r="203" spans="1:64">
      <c r="A203" s="4">
        <v>60</v>
      </c>
      <c r="B203" s="3" t="s">
        <v>211</v>
      </c>
      <c r="D203" s="3" t="s">
        <v>81</v>
      </c>
      <c r="F203" s="1">
        <v>128323.68</v>
      </c>
      <c r="G203" s="1"/>
      <c r="H203" s="1">
        <v>33734.14</v>
      </c>
      <c r="I203" s="1"/>
      <c r="J203" s="1">
        <v>50241.35</v>
      </c>
      <c r="K203" s="1"/>
      <c r="L203" s="1">
        <v>18576.169999999998</v>
      </c>
      <c r="M203" s="1"/>
      <c r="N203" s="1">
        <v>0</v>
      </c>
      <c r="O203" s="1"/>
      <c r="P203" s="1">
        <v>4489.2700000000004</v>
      </c>
      <c r="Q203" s="1"/>
      <c r="R203" s="1">
        <v>971.4</v>
      </c>
      <c r="S203" s="1"/>
      <c r="T203" s="1">
        <v>1152.44</v>
      </c>
      <c r="U203" s="1"/>
      <c r="V203" s="1">
        <v>0</v>
      </c>
      <c r="W203" s="1"/>
      <c r="X203" s="1">
        <v>0</v>
      </c>
      <c r="Y203" s="1"/>
      <c r="Z203" s="1">
        <v>0</v>
      </c>
      <c r="AA203" s="1"/>
      <c r="AB203" s="1">
        <v>0</v>
      </c>
      <c r="AC203" s="1"/>
      <c r="AD203" s="1">
        <v>0</v>
      </c>
      <c r="AE203" s="4"/>
      <c r="AF203" s="4">
        <f t="shared" si="8"/>
        <v>237488.45</v>
      </c>
    </row>
    <row r="204" spans="1:64">
      <c r="A204" s="4">
        <v>186</v>
      </c>
      <c r="B204" s="35" t="s">
        <v>463</v>
      </c>
      <c r="C204" s="35"/>
      <c r="D204" s="35" t="s">
        <v>498</v>
      </c>
      <c r="E204" s="35"/>
      <c r="F204" s="1">
        <v>32350.51</v>
      </c>
      <c r="G204" s="1"/>
      <c r="H204" s="1">
        <v>8708</v>
      </c>
      <c r="I204" s="1"/>
      <c r="J204" s="1">
        <v>24933.03</v>
      </c>
      <c r="K204" s="1"/>
      <c r="L204" s="1">
        <v>10733.3</v>
      </c>
      <c r="M204" s="1"/>
      <c r="N204" s="1">
        <v>0</v>
      </c>
      <c r="O204" s="1"/>
      <c r="P204" s="1">
        <v>2585.5700000000002</v>
      </c>
      <c r="Q204" s="1"/>
      <c r="R204" s="1">
        <v>752.25</v>
      </c>
      <c r="S204" s="1"/>
      <c r="T204" s="1">
        <v>2709.67</v>
      </c>
      <c r="U204" s="1"/>
      <c r="V204" s="1">
        <v>0</v>
      </c>
      <c r="W204" s="1"/>
      <c r="X204" s="1">
        <v>0</v>
      </c>
      <c r="Y204" s="1"/>
      <c r="Z204" s="1">
        <v>0</v>
      </c>
      <c r="AA204" s="1"/>
      <c r="AB204" s="1">
        <v>0</v>
      </c>
      <c r="AC204" s="1"/>
      <c r="AD204" s="1">
        <v>0</v>
      </c>
      <c r="AE204" s="35"/>
      <c r="AF204" s="4">
        <f t="shared" si="8"/>
        <v>82772.33</v>
      </c>
    </row>
    <row r="205" spans="1:64">
      <c r="A205" s="4">
        <v>235</v>
      </c>
      <c r="B205" s="35" t="s">
        <v>212</v>
      </c>
      <c r="C205" s="35"/>
      <c r="D205" s="35" t="s">
        <v>501</v>
      </c>
      <c r="E205" s="35"/>
      <c r="F205" s="1">
        <v>139065.23000000001</v>
      </c>
      <c r="G205" s="1"/>
      <c r="H205" s="1">
        <v>45366.83</v>
      </c>
      <c r="I205" s="1"/>
      <c r="J205" s="1">
        <v>54896.36</v>
      </c>
      <c r="K205" s="1"/>
      <c r="L205" s="1">
        <v>4038.91</v>
      </c>
      <c r="M205" s="1"/>
      <c r="N205" s="1">
        <v>0</v>
      </c>
      <c r="O205" s="1"/>
      <c r="P205" s="1">
        <v>9335.6</v>
      </c>
      <c r="Q205" s="1"/>
      <c r="R205" s="1">
        <v>4093.62</v>
      </c>
      <c r="S205" s="1"/>
      <c r="T205" s="1">
        <v>0</v>
      </c>
      <c r="U205" s="1"/>
      <c r="V205" s="1">
        <v>0</v>
      </c>
      <c r="W205" s="1"/>
      <c r="X205" s="1">
        <v>0</v>
      </c>
      <c r="Y205" s="1"/>
      <c r="Z205" s="1">
        <v>26729</v>
      </c>
      <c r="AA205" s="1"/>
      <c r="AB205" s="1">
        <v>0</v>
      </c>
      <c r="AC205" s="1"/>
      <c r="AD205" s="1">
        <v>866</v>
      </c>
      <c r="AE205" s="35"/>
      <c r="AF205" s="4">
        <f t="shared" si="8"/>
        <v>284391.55</v>
      </c>
    </row>
    <row r="206" spans="1:64" hidden="1">
      <c r="A206" s="4">
        <v>229</v>
      </c>
      <c r="B206" s="3" t="s">
        <v>213</v>
      </c>
      <c r="D206" s="3" t="s">
        <v>56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/>
      <c r="AF206" s="4">
        <f t="shared" si="8"/>
        <v>0</v>
      </c>
    </row>
    <row r="207" spans="1:64">
      <c r="A207" s="4">
        <v>85</v>
      </c>
      <c r="B207" s="3" t="s">
        <v>216</v>
      </c>
      <c r="D207" s="3" t="s">
        <v>42</v>
      </c>
      <c r="F207" s="1">
        <v>55073.73</v>
      </c>
      <c r="G207" s="1"/>
      <c r="H207" s="1">
        <v>8606.0300000000007</v>
      </c>
      <c r="I207" s="1"/>
      <c r="J207" s="1">
        <v>26105.439999999999</v>
      </c>
      <c r="K207" s="1"/>
      <c r="L207" s="1">
        <v>10006.120000000001</v>
      </c>
      <c r="M207" s="1"/>
      <c r="N207" s="1">
        <v>0</v>
      </c>
      <c r="O207" s="1"/>
      <c r="P207" s="1">
        <v>3539.99</v>
      </c>
      <c r="Q207" s="1"/>
      <c r="R207" s="1">
        <v>293</v>
      </c>
      <c r="S207" s="1"/>
      <c r="T207" s="1">
        <v>1135.1500000000001</v>
      </c>
      <c r="U207" s="1"/>
      <c r="V207" s="1">
        <v>0</v>
      </c>
      <c r="W207" s="1"/>
      <c r="X207" s="1">
        <v>0</v>
      </c>
      <c r="Y207" s="1"/>
      <c r="Z207" s="1">
        <v>0</v>
      </c>
      <c r="AA207" s="1"/>
      <c r="AB207" s="1">
        <v>0</v>
      </c>
      <c r="AC207" s="1"/>
      <c r="AD207" s="1">
        <v>0</v>
      </c>
      <c r="AE207" s="4"/>
      <c r="AF207" s="4">
        <f t="shared" si="8"/>
        <v>104759.45999999999</v>
      </c>
    </row>
    <row r="208" spans="1:64">
      <c r="A208" s="4">
        <v>250</v>
      </c>
      <c r="B208" s="35" t="s">
        <v>217</v>
      </c>
      <c r="C208" s="35"/>
      <c r="D208" s="35" t="s">
        <v>503</v>
      </c>
      <c r="E208" s="35"/>
      <c r="F208" s="1">
        <v>179419.35</v>
      </c>
      <c r="G208" s="1"/>
      <c r="H208" s="1">
        <v>64577.91</v>
      </c>
      <c r="I208" s="1"/>
      <c r="J208" s="1">
        <v>36300.17</v>
      </c>
      <c r="K208" s="1"/>
      <c r="L208" s="1">
        <v>21728.29</v>
      </c>
      <c r="M208" s="1"/>
      <c r="N208" s="1">
        <v>0</v>
      </c>
      <c r="O208" s="1"/>
      <c r="P208" s="1">
        <v>4066.61</v>
      </c>
      <c r="Q208" s="1"/>
      <c r="R208" s="1">
        <v>3547.11</v>
      </c>
      <c r="S208" s="1"/>
      <c r="T208" s="1">
        <v>705.73</v>
      </c>
      <c r="U208" s="1"/>
      <c r="V208" s="1">
        <v>0</v>
      </c>
      <c r="W208" s="1"/>
      <c r="X208" s="1">
        <v>0</v>
      </c>
      <c r="Y208" s="1"/>
      <c r="Z208" s="1">
        <v>0</v>
      </c>
      <c r="AA208" s="1"/>
      <c r="AB208" s="1">
        <v>0</v>
      </c>
      <c r="AC208" s="1"/>
      <c r="AD208" s="1">
        <v>0</v>
      </c>
      <c r="AE208" s="35"/>
      <c r="AF208" s="4">
        <f t="shared" si="8"/>
        <v>310345.16999999993</v>
      </c>
      <c r="AG208" s="4"/>
    </row>
    <row r="209" spans="1:64">
      <c r="A209" s="4">
        <v>213</v>
      </c>
      <c r="B209" s="3" t="s">
        <v>218</v>
      </c>
      <c r="D209" s="3" t="s">
        <v>25</v>
      </c>
      <c r="F209" s="4">
        <v>522519</v>
      </c>
      <c r="G209" s="4">
        <v>0</v>
      </c>
      <c r="H209" s="4">
        <v>0</v>
      </c>
      <c r="I209" s="4">
        <v>0</v>
      </c>
      <c r="J209" s="4">
        <v>364464</v>
      </c>
      <c r="K209" s="4">
        <v>0</v>
      </c>
      <c r="L209" s="4">
        <v>0</v>
      </c>
      <c r="M209" s="4">
        <v>0</v>
      </c>
      <c r="N209" s="4">
        <v>116628</v>
      </c>
      <c r="O209" s="4">
        <v>0</v>
      </c>
      <c r="P209" s="4">
        <f>92027+221414</f>
        <v>313441</v>
      </c>
      <c r="Q209" s="4">
        <v>0</v>
      </c>
      <c r="R209" s="4">
        <v>0</v>
      </c>
      <c r="S209" s="4">
        <v>0</v>
      </c>
      <c r="T209" s="4">
        <v>420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/>
      <c r="AF209" s="4">
        <f t="shared" si="8"/>
        <v>1317472</v>
      </c>
    </row>
    <row r="210" spans="1:64">
      <c r="A210" s="4"/>
      <c r="B210" s="3" t="s">
        <v>619</v>
      </c>
      <c r="D210" s="3" t="s">
        <v>56</v>
      </c>
      <c r="F210" s="4">
        <f>200754+21687+15177</f>
        <v>237618</v>
      </c>
      <c r="G210" s="4">
        <v>0</v>
      </c>
      <c r="H210" s="4">
        <v>0</v>
      </c>
      <c r="I210" s="4">
        <v>0</v>
      </c>
      <c r="J210" s="4">
        <f>17899+3860+6542+2742+57764+7861+65775+80305</f>
        <v>242748</v>
      </c>
      <c r="K210" s="4">
        <v>0</v>
      </c>
      <c r="L210" s="4">
        <f>3259+15442</f>
        <v>18701</v>
      </c>
      <c r="M210" s="4">
        <v>0</v>
      </c>
      <c r="N210" s="4">
        <v>0</v>
      </c>
      <c r="O210" s="4">
        <v>0</v>
      </c>
      <c r="P210" s="4">
        <v>3592</v>
      </c>
      <c r="Q210" s="4">
        <v>0</v>
      </c>
      <c r="R210" s="4">
        <v>848</v>
      </c>
      <c r="S210" s="4">
        <v>0</v>
      </c>
      <c r="T210" s="4">
        <v>31009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/>
      <c r="AF210" s="4">
        <f t="shared" si="8"/>
        <v>534516</v>
      </c>
    </row>
    <row r="211" spans="1:64" s="4" customFormat="1">
      <c r="A211" s="4">
        <v>251</v>
      </c>
      <c r="B211" s="3" t="s">
        <v>443</v>
      </c>
      <c r="C211" s="3"/>
      <c r="D211" s="3" t="s">
        <v>65</v>
      </c>
      <c r="E211" s="3"/>
      <c r="F211" s="4">
        <v>0</v>
      </c>
      <c r="G211" s="4">
        <v>0</v>
      </c>
      <c r="H211" s="4">
        <v>0</v>
      </c>
      <c r="I211" s="4">
        <v>0</v>
      </c>
      <c r="J211" s="4">
        <v>5677</v>
      </c>
      <c r="K211" s="4">
        <v>0</v>
      </c>
      <c r="L211" s="4">
        <v>1924</v>
      </c>
      <c r="M211" s="4">
        <v>0</v>
      </c>
      <c r="N211" s="4">
        <v>0</v>
      </c>
      <c r="O211" s="4">
        <v>0</v>
      </c>
      <c r="P211" s="4">
        <v>1146</v>
      </c>
      <c r="Q211" s="4">
        <v>0</v>
      </c>
      <c r="R211" s="4">
        <v>4881</v>
      </c>
      <c r="S211" s="4">
        <v>0</v>
      </c>
      <c r="T211" s="4">
        <v>10484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F211" s="4">
        <f t="shared" si="8"/>
        <v>24112</v>
      </c>
      <c r="AG211" s="48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</row>
    <row r="212" spans="1:64" s="4" customFormat="1">
      <c r="A212" s="4">
        <v>113</v>
      </c>
      <c r="B212" s="3" t="s">
        <v>219</v>
      </c>
      <c r="C212" s="3"/>
      <c r="D212" s="3" t="s">
        <v>89</v>
      </c>
      <c r="E212" s="3"/>
      <c r="F212" s="1">
        <v>352315.12</v>
      </c>
      <c r="G212" s="1"/>
      <c r="H212" s="1">
        <v>103796.07</v>
      </c>
      <c r="I212" s="1"/>
      <c r="J212" s="1">
        <v>122163.57</v>
      </c>
      <c r="K212" s="1"/>
      <c r="L212" s="1">
        <v>61810.38</v>
      </c>
      <c r="M212" s="1"/>
      <c r="N212" s="1">
        <v>0</v>
      </c>
      <c r="O212" s="1"/>
      <c r="P212" s="1">
        <v>11866.08</v>
      </c>
      <c r="Q212" s="1"/>
      <c r="R212" s="1">
        <v>5633</v>
      </c>
      <c r="S212" s="1"/>
      <c r="T212" s="1">
        <v>16469</v>
      </c>
      <c r="U212" s="1"/>
      <c r="V212" s="1">
        <v>0</v>
      </c>
      <c r="W212" s="1"/>
      <c r="X212" s="1">
        <v>0</v>
      </c>
      <c r="Y212" s="1"/>
      <c r="Z212" s="1">
        <v>45000</v>
      </c>
      <c r="AA212" s="1"/>
      <c r="AB212" s="1">
        <v>0</v>
      </c>
      <c r="AC212" s="1"/>
      <c r="AD212" s="1">
        <v>0</v>
      </c>
      <c r="AF212" s="4">
        <f t="shared" si="8"/>
        <v>719053.22</v>
      </c>
      <c r="AG212" s="48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</row>
    <row r="213" spans="1:64" s="4" customFormat="1">
      <c r="A213" s="4">
        <v>183</v>
      </c>
      <c r="B213" s="3" t="s">
        <v>220</v>
      </c>
      <c r="C213" s="3"/>
      <c r="D213" s="3" t="s">
        <v>158</v>
      </c>
      <c r="E213" s="3"/>
      <c r="F213" s="4">
        <v>131735</v>
      </c>
      <c r="G213" s="4">
        <v>0</v>
      </c>
      <c r="H213" s="4">
        <v>36316</v>
      </c>
      <c r="I213" s="4">
        <v>0</v>
      </c>
      <c r="J213" s="4">
        <v>27167</v>
      </c>
      <c r="K213" s="4">
        <v>0</v>
      </c>
      <c r="L213" s="4">
        <v>31272</v>
      </c>
      <c r="M213" s="4">
        <v>0</v>
      </c>
      <c r="N213" s="4">
        <v>0</v>
      </c>
      <c r="O213" s="4">
        <v>0</v>
      </c>
      <c r="P213" s="4">
        <v>10862</v>
      </c>
      <c r="Q213" s="4">
        <v>0</v>
      </c>
      <c r="R213" s="4">
        <v>4450</v>
      </c>
      <c r="S213" s="4">
        <v>0</v>
      </c>
      <c r="T213" s="4">
        <v>10963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F213" s="4">
        <f t="shared" si="8"/>
        <v>252765</v>
      </c>
      <c r="AG213" s="48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</row>
    <row r="214" spans="1:64" s="4" customFormat="1">
      <c r="A214" s="4">
        <v>116</v>
      </c>
      <c r="B214" s="3" t="s">
        <v>221</v>
      </c>
      <c r="C214" s="3"/>
      <c r="D214" s="3" t="s">
        <v>170</v>
      </c>
      <c r="E214" s="3"/>
      <c r="F214" s="4">
        <v>147066</v>
      </c>
      <c r="G214" s="4">
        <v>0</v>
      </c>
      <c r="H214" s="4">
        <v>116</v>
      </c>
      <c r="I214" s="4">
        <v>0</v>
      </c>
      <c r="J214" s="4">
        <v>54244</v>
      </c>
      <c r="K214" s="4">
        <v>0</v>
      </c>
      <c r="L214" s="4">
        <v>12803</v>
      </c>
      <c r="M214" s="4">
        <v>0</v>
      </c>
      <c r="N214" s="4">
        <v>0</v>
      </c>
      <c r="O214" s="4">
        <v>0</v>
      </c>
      <c r="P214" s="4">
        <v>4857</v>
      </c>
      <c r="Q214" s="4">
        <v>0</v>
      </c>
      <c r="R214" s="4">
        <v>1093</v>
      </c>
      <c r="S214" s="4">
        <v>0</v>
      </c>
      <c r="T214" s="4">
        <v>16701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F214" s="4">
        <f t="shared" si="8"/>
        <v>236880</v>
      </c>
      <c r="AG214" s="48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</row>
    <row r="215" spans="1:64">
      <c r="A215" s="4">
        <v>146</v>
      </c>
      <c r="B215" s="3" t="s">
        <v>222</v>
      </c>
      <c r="D215" s="3" t="s">
        <v>57</v>
      </c>
      <c r="F215" s="1">
        <v>539649.17000000004</v>
      </c>
      <c r="G215" s="1"/>
      <c r="H215" s="1">
        <v>184797.8</v>
      </c>
      <c r="I215" s="1"/>
      <c r="J215" s="1">
        <v>195261.8</v>
      </c>
      <c r="K215" s="1"/>
      <c r="L215" s="1">
        <v>166838.72</v>
      </c>
      <c r="M215" s="1"/>
      <c r="N215" s="1">
        <v>0</v>
      </c>
      <c r="O215" s="1"/>
      <c r="P215" s="1">
        <v>19528.73</v>
      </c>
      <c r="Q215" s="1"/>
      <c r="R215" s="1">
        <v>2150.9899999999998</v>
      </c>
      <c r="S215" s="1"/>
      <c r="T215" s="1">
        <v>11944.65</v>
      </c>
      <c r="U215" s="1"/>
      <c r="V215" s="1">
        <v>0</v>
      </c>
      <c r="W215" s="1"/>
      <c r="X215" s="1">
        <v>0</v>
      </c>
      <c r="Y215" s="1"/>
      <c r="Z215" s="1">
        <v>150000</v>
      </c>
      <c r="AA215" s="1"/>
      <c r="AB215" s="1">
        <v>0</v>
      </c>
      <c r="AC215" s="1"/>
      <c r="AD215" s="1">
        <v>0</v>
      </c>
      <c r="AE215" s="4"/>
      <c r="AF215" s="4">
        <f t="shared" si="8"/>
        <v>1270171.8599999999</v>
      </c>
      <c r="AR215" s="3">
        <v>838.96</v>
      </c>
    </row>
    <row r="216" spans="1:64" s="28" customFormat="1">
      <c r="A216" s="4">
        <v>246</v>
      </c>
      <c r="B216" s="3" t="s">
        <v>224</v>
      </c>
      <c r="C216" s="3"/>
      <c r="D216" s="3" t="s">
        <v>225</v>
      </c>
      <c r="E216" s="3"/>
      <c r="F216" s="4">
        <v>0</v>
      </c>
      <c r="G216" s="4">
        <v>0</v>
      </c>
      <c r="H216" s="4">
        <v>0</v>
      </c>
      <c r="I216" s="4">
        <v>0</v>
      </c>
      <c r="J216" s="4">
        <v>135372</v>
      </c>
      <c r="K216" s="4">
        <v>0</v>
      </c>
      <c r="L216" s="4">
        <v>113370</v>
      </c>
      <c r="M216" s="4">
        <v>0</v>
      </c>
      <c r="N216" s="4">
        <v>180598</v>
      </c>
      <c r="O216" s="4">
        <v>0</v>
      </c>
      <c r="P216" s="4">
        <v>0</v>
      </c>
      <c r="Q216" s="4">
        <v>0</v>
      </c>
      <c r="R216" s="4">
        <f>57500+321275</f>
        <v>378775</v>
      </c>
      <c r="S216" s="4">
        <v>0</v>
      </c>
      <c r="T216" s="4">
        <v>1829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/>
      <c r="AF216" s="4">
        <f t="shared" si="8"/>
        <v>809944</v>
      </c>
      <c r="AG216" s="48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4"/>
    </row>
    <row r="217" spans="1:64">
      <c r="A217" s="4">
        <v>136</v>
      </c>
      <c r="B217" s="3" t="s">
        <v>226</v>
      </c>
      <c r="D217" s="3" t="s">
        <v>41</v>
      </c>
      <c r="F217" s="1">
        <v>400076.75</v>
      </c>
      <c r="G217" s="1"/>
      <c r="H217" s="1">
        <v>109677.48</v>
      </c>
      <c r="I217" s="1"/>
      <c r="J217" s="1">
        <v>63297.79</v>
      </c>
      <c r="K217" s="1"/>
      <c r="L217" s="1">
        <v>135730</v>
      </c>
      <c r="M217" s="1"/>
      <c r="N217" s="1">
        <v>0</v>
      </c>
      <c r="O217" s="1"/>
      <c r="P217" s="1">
        <v>15543.45</v>
      </c>
      <c r="Q217" s="1"/>
      <c r="R217" s="1">
        <v>914.63</v>
      </c>
      <c r="S217" s="1"/>
      <c r="T217" s="1">
        <v>8272.44</v>
      </c>
      <c r="U217" s="1"/>
      <c r="V217" s="1">
        <v>0</v>
      </c>
      <c r="W217" s="1"/>
      <c r="X217" s="1">
        <v>0</v>
      </c>
      <c r="Y217" s="1"/>
      <c r="Z217" s="1">
        <v>0</v>
      </c>
      <c r="AA217" s="1"/>
      <c r="AB217" s="1">
        <v>0</v>
      </c>
      <c r="AC217" s="1"/>
      <c r="AD217" s="1">
        <v>0</v>
      </c>
      <c r="AE217" s="4"/>
      <c r="AF217" s="4">
        <f t="shared" si="8"/>
        <v>733512.53999999992</v>
      </c>
      <c r="AG217" s="48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4"/>
    </row>
    <row r="218" spans="1:64" s="28" customFormat="1">
      <c r="A218" s="4">
        <v>106</v>
      </c>
      <c r="B218" s="3" t="s">
        <v>227</v>
      </c>
      <c r="C218" s="3"/>
      <c r="D218" s="3" t="s">
        <v>60</v>
      </c>
      <c r="E218" s="3"/>
      <c r="F218" s="1">
        <v>119578.95</v>
      </c>
      <c r="G218" s="1"/>
      <c r="H218" s="1">
        <v>20786.23</v>
      </c>
      <c r="I218" s="1"/>
      <c r="J218" s="1">
        <v>22586.3</v>
      </c>
      <c r="K218" s="1"/>
      <c r="L218" s="1">
        <v>12578.47</v>
      </c>
      <c r="M218" s="1"/>
      <c r="N218" s="1">
        <v>0</v>
      </c>
      <c r="O218" s="1"/>
      <c r="P218" s="1">
        <v>4468.87</v>
      </c>
      <c r="Q218" s="1"/>
      <c r="R218" s="1">
        <v>6387.94</v>
      </c>
      <c r="S218" s="1"/>
      <c r="T218" s="1">
        <v>0</v>
      </c>
      <c r="U218" s="1"/>
      <c r="V218" s="1">
        <v>0</v>
      </c>
      <c r="W218" s="1"/>
      <c r="X218" s="1">
        <v>0</v>
      </c>
      <c r="Y218" s="1"/>
      <c r="Z218" s="1">
        <v>0</v>
      </c>
      <c r="AA218" s="1"/>
      <c r="AB218" s="1">
        <v>0</v>
      </c>
      <c r="AC218" s="1"/>
      <c r="AD218" s="1">
        <v>0</v>
      </c>
      <c r="AE218" s="4"/>
      <c r="AF218" s="4">
        <f t="shared" si="8"/>
        <v>186386.75999999998</v>
      </c>
      <c r="AG218" s="48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4"/>
    </row>
    <row r="219" spans="1:64" s="28" customFormat="1">
      <c r="A219" s="4">
        <v>184</v>
      </c>
      <c r="B219" s="3" t="s">
        <v>228</v>
      </c>
      <c r="C219" s="3"/>
      <c r="D219" s="3" t="s">
        <v>229</v>
      </c>
      <c r="E219" s="3"/>
      <c r="F219" s="1">
        <v>475069.99</v>
      </c>
      <c r="G219" s="1"/>
      <c r="H219" s="1">
        <v>133498.39000000001</v>
      </c>
      <c r="I219" s="1"/>
      <c r="J219" s="1">
        <v>107966.42</v>
      </c>
      <c r="K219" s="1"/>
      <c r="L219" s="1">
        <v>94060.5</v>
      </c>
      <c r="M219" s="1"/>
      <c r="N219" s="1">
        <v>0</v>
      </c>
      <c r="O219" s="1"/>
      <c r="P219" s="1">
        <v>28244.69</v>
      </c>
      <c r="Q219" s="1"/>
      <c r="R219" s="1">
        <v>3850.61</v>
      </c>
      <c r="S219" s="1"/>
      <c r="T219" s="1">
        <v>62954.5</v>
      </c>
      <c r="U219" s="1"/>
      <c r="V219" s="1">
        <v>0</v>
      </c>
      <c r="W219" s="1"/>
      <c r="X219" s="1">
        <v>0</v>
      </c>
      <c r="Y219" s="1"/>
      <c r="Z219" s="1">
        <v>0</v>
      </c>
      <c r="AA219" s="1"/>
      <c r="AB219" s="1">
        <v>0</v>
      </c>
      <c r="AC219" s="1"/>
      <c r="AD219" s="1">
        <v>0</v>
      </c>
      <c r="AE219" s="4"/>
      <c r="AF219" s="4">
        <f t="shared" si="8"/>
        <v>905645.1</v>
      </c>
      <c r="AG219" s="48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4"/>
    </row>
    <row r="220" spans="1:64" s="4" customFormat="1">
      <c r="A220" s="4">
        <v>252</v>
      </c>
      <c r="B220" s="35" t="s">
        <v>466</v>
      </c>
      <c r="C220" s="35"/>
      <c r="D220" s="35" t="s">
        <v>503</v>
      </c>
      <c r="E220" s="35"/>
      <c r="F220" s="1">
        <v>157676.79999999999</v>
      </c>
      <c r="G220" s="1"/>
      <c r="H220" s="1">
        <v>25799.58</v>
      </c>
      <c r="I220" s="1"/>
      <c r="J220" s="1">
        <v>41341.81</v>
      </c>
      <c r="K220" s="1"/>
      <c r="L220" s="1">
        <v>39475.230000000003</v>
      </c>
      <c r="M220" s="1"/>
      <c r="N220" s="1">
        <v>0</v>
      </c>
      <c r="O220" s="1"/>
      <c r="P220" s="1">
        <v>9131.5499999999993</v>
      </c>
      <c r="Q220" s="1"/>
      <c r="R220" s="1">
        <v>1675.54</v>
      </c>
      <c r="S220" s="1"/>
      <c r="T220" s="1">
        <v>3472.51</v>
      </c>
      <c r="U220" s="1"/>
      <c r="V220" s="1">
        <v>0</v>
      </c>
      <c r="W220" s="1"/>
      <c r="X220" s="1">
        <v>0</v>
      </c>
      <c r="Y220" s="1"/>
      <c r="Z220" s="1">
        <v>0</v>
      </c>
      <c r="AA220" s="1"/>
      <c r="AB220" s="1">
        <v>0</v>
      </c>
      <c r="AC220" s="1"/>
      <c r="AD220" s="1">
        <v>0</v>
      </c>
      <c r="AE220" s="35"/>
      <c r="AF220" s="4">
        <f t="shared" si="8"/>
        <v>278573.01999999996</v>
      </c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</row>
    <row r="221" spans="1:64" s="4" customFormat="1">
      <c r="A221" s="4">
        <v>219</v>
      </c>
      <c r="B221" s="3" t="s">
        <v>232</v>
      </c>
      <c r="C221" s="3"/>
      <c r="D221" s="3" t="s">
        <v>22</v>
      </c>
      <c r="E221" s="3"/>
      <c r="F221" s="1">
        <v>195705.57</v>
      </c>
      <c r="G221" s="1"/>
      <c r="H221" s="1">
        <v>39145.01</v>
      </c>
      <c r="I221" s="1"/>
      <c r="J221" s="1">
        <v>106513.81</v>
      </c>
      <c r="K221" s="1"/>
      <c r="L221" s="1">
        <v>32914.83</v>
      </c>
      <c r="M221" s="1"/>
      <c r="N221" s="1">
        <v>0</v>
      </c>
      <c r="O221" s="1"/>
      <c r="P221" s="1">
        <v>4257.6400000000003</v>
      </c>
      <c r="Q221" s="1"/>
      <c r="R221" s="1">
        <v>1818.99</v>
      </c>
      <c r="S221" s="1"/>
      <c r="T221" s="1">
        <v>0</v>
      </c>
      <c r="U221" s="1"/>
      <c r="V221" s="1">
        <v>0</v>
      </c>
      <c r="W221" s="1"/>
      <c r="X221" s="1">
        <v>0</v>
      </c>
      <c r="Y221" s="1"/>
      <c r="Z221" s="1">
        <v>0</v>
      </c>
      <c r="AA221" s="1"/>
      <c r="AB221" s="1">
        <v>0</v>
      </c>
      <c r="AC221" s="1"/>
      <c r="AD221" s="1">
        <v>0</v>
      </c>
      <c r="AF221" s="4">
        <f t="shared" si="8"/>
        <v>380355.85000000003</v>
      </c>
      <c r="AG221" s="48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</row>
    <row r="222" spans="1:64" s="4" customFormat="1">
      <c r="A222" s="4">
        <v>187</v>
      </c>
      <c r="B222" s="35" t="s">
        <v>605</v>
      </c>
      <c r="C222" s="35"/>
      <c r="D222" s="35" t="s">
        <v>498</v>
      </c>
      <c r="E222" s="35"/>
      <c r="F222" s="1">
        <v>434242.03</v>
      </c>
      <c r="G222" s="1"/>
      <c r="H222" s="1">
        <v>94570.96</v>
      </c>
      <c r="I222" s="1"/>
      <c r="J222" s="1">
        <v>307478.28999999998</v>
      </c>
      <c r="K222" s="1"/>
      <c r="L222" s="1">
        <v>186160.66</v>
      </c>
      <c r="M222" s="1"/>
      <c r="N222" s="1">
        <v>0</v>
      </c>
      <c r="O222" s="1"/>
      <c r="P222" s="1">
        <v>44310.1</v>
      </c>
      <c r="Q222" s="1"/>
      <c r="R222" s="1">
        <v>16699.29</v>
      </c>
      <c r="S222" s="1"/>
      <c r="T222" s="1">
        <v>85549.5</v>
      </c>
      <c r="U222" s="1"/>
      <c r="V222" s="1">
        <v>0</v>
      </c>
      <c r="W222" s="1"/>
      <c r="X222" s="1">
        <v>0</v>
      </c>
      <c r="Y222" s="1"/>
      <c r="Z222" s="1">
        <v>0</v>
      </c>
      <c r="AA222" s="1"/>
      <c r="AB222" s="1">
        <v>0</v>
      </c>
      <c r="AC222" s="1"/>
      <c r="AD222" s="1">
        <v>0</v>
      </c>
      <c r="AE222" s="35"/>
      <c r="AF222" s="4">
        <f t="shared" si="8"/>
        <v>1169010.83</v>
      </c>
      <c r="AG222" s="48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</row>
    <row r="223" spans="1:64">
      <c r="A223" s="4">
        <v>176</v>
      </c>
      <c r="B223" s="3" t="s">
        <v>233</v>
      </c>
      <c r="D223" s="3" t="s">
        <v>68</v>
      </c>
      <c r="F223" s="4">
        <v>94644</v>
      </c>
      <c r="G223" s="4">
        <v>0</v>
      </c>
      <c r="H223" s="4">
        <v>14988</v>
      </c>
      <c r="I223" s="4">
        <v>0</v>
      </c>
      <c r="J223" s="4">
        <v>41913</v>
      </c>
      <c r="K223" s="4">
        <v>0</v>
      </c>
      <c r="L223" s="4">
        <v>25785</v>
      </c>
      <c r="M223" s="4">
        <v>0</v>
      </c>
      <c r="N223" s="4">
        <v>0</v>
      </c>
      <c r="O223" s="4">
        <v>0</v>
      </c>
      <c r="P223" s="4">
        <v>13650</v>
      </c>
      <c r="Q223" s="4">
        <v>0</v>
      </c>
      <c r="R223" s="4">
        <v>754</v>
      </c>
      <c r="S223" s="4">
        <v>0</v>
      </c>
      <c r="T223" s="4">
        <v>4095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/>
      <c r="AF223" s="4">
        <f t="shared" si="8"/>
        <v>195829</v>
      </c>
    </row>
    <row r="224" spans="1:64" s="4" customFormat="1">
      <c r="A224" s="4">
        <v>128</v>
      </c>
      <c r="B224" s="3" t="s">
        <v>234</v>
      </c>
      <c r="C224" s="3"/>
      <c r="D224" s="3" t="s">
        <v>15</v>
      </c>
      <c r="E224" s="3"/>
      <c r="F224" s="1">
        <v>453192.48</v>
      </c>
      <c r="G224" s="1"/>
      <c r="H224" s="1">
        <v>161038.15</v>
      </c>
      <c r="I224" s="1"/>
      <c r="J224" s="1">
        <v>107506.52</v>
      </c>
      <c r="K224" s="1"/>
      <c r="L224" s="1">
        <v>104232.73</v>
      </c>
      <c r="M224" s="1"/>
      <c r="N224" s="1">
        <v>0</v>
      </c>
      <c r="O224" s="1"/>
      <c r="P224" s="1">
        <v>14964.1</v>
      </c>
      <c r="Q224" s="1"/>
      <c r="R224" s="1">
        <v>9686.27</v>
      </c>
      <c r="S224" s="1"/>
      <c r="T224" s="1">
        <v>0</v>
      </c>
      <c r="U224" s="1"/>
      <c r="V224" s="1">
        <v>0</v>
      </c>
      <c r="W224" s="1"/>
      <c r="X224" s="1">
        <v>0</v>
      </c>
      <c r="Y224" s="1"/>
      <c r="Z224" s="1">
        <v>0</v>
      </c>
      <c r="AA224" s="1"/>
      <c r="AB224" s="1">
        <v>0</v>
      </c>
      <c r="AC224" s="1"/>
      <c r="AD224" s="1">
        <v>3387</v>
      </c>
      <c r="AF224" s="4">
        <f t="shared" si="8"/>
        <v>854007.25</v>
      </c>
      <c r="AG224" s="48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</row>
    <row r="225" spans="1:64" s="4" customFormat="1">
      <c r="A225" s="4">
        <v>188</v>
      </c>
      <c r="B225" s="3" t="s">
        <v>235</v>
      </c>
      <c r="C225" s="3"/>
      <c r="D225" s="3" t="s">
        <v>236</v>
      </c>
      <c r="E225" s="3"/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1556272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51088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2400000</v>
      </c>
      <c r="AA225" s="4">
        <v>0</v>
      </c>
      <c r="AB225" s="4">
        <v>0</v>
      </c>
      <c r="AC225" s="4">
        <v>0</v>
      </c>
      <c r="AD225" s="4">
        <v>0</v>
      </c>
      <c r="AF225" s="4">
        <f t="shared" si="8"/>
        <v>4007360</v>
      </c>
      <c r="AG225" s="48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</row>
    <row r="226" spans="1:64" s="4" customFormat="1">
      <c r="A226" s="4">
        <v>72</v>
      </c>
      <c r="B226" s="35" t="s">
        <v>312</v>
      </c>
      <c r="C226" s="35"/>
      <c r="D226" s="35" t="s">
        <v>484</v>
      </c>
      <c r="E226" s="35"/>
      <c r="F226" s="1">
        <v>462702.04</v>
      </c>
      <c r="G226" s="1"/>
      <c r="H226" s="1">
        <v>181813.85</v>
      </c>
      <c r="I226" s="1"/>
      <c r="J226" s="1">
        <v>299377.11</v>
      </c>
      <c r="K226" s="1"/>
      <c r="L226" s="1">
        <v>150612.29999999999</v>
      </c>
      <c r="M226" s="1"/>
      <c r="N226" s="1">
        <v>0</v>
      </c>
      <c r="O226" s="1"/>
      <c r="P226" s="1">
        <v>17014.18</v>
      </c>
      <c r="Q226" s="1"/>
      <c r="R226" s="1">
        <v>18627.98</v>
      </c>
      <c r="S226" s="1"/>
      <c r="T226" s="1">
        <v>26819.3</v>
      </c>
      <c r="U226" s="1"/>
      <c r="V226" s="1">
        <v>0</v>
      </c>
      <c r="W226" s="1"/>
      <c r="X226" s="1">
        <v>0</v>
      </c>
      <c r="Y226" s="1"/>
      <c r="Z226" s="1">
        <v>136001</v>
      </c>
      <c r="AA226" s="1"/>
      <c r="AB226" s="1">
        <v>0</v>
      </c>
      <c r="AC226" s="1"/>
      <c r="AD226" s="1">
        <v>0</v>
      </c>
      <c r="AE226" s="35"/>
      <c r="AF226" s="4">
        <f t="shared" si="8"/>
        <v>1292967.76</v>
      </c>
      <c r="AG226" s="48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</row>
    <row r="227" spans="1:64" s="4" customFormat="1">
      <c r="A227" s="4">
        <v>163</v>
      </c>
      <c r="B227" s="4" t="s">
        <v>585</v>
      </c>
      <c r="C227" s="3"/>
      <c r="D227" s="3" t="s">
        <v>53</v>
      </c>
      <c r="E227" s="3"/>
      <c r="F227" s="1">
        <v>420936.5</v>
      </c>
      <c r="G227" s="1"/>
      <c r="H227" s="1">
        <v>165536.22</v>
      </c>
      <c r="I227" s="1"/>
      <c r="J227" s="1">
        <v>312474.44</v>
      </c>
      <c r="K227" s="1"/>
      <c r="L227" s="1">
        <v>41996.29</v>
      </c>
      <c r="M227" s="1"/>
      <c r="N227" s="1">
        <v>0</v>
      </c>
      <c r="O227" s="1"/>
      <c r="P227" s="1">
        <v>11472.97</v>
      </c>
      <c r="Q227" s="1"/>
      <c r="R227" s="1">
        <v>113.98</v>
      </c>
      <c r="S227" s="1"/>
      <c r="T227" s="1">
        <v>147.82</v>
      </c>
      <c r="U227" s="1"/>
      <c r="V227" s="1">
        <v>0</v>
      </c>
      <c r="W227" s="1"/>
      <c r="X227" s="1">
        <v>0</v>
      </c>
      <c r="Y227" s="1"/>
      <c r="Z227" s="1">
        <v>0</v>
      </c>
      <c r="AA227" s="1"/>
      <c r="AB227" s="1">
        <v>0</v>
      </c>
      <c r="AC227" s="1"/>
      <c r="AD227" s="1">
        <v>0</v>
      </c>
      <c r="AF227" s="4">
        <f t="shared" si="8"/>
        <v>952678.21999999986</v>
      </c>
      <c r="AG227" s="48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</row>
    <row r="228" spans="1:64" s="4" customFormat="1">
      <c r="A228" s="4">
        <v>151</v>
      </c>
      <c r="B228" s="3" t="s">
        <v>237</v>
      </c>
      <c r="C228" s="3"/>
      <c r="D228" s="3" t="s">
        <v>12</v>
      </c>
      <c r="E228" s="3"/>
      <c r="F228" s="1">
        <v>284576.38</v>
      </c>
      <c r="G228" s="1"/>
      <c r="H228" s="1">
        <v>59443.44</v>
      </c>
      <c r="I228" s="1"/>
      <c r="J228" s="1">
        <v>46844.56</v>
      </c>
      <c r="K228" s="1"/>
      <c r="L228" s="1">
        <v>76206.28</v>
      </c>
      <c r="M228" s="1"/>
      <c r="N228" s="1">
        <v>0</v>
      </c>
      <c r="O228" s="1"/>
      <c r="P228" s="1">
        <v>8812.27</v>
      </c>
      <c r="Q228" s="1"/>
      <c r="R228" s="1">
        <v>28925.43</v>
      </c>
      <c r="S228" s="1"/>
      <c r="T228" s="1">
        <v>18452.72</v>
      </c>
      <c r="U228" s="1"/>
      <c r="V228" s="1">
        <v>0</v>
      </c>
      <c r="W228" s="1"/>
      <c r="X228" s="1">
        <v>0</v>
      </c>
      <c r="Y228" s="1"/>
      <c r="Z228" s="1">
        <v>0</v>
      </c>
      <c r="AA228" s="1"/>
      <c r="AB228" s="1">
        <v>0</v>
      </c>
      <c r="AC228" s="1"/>
      <c r="AD228" s="1">
        <v>0</v>
      </c>
      <c r="AF228" s="4">
        <f t="shared" si="8"/>
        <v>523261.08000000007</v>
      </c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</row>
    <row r="229" spans="1:64" s="4" customFormat="1">
      <c r="A229" s="4">
        <v>192</v>
      </c>
      <c r="B229" s="3" t="s">
        <v>606</v>
      </c>
      <c r="C229" s="3"/>
      <c r="D229" s="3" t="s">
        <v>173</v>
      </c>
      <c r="E229" s="3"/>
      <c r="F229" s="4">
        <v>1150351</v>
      </c>
      <c r="G229" s="4">
        <v>0</v>
      </c>
      <c r="H229" s="4">
        <v>373747</v>
      </c>
      <c r="I229" s="4">
        <v>0</v>
      </c>
      <c r="J229" s="4">
        <v>239691</v>
      </c>
      <c r="K229" s="4">
        <v>0</v>
      </c>
      <c r="L229" s="4">
        <v>139987</v>
      </c>
      <c r="M229" s="4">
        <v>0</v>
      </c>
      <c r="N229" s="4">
        <v>0</v>
      </c>
      <c r="O229" s="4">
        <v>0</v>
      </c>
      <c r="P229" s="4">
        <v>28352</v>
      </c>
      <c r="Q229" s="4">
        <v>0</v>
      </c>
      <c r="R229" s="4">
        <v>16012</v>
      </c>
      <c r="S229" s="4">
        <v>0</v>
      </c>
      <c r="T229" s="4">
        <v>26315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6529</v>
      </c>
      <c r="AA229" s="4">
        <v>0</v>
      </c>
      <c r="AB229" s="4">
        <v>0</v>
      </c>
      <c r="AC229" s="4">
        <v>0</v>
      </c>
      <c r="AD229" s="4">
        <v>0</v>
      </c>
      <c r="AF229" s="4">
        <f t="shared" si="8"/>
        <v>1980984</v>
      </c>
      <c r="AG229" s="48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</row>
    <row r="230" spans="1:64" s="4" customFormat="1">
      <c r="B230" s="4" t="s">
        <v>620</v>
      </c>
      <c r="D230" s="4" t="s">
        <v>158</v>
      </c>
      <c r="E230" s="3"/>
      <c r="F230" s="4">
        <v>390080</v>
      </c>
      <c r="G230" s="4">
        <v>0</v>
      </c>
      <c r="H230" s="4">
        <v>85488</v>
      </c>
      <c r="I230" s="4">
        <v>0</v>
      </c>
      <c r="J230" s="4">
        <v>87406</v>
      </c>
      <c r="K230" s="4">
        <v>0</v>
      </c>
      <c r="L230" s="4">
        <v>186715</v>
      </c>
      <c r="M230" s="4">
        <v>0</v>
      </c>
      <c r="N230" s="4">
        <v>0</v>
      </c>
      <c r="O230" s="4">
        <v>0</v>
      </c>
      <c r="P230" s="4">
        <v>17505</v>
      </c>
      <c r="Q230" s="4">
        <v>0</v>
      </c>
      <c r="R230" s="4">
        <v>3484</v>
      </c>
      <c r="S230" s="4">
        <v>0</v>
      </c>
      <c r="T230" s="4">
        <v>33243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F230" s="4">
        <f t="shared" si="8"/>
        <v>803921</v>
      </c>
      <c r="AG230" s="48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</row>
    <row r="231" spans="1:64" s="4" customFormat="1">
      <c r="A231" s="4">
        <v>55</v>
      </c>
      <c r="B231" s="4" t="s">
        <v>445</v>
      </c>
      <c r="D231" s="4" t="s">
        <v>19</v>
      </c>
      <c r="F231" s="4">
        <v>2477674</v>
      </c>
      <c r="G231" s="4">
        <v>0</v>
      </c>
      <c r="H231" s="4">
        <v>570562</v>
      </c>
      <c r="I231" s="4">
        <v>0</v>
      </c>
      <c r="J231" s="4">
        <v>622464</v>
      </c>
      <c r="K231" s="4">
        <v>0</v>
      </c>
      <c r="L231" s="4">
        <v>615455</v>
      </c>
      <c r="M231" s="4">
        <v>0</v>
      </c>
      <c r="N231" s="4">
        <v>0</v>
      </c>
      <c r="O231" s="4">
        <v>0</v>
      </c>
      <c r="P231" s="4">
        <v>84486</v>
      </c>
      <c r="Q231" s="4">
        <v>0</v>
      </c>
      <c r="R231" s="4">
        <v>14451</v>
      </c>
      <c r="S231" s="4">
        <v>0</v>
      </c>
      <c r="T231" s="4">
        <v>51416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116128</v>
      </c>
      <c r="AA231" s="4">
        <v>0</v>
      </c>
      <c r="AB231" s="4">
        <v>0</v>
      </c>
      <c r="AC231" s="4">
        <v>0</v>
      </c>
      <c r="AD231" s="4">
        <v>0</v>
      </c>
      <c r="AF231" s="4">
        <f t="shared" si="8"/>
        <v>4552636</v>
      </c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</row>
    <row r="232" spans="1:64">
      <c r="A232" s="4">
        <v>202</v>
      </c>
      <c r="B232" s="3" t="s">
        <v>23</v>
      </c>
      <c r="D232" s="3" t="s">
        <v>24</v>
      </c>
      <c r="F232" s="4">
        <v>1154732</v>
      </c>
      <c r="G232" s="4">
        <v>0</v>
      </c>
      <c r="H232" s="4">
        <v>526435</v>
      </c>
      <c r="I232" s="4">
        <v>0</v>
      </c>
      <c r="J232" s="4">
        <v>367084</v>
      </c>
      <c r="K232" s="4">
        <v>0</v>
      </c>
      <c r="L232" s="4">
        <v>142091</v>
      </c>
      <c r="M232" s="4">
        <v>0</v>
      </c>
      <c r="N232" s="4">
        <v>0</v>
      </c>
      <c r="O232" s="4">
        <v>0</v>
      </c>
      <c r="P232" s="4">
        <v>46885</v>
      </c>
      <c r="Q232" s="4">
        <v>0</v>
      </c>
      <c r="R232" s="4">
        <v>12837</v>
      </c>
      <c r="S232" s="4">
        <v>0</v>
      </c>
      <c r="T232" s="4">
        <v>18207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/>
      <c r="AF232" s="4">
        <f t="shared" si="8"/>
        <v>2268271</v>
      </c>
    </row>
    <row r="233" spans="1:64">
      <c r="A233" s="4">
        <v>196</v>
      </c>
      <c r="B233" s="3" t="s">
        <v>607</v>
      </c>
      <c r="D233" s="3" t="s">
        <v>102</v>
      </c>
      <c r="F233" s="4">
        <v>599985</v>
      </c>
      <c r="G233" s="4">
        <v>0</v>
      </c>
      <c r="H233" s="4">
        <v>156140</v>
      </c>
      <c r="I233" s="4">
        <v>0</v>
      </c>
      <c r="J233" s="4">
        <v>152077</v>
      </c>
      <c r="K233" s="4">
        <v>0</v>
      </c>
      <c r="L233" s="4">
        <v>87923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3444</v>
      </c>
      <c r="S233" s="4">
        <v>0</v>
      </c>
      <c r="T233" s="4">
        <v>25894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/>
      <c r="AF233" s="4">
        <f t="shared" si="8"/>
        <v>1025463</v>
      </c>
    </row>
    <row r="234" spans="1:64">
      <c r="A234" s="4"/>
      <c r="B234" s="4" t="s">
        <v>621</v>
      </c>
      <c r="C234" s="15"/>
      <c r="D234" s="15" t="s">
        <v>580</v>
      </c>
      <c r="F234" s="4">
        <v>24564695</v>
      </c>
      <c r="G234" s="4">
        <v>0</v>
      </c>
      <c r="H234" s="4">
        <v>0</v>
      </c>
      <c r="I234" s="4">
        <v>0</v>
      </c>
      <c r="J234" s="4">
        <v>12389892</v>
      </c>
      <c r="K234" s="4">
        <v>0</v>
      </c>
      <c r="L234" s="4">
        <v>0</v>
      </c>
      <c r="M234" s="4">
        <v>0</v>
      </c>
      <c r="N234" s="4">
        <v>9287940</v>
      </c>
      <c r="O234" s="4">
        <v>0</v>
      </c>
      <c r="P234" s="4">
        <v>0</v>
      </c>
      <c r="Q234" s="4">
        <v>0</v>
      </c>
      <c r="R234" s="4">
        <f>1872979+4731945</f>
        <v>6604924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2500000</v>
      </c>
      <c r="AA234" s="4">
        <v>0</v>
      </c>
      <c r="AB234" s="4">
        <v>0</v>
      </c>
      <c r="AC234" s="4">
        <v>0</v>
      </c>
      <c r="AD234" s="4">
        <v>0</v>
      </c>
      <c r="AE234" s="4"/>
      <c r="AF234" s="4">
        <f t="shared" si="8"/>
        <v>55347451</v>
      </c>
    </row>
    <row r="235" spans="1:64" s="4" customFormat="1">
      <c r="A235" s="4">
        <v>102</v>
      </c>
      <c r="B235" s="35" t="s">
        <v>238</v>
      </c>
      <c r="C235" s="35"/>
      <c r="D235" s="35" t="s">
        <v>485</v>
      </c>
      <c r="E235" s="35"/>
      <c r="F235" s="1">
        <v>279972.23</v>
      </c>
      <c r="G235" s="1"/>
      <c r="H235" s="1">
        <v>83584.47</v>
      </c>
      <c r="I235" s="1"/>
      <c r="J235" s="1">
        <v>107346.6</v>
      </c>
      <c r="K235" s="1"/>
      <c r="L235" s="1">
        <v>45824.160000000003</v>
      </c>
      <c r="M235" s="1"/>
      <c r="N235" s="1">
        <v>0</v>
      </c>
      <c r="O235" s="1"/>
      <c r="P235" s="1">
        <v>15223.43</v>
      </c>
      <c r="Q235" s="1"/>
      <c r="R235" s="1">
        <v>11157.23</v>
      </c>
      <c r="S235" s="1"/>
      <c r="T235" s="1">
        <v>23673.29</v>
      </c>
      <c r="U235" s="1"/>
      <c r="V235" s="1">
        <v>0.01</v>
      </c>
      <c r="W235" s="1"/>
      <c r="X235" s="1">
        <v>0</v>
      </c>
      <c r="Y235" s="1"/>
      <c r="Z235" s="1">
        <v>60000</v>
      </c>
      <c r="AA235" s="1"/>
      <c r="AB235" s="1">
        <v>0</v>
      </c>
      <c r="AC235" s="1"/>
      <c r="AD235" s="1">
        <v>0</v>
      </c>
      <c r="AE235" s="35"/>
      <c r="AF235" s="4">
        <f t="shared" si="8"/>
        <v>626781.42000000004</v>
      </c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</row>
    <row r="236" spans="1:64" s="4" customFormat="1">
      <c r="A236" s="39">
        <v>197.1</v>
      </c>
      <c r="B236" s="3" t="s">
        <v>583</v>
      </c>
      <c r="C236" s="3"/>
      <c r="D236" s="3" t="s">
        <v>584</v>
      </c>
      <c r="E236" s="3"/>
      <c r="F236" s="1">
        <v>501948.37</v>
      </c>
      <c r="G236" s="1"/>
      <c r="H236" s="1">
        <v>179664.61</v>
      </c>
      <c r="I236" s="1"/>
      <c r="J236" s="1">
        <v>62144.99</v>
      </c>
      <c r="K236" s="1"/>
      <c r="L236" s="1">
        <v>128831.32</v>
      </c>
      <c r="M236" s="1"/>
      <c r="N236" s="1">
        <v>0</v>
      </c>
      <c r="O236" s="1"/>
      <c r="P236" s="1">
        <v>17101.849999999999</v>
      </c>
      <c r="Q236" s="1"/>
      <c r="R236" s="1">
        <v>6488</v>
      </c>
      <c r="S236" s="1"/>
      <c r="T236" s="1">
        <v>13317.95</v>
      </c>
      <c r="U236" s="1"/>
      <c r="V236" s="1">
        <v>0</v>
      </c>
      <c r="W236" s="1"/>
      <c r="X236" s="1">
        <v>0</v>
      </c>
      <c r="Y236" s="1"/>
      <c r="Z236" s="1">
        <v>0</v>
      </c>
      <c r="AA236" s="1"/>
      <c r="AB236" s="1">
        <v>2000</v>
      </c>
      <c r="AC236" s="1"/>
      <c r="AD236" s="1">
        <v>0</v>
      </c>
      <c r="AF236" s="4">
        <f t="shared" si="8"/>
        <v>911497.09</v>
      </c>
      <c r="AG236" s="48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</row>
    <row r="237" spans="1:64" s="4" customFormat="1">
      <c r="A237" s="4">
        <v>193</v>
      </c>
      <c r="B237" s="3" t="s">
        <v>239</v>
      </c>
      <c r="C237" s="3"/>
      <c r="D237" s="3" t="s">
        <v>173</v>
      </c>
      <c r="E237" s="3"/>
      <c r="F237" s="1">
        <v>620092.30000000005</v>
      </c>
      <c r="G237" s="1"/>
      <c r="H237" s="1">
        <v>168681.46</v>
      </c>
      <c r="I237" s="1"/>
      <c r="J237" s="1">
        <v>499723.76</v>
      </c>
      <c r="K237" s="1"/>
      <c r="L237" s="1">
        <v>140903.70000000001</v>
      </c>
      <c r="M237" s="1"/>
      <c r="N237" s="1">
        <v>0</v>
      </c>
      <c r="O237" s="1"/>
      <c r="P237" s="1">
        <v>26849.69</v>
      </c>
      <c r="Q237" s="1"/>
      <c r="R237" s="1">
        <v>185.1</v>
      </c>
      <c r="S237" s="1"/>
      <c r="T237" s="1">
        <v>9728.48</v>
      </c>
      <c r="U237" s="1"/>
      <c r="V237" s="1">
        <v>0</v>
      </c>
      <c r="W237" s="1"/>
      <c r="X237" s="1">
        <v>0</v>
      </c>
      <c r="Y237" s="1"/>
      <c r="Z237" s="1">
        <v>17463</v>
      </c>
      <c r="AA237" s="1"/>
      <c r="AB237" s="1">
        <v>0</v>
      </c>
      <c r="AC237" s="1"/>
      <c r="AD237" s="1">
        <v>0</v>
      </c>
      <c r="AF237" s="4">
        <f t="shared" si="8"/>
        <v>1483627.49</v>
      </c>
      <c r="AG237" s="48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</row>
    <row r="238" spans="1:64" s="4" customFormat="1">
      <c r="A238" s="4">
        <v>153</v>
      </c>
      <c r="B238" s="3" t="s">
        <v>240</v>
      </c>
      <c r="C238" s="3"/>
      <c r="D238" s="3" t="s">
        <v>215</v>
      </c>
      <c r="E238" s="3"/>
      <c r="F238" s="4">
        <v>5438081</v>
      </c>
      <c r="G238" s="4">
        <v>0</v>
      </c>
      <c r="H238" s="4">
        <v>2049827</v>
      </c>
      <c r="I238" s="4">
        <v>0</v>
      </c>
      <c r="J238" s="4">
        <v>1785077</v>
      </c>
      <c r="K238" s="4">
        <v>0</v>
      </c>
      <c r="L238" s="4">
        <v>1291872</v>
      </c>
      <c r="M238" s="4">
        <v>0</v>
      </c>
      <c r="N238" s="4">
        <v>0</v>
      </c>
      <c r="O238" s="4">
        <v>0</v>
      </c>
      <c r="P238" s="4">
        <v>194983</v>
      </c>
      <c r="Q238" s="4">
        <v>0</v>
      </c>
      <c r="R238" s="4">
        <v>55459</v>
      </c>
      <c r="S238" s="4">
        <v>0</v>
      </c>
      <c r="T238" s="4">
        <v>34909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1050345</v>
      </c>
      <c r="AA238" s="4">
        <v>0</v>
      </c>
      <c r="AB238" s="4">
        <v>0</v>
      </c>
      <c r="AC238" s="4">
        <v>0</v>
      </c>
      <c r="AD238" s="4">
        <v>0</v>
      </c>
      <c r="AF238" s="4">
        <f t="shared" si="8"/>
        <v>11900553</v>
      </c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</row>
    <row r="239" spans="1:64" s="4" customFormat="1">
      <c r="A239" s="4">
        <v>238</v>
      </c>
      <c r="B239" s="3" t="s">
        <v>241</v>
      </c>
      <c r="C239" s="3"/>
      <c r="D239" s="3" t="s">
        <v>193</v>
      </c>
      <c r="E239" s="3"/>
      <c r="F239" s="4">
        <v>119610</v>
      </c>
      <c r="G239" s="4">
        <v>0</v>
      </c>
      <c r="H239" s="4">
        <v>42654</v>
      </c>
      <c r="I239" s="4">
        <v>0</v>
      </c>
      <c r="J239" s="4">
        <v>59004</v>
      </c>
      <c r="K239" s="4">
        <v>0</v>
      </c>
      <c r="L239" s="4">
        <v>17977</v>
      </c>
      <c r="M239" s="4">
        <v>0</v>
      </c>
      <c r="N239" s="4">
        <v>0</v>
      </c>
      <c r="O239" s="4">
        <v>0</v>
      </c>
      <c r="P239" s="4">
        <v>6271</v>
      </c>
      <c r="Q239" s="4">
        <v>0</v>
      </c>
      <c r="R239" s="4">
        <v>977</v>
      </c>
      <c r="S239" s="4">
        <v>0</v>
      </c>
      <c r="T239" s="4">
        <v>2837</v>
      </c>
      <c r="U239" s="4">
        <v>0</v>
      </c>
      <c r="V239" s="4">
        <v>22191</v>
      </c>
      <c r="W239" s="4">
        <v>0</v>
      </c>
      <c r="X239" s="4">
        <v>19861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F239" s="4">
        <f t="shared" ref="AF239:AF243" si="9">SUM(F239:AD239)</f>
        <v>291382</v>
      </c>
      <c r="AG239" s="48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</row>
    <row r="240" spans="1:64" s="4" customFormat="1">
      <c r="A240" s="4">
        <v>100</v>
      </c>
      <c r="B240" s="3" t="s">
        <v>314</v>
      </c>
      <c r="C240" s="3"/>
      <c r="D240" s="3" t="s">
        <v>61</v>
      </c>
      <c r="E240" s="3"/>
      <c r="F240" s="1">
        <v>50722.17</v>
      </c>
      <c r="G240" s="1"/>
      <c r="H240" s="1">
        <v>8048.69</v>
      </c>
      <c r="I240" s="1"/>
      <c r="J240" s="1">
        <v>27015.22</v>
      </c>
      <c r="K240" s="1"/>
      <c r="L240" s="1">
        <v>9794.41</v>
      </c>
      <c r="M240" s="1"/>
      <c r="N240" s="1">
        <v>0</v>
      </c>
      <c r="O240" s="1"/>
      <c r="P240" s="1">
        <v>3326.02</v>
      </c>
      <c r="Q240" s="1"/>
      <c r="R240" s="1">
        <v>1410</v>
      </c>
      <c r="S240" s="1"/>
      <c r="T240" s="1">
        <v>1083.67</v>
      </c>
      <c r="U240" s="1"/>
      <c r="V240" s="1">
        <v>0</v>
      </c>
      <c r="W240" s="1"/>
      <c r="X240" s="1">
        <v>0</v>
      </c>
      <c r="Y240" s="1"/>
      <c r="Z240" s="1">
        <v>0</v>
      </c>
      <c r="AA240" s="1"/>
      <c r="AB240" s="1">
        <v>0</v>
      </c>
      <c r="AC240" s="1"/>
      <c r="AD240" s="1">
        <v>0</v>
      </c>
      <c r="AF240" s="4">
        <f t="shared" si="9"/>
        <v>101400.18000000001</v>
      </c>
      <c r="AG240" s="48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</row>
    <row r="241" spans="1:64" s="4" customFormat="1">
      <c r="A241" s="4">
        <v>68</v>
      </c>
      <c r="B241" s="3" t="s">
        <v>242</v>
      </c>
      <c r="C241" s="3"/>
      <c r="D241" s="3" t="s">
        <v>167</v>
      </c>
      <c r="E241" s="3"/>
      <c r="F241" s="1">
        <v>611245.32999999996</v>
      </c>
      <c r="G241" s="1"/>
      <c r="H241" s="1">
        <v>142903.35999999999</v>
      </c>
      <c r="I241" s="1"/>
      <c r="J241" s="1">
        <v>179091.77</v>
      </c>
      <c r="K241" s="1"/>
      <c r="L241" s="1">
        <v>181273.28</v>
      </c>
      <c r="M241" s="1"/>
      <c r="N241" s="1">
        <v>0</v>
      </c>
      <c r="O241" s="1"/>
      <c r="P241" s="1">
        <v>20989.89</v>
      </c>
      <c r="Q241" s="1"/>
      <c r="R241" s="1">
        <v>4123.76</v>
      </c>
      <c r="S241" s="1"/>
      <c r="T241" s="1">
        <v>5236.8100000000004</v>
      </c>
      <c r="U241" s="1"/>
      <c r="V241" s="1">
        <v>0</v>
      </c>
      <c r="W241" s="1"/>
      <c r="X241" s="1">
        <v>0</v>
      </c>
      <c r="Y241" s="1"/>
      <c r="Z241" s="1">
        <v>0</v>
      </c>
      <c r="AA241" s="1"/>
      <c r="AB241" s="1">
        <v>0</v>
      </c>
      <c r="AC241" s="1"/>
      <c r="AD241" s="1">
        <v>0</v>
      </c>
      <c r="AF241" s="4">
        <f t="shared" si="9"/>
        <v>1144864.2</v>
      </c>
      <c r="AG241" s="48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</row>
    <row r="242" spans="1:64" s="4" customFormat="1">
      <c r="A242" s="4">
        <v>15</v>
      </c>
      <c r="B242" s="35" t="s">
        <v>243</v>
      </c>
      <c r="C242" s="35"/>
      <c r="D242" s="35" t="s">
        <v>471</v>
      </c>
      <c r="E242" s="35"/>
      <c r="F242" s="1">
        <v>72371.08</v>
      </c>
      <c r="G242" s="1"/>
      <c r="H242" s="1">
        <v>11799.48</v>
      </c>
      <c r="I242" s="1"/>
      <c r="J242" s="1">
        <v>25432.06</v>
      </c>
      <c r="K242" s="1"/>
      <c r="L242" s="1">
        <v>21231.14</v>
      </c>
      <c r="M242" s="1"/>
      <c r="N242" s="1">
        <v>0</v>
      </c>
      <c r="O242" s="1"/>
      <c r="P242" s="1">
        <v>2798.97</v>
      </c>
      <c r="Q242" s="1"/>
      <c r="R242" s="1">
        <v>1488.81</v>
      </c>
      <c r="S242" s="1"/>
      <c r="T242" s="1">
        <v>450</v>
      </c>
      <c r="U242" s="1"/>
      <c r="V242" s="1">
        <v>0</v>
      </c>
      <c r="W242" s="1"/>
      <c r="X242" s="1">
        <v>0</v>
      </c>
      <c r="Y242" s="1"/>
      <c r="Z242" s="1">
        <v>0</v>
      </c>
      <c r="AA242" s="1"/>
      <c r="AB242" s="1">
        <v>0</v>
      </c>
      <c r="AC242" s="1"/>
      <c r="AD242" s="1">
        <v>441</v>
      </c>
      <c r="AE242" s="35"/>
      <c r="AF242" s="4">
        <f t="shared" si="9"/>
        <v>136012.53999999998</v>
      </c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</row>
    <row r="243" spans="1:64" s="4" customFormat="1">
      <c r="A243" s="4">
        <v>161</v>
      </c>
      <c r="B243" s="35" t="s">
        <v>568</v>
      </c>
      <c r="C243" s="35"/>
      <c r="D243" s="35" t="s">
        <v>493</v>
      </c>
      <c r="E243" s="35"/>
      <c r="F243" s="1">
        <v>77176.259999999995</v>
      </c>
      <c r="G243" s="1"/>
      <c r="H243" s="1">
        <v>32250.35</v>
      </c>
      <c r="I243" s="1"/>
      <c r="J243" s="1">
        <v>17099.73</v>
      </c>
      <c r="K243" s="1"/>
      <c r="L243" s="1">
        <v>8982.81</v>
      </c>
      <c r="M243" s="1"/>
      <c r="N243" s="1">
        <v>0</v>
      </c>
      <c r="O243" s="1"/>
      <c r="P243" s="1">
        <v>13018.11</v>
      </c>
      <c r="Q243" s="1"/>
      <c r="R243" s="1">
        <v>1759.99</v>
      </c>
      <c r="S243" s="1"/>
      <c r="T243" s="1">
        <v>654.91</v>
      </c>
      <c r="U243" s="1"/>
      <c r="V243" s="1">
        <v>0</v>
      </c>
      <c r="W243" s="1"/>
      <c r="X243" s="1">
        <v>0</v>
      </c>
      <c r="Y243" s="1"/>
      <c r="Z243" s="1">
        <v>0</v>
      </c>
      <c r="AA243" s="1"/>
      <c r="AB243" s="1">
        <v>8200</v>
      </c>
      <c r="AC243" s="1"/>
      <c r="AD243" s="1">
        <v>0</v>
      </c>
      <c r="AE243" s="35"/>
      <c r="AF243" s="4">
        <f t="shared" si="9"/>
        <v>159142.16</v>
      </c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</row>
    <row r="244" spans="1:64">
      <c r="A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8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4"/>
    </row>
    <row r="245" spans="1:64">
      <c r="A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4" t="s">
        <v>591</v>
      </c>
      <c r="AG245" s="48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4"/>
    </row>
    <row r="246" spans="1:64">
      <c r="B246" s="3" t="s">
        <v>524</v>
      </c>
    </row>
    <row r="247" spans="1:64">
      <c r="B247" s="3" t="s">
        <v>635</v>
      </c>
    </row>
    <row r="248" spans="1:64">
      <c r="B248" s="41" t="s">
        <v>7</v>
      </c>
    </row>
    <row r="249" spans="1:64" s="36" customFormat="1">
      <c r="L249" s="36" t="s">
        <v>8</v>
      </c>
    </row>
    <row r="250" spans="1:64" s="36" customFormat="1">
      <c r="H250" s="36" t="s">
        <v>321</v>
      </c>
      <c r="J250" s="36" t="s">
        <v>323</v>
      </c>
      <c r="L250" s="36" t="s">
        <v>555</v>
      </c>
      <c r="N250" s="36" t="s">
        <v>554</v>
      </c>
      <c r="X250" s="36" t="s">
        <v>330</v>
      </c>
      <c r="AD250" s="36" t="s">
        <v>0</v>
      </c>
    </row>
    <row r="251" spans="1:64" s="36" customFormat="1">
      <c r="H251" s="36" t="s">
        <v>322</v>
      </c>
      <c r="J251" s="36" t="s">
        <v>324</v>
      </c>
      <c r="L251" s="36" t="s">
        <v>325</v>
      </c>
      <c r="N251" s="36" t="s">
        <v>552</v>
      </c>
      <c r="T251" s="36" t="s">
        <v>30</v>
      </c>
      <c r="V251" s="36" t="s">
        <v>328</v>
      </c>
      <c r="X251" s="36" t="s">
        <v>331</v>
      </c>
      <c r="AD251" s="36" t="s">
        <v>296</v>
      </c>
    </row>
    <row r="252" spans="1:64" s="36" customFormat="1" ht="12" customHeight="1">
      <c r="A252" s="36" t="s">
        <v>578</v>
      </c>
      <c r="B252" s="37" t="s">
        <v>8</v>
      </c>
      <c r="D252" s="37" t="s">
        <v>6</v>
      </c>
      <c r="F252" s="37" t="s">
        <v>2</v>
      </c>
      <c r="H252" s="37" t="s">
        <v>3</v>
      </c>
      <c r="J252" s="37" t="s">
        <v>29</v>
      </c>
      <c r="L252" s="37" t="s">
        <v>326</v>
      </c>
      <c r="N252" s="37" t="s">
        <v>553</v>
      </c>
      <c r="P252" s="37" t="s">
        <v>4</v>
      </c>
      <c r="R252" s="37" t="s">
        <v>0</v>
      </c>
      <c r="T252" s="37" t="s">
        <v>327</v>
      </c>
      <c r="V252" s="37" t="s">
        <v>329</v>
      </c>
      <c r="X252" s="37" t="s">
        <v>332</v>
      </c>
      <c r="Z252" s="37" t="s">
        <v>506</v>
      </c>
      <c r="AB252" s="37" t="s">
        <v>507</v>
      </c>
      <c r="AD252" s="37" t="s">
        <v>333</v>
      </c>
      <c r="AF252" s="46" t="s">
        <v>28</v>
      </c>
    </row>
    <row r="253" spans="1:64" s="7" customFormat="1">
      <c r="A253" s="7">
        <v>56</v>
      </c>
      <c r="B253" s="7" t="s">
        <v>244</v>
      </c>
      <c r="D253" s="7" t="s">
        <v>19</v>
      </c>
      <c r="F253" s="7">
        <v>1643817</v>
      </c>
      <c r="G253" s="7">
        <v>0</v>
      </c>
      <c r="H253" s="7">
        <v>0</v>
      </c>
      <c r="I253" s="7">
        <v>0</v>
      </c>
      <c r="J253" s="7">
        <v>1042458</v>
      </c>
      <c r="K253" s="7">
        <v>0</v>
      </c>
      <c r="L253" s="7">
        <v>0</v>
      </c>
      <c r="M253" s="7">
        <v>0</v>
      </c>
      <c r="N253" s="7">
        <v>483634</v>
      </c>
      <c r="O253" s="7">
        <v>0</v>
      </c>
      <c r="P253" s="7">
        <v>0</v>
      </c>
      <c r="Q253" s="7">
        <v>0</v>
      </c>
      <c r="R253" s="7">
        <f>278414+391087</f>
        <v>669501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40000</v>
      </c>
      <c r="AA253" s="7">
        <v>0</v>
      </c>
      <c r="AB253" s="7">
        <v>0</v>
      </c>
      <c r="AC253" s="7">
        <v>0</v>
      </c>
      <c r="AD253" s="7">
        <v>0</v>
      </c>
      <c r="AF253" s="7">
        <f t="shared" ref="AF253:AF305" si="10">SUM(F253:AD253)</f>
        <v>3879410</v>
      </c>
      <c r="AG253" s="47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</row>
    <row r="254" spans="1:64" s="4" customFormat="1">
      <c r="A254" s="4">
        <v>214</v>
      </c>
      <c r="B254" s="3" t="s">
        <v>245</v>
      </c>
      <c r="C254" s="3"/>
      <c r="D254" s="3" t="s">
        <v>25</v>
      </c>
      <c r="E254" s="3"/>
      <c r="F254" s="4">
        <f>614314+93813+119335+1050</f>
        <v>828512</v>
      </c>
      <c r="G254" s="4">
        <v>0</v>
      </c>
      <c r="H254" s="4">
        <v>0</v>
      </c>
      <c r="I254" s="4">
        <v>0</v>
      </c>
      <c r="J254" s="4">
        <f>855+11777+10365+9930+48822+41498+70890</f>
        <v>194137</v>
      </c>
      <c r="K254" s="4">
        <v>0</v>
      </c>
      <c r="L254" s="4">
        <f>103121+24439+24964+37070+3009+713</f>
        <v>193316</v>
      </c>
      <c r="M254" s="4">
        <v>0</v>
      </c>
      <c r="N254" s="4">
        <v>0</v>
      </c>
      <c r="O254" s="4">
        <v>0</v>
      </c>
      <c r="P254" s="4">
        <f>23909+3179+2581</f>
        <v>29669</v>
      </c>
      <c r="Q254" s="4">
        <v>0</v>
      </c>
      <c r="R254" s="4">
        <f>4839+329</f>
        <v>5168</v>
      </c>
      <c r="S254" s="4">
        <v>0</v>
      </c>
      <c r="T254" s="4">
        <v>3813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F254" s="4">
        <f t="shared" si="10"/>
        <v>1254615</v>
      </c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</row>
    <row r="255" spans="1:64" s="4" customFormat="1">
      <c r="A255" s="4">
        <v>253</v>
      </c>
      <c r="B255" s="3" t="s">
        <v>246</v>
      </c>
      <c r="C255" s="3"/>
      <c r="D255" s="3" t="s">
        <v>65</v>
      </c>
      <c r="E255" s="3"/>
      <c r="F255" s="4">
        <v>362859</v>
      </c>
      <c r="G255" s="4">
        <v>0</v>
      </c>
      <c r="H255" s="4">
        <v>130238</v>
      </c>
      <c r="I255" s="4">
        <v>0</v>
      </c>
      <c r="J255" s="4">
        <v>100582</v>
      </c>
      <c r="K255" s="4">
        <v>0</v>
      </c>
      <c r="L255" s="4">
        <v>123848</v>
      </c>
      <c r="M255" s="4">
        <v>0</v>
      </c>
      <c r="N255" s="4">
        <v>0</v>
      </c>
      <c r="O255" s="4">
        <v>0</v>
      </c>
      <c r="P255" s="4">
        <v>10185</v>
      </c>
      <c r="Q255" s="4">
        <v>0</v>
      </c>
      <c r="R255" s="4">
        <v>7634</v>
      </c>
      <c r="S255" s="4">
        <v>0</v>
      </c>
      <c r="T255" s="4">
        <v>17478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F255" s="4">
        <f t="shared" si="10"/>
        <v>752824</v>
      </c>
      <c r="AG255" s="48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</row>
    <row r="256" spans="1:64" s="4" customFormat="1">
      <c r="A256" s="4">
        <v>36</v>
      </c>
      <c r="B256" s="35" t="s">
        <v>247</v>
      </c>
      <c r="C256" s="35"/>
      <c r="D256" s="35" t="s">
        <v>480</v>
      </c>
      <c r="E256" s="35"/>
      <c r="F256" s="1">
        <v>111046.5</v>
      </c>
      <c r="G256" s="1"/>
      <c r="H256" s="1">
        <v>23062.89</v>
      </c>
      <c r="I256" s="1"/>
      <c r="J256" s="1">
        <v>24937.25</v>
      </c>
      <c r="K256" s="1"/>
      <c r="L256" s="1">
        <v>36911.230000000003</v>
      </c>
      <c r="M256" s="1"/>
      <c r="N256" s="1">
        <v>0</v>
      </c>
      <c r="O256" s="1"/>
      <c r="P256" s="1">
        <v>3497.37</v>
      </c>
      <c r="Q256" s="1"/>
      <c r="R256" s="1">
        <v>1814</v>
      </c>
      <c r="S256" s="1"/>
      <c r="T256" s="1">
        <v>94.96</v>
      </c>
      <c r="U256" s="1"/>
      <c r="V256" s="1">
        <v>0</v>
      </c>
      <c r="W256" s="1"/>
      <c r="X256" s="1">
        <v>0</v>
      </c>
      <c r="Y256" s="1"/>
      <c r="Z256" s="1">
        <v>0</v>
      </c>
      <c r="AA256" s="1"/>
      <c r="AB256" s="1">
        <v>0</v>
      </c>
      <c r="AC256" s="1"/>
      <c r="AD256" s="1">
        <v>0</v>
      </c>
      <c r="AE256" s="35"/>
      <c r="AF256" s="4">
        <f t="shared" si="10"/>
        <v>201364.2</v>
      </c>
      <c r="AG256" s="48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</row>
    <row r="257" spans="1:64" s="4" customFormat="1">
      <c r="A257" s="4">
        <v>30</v>
      </c>
      <c r="B257" s="35" t="s">
        <v>347</v>
      </c>
      <c r="C257" s="35"/>
      <c r="D257" s="35" t="s">
        <v>478</v>
      </c>
      <c r="E257" s="35"/>
      <c r="F257" s="1">
        <v>146650.89000000001</v>
      </c>
      <c r="G257" s="1"/>
      <c r="H257" s="1">
        <v>59933.93</v>
      </c>
      <c r="I257" s="1"/>
      <c r="J257" s="1">
        <v>67282.84</v>
      </c>
      <c r="K257" s="1"/>
      <c r="L257" s="1">
        <v>40457.1</v>
      </c>
      <c r="M257" s="1"/>
      <c r="N257" s="1">
        <v>0</v>
      </c>
      <c r="O257" s="1"/>
      <c r="P257" s="1">
        <v>13282.27</v>
      </c>
      <c r="Q257" s="1"/>
      <c r="R257" s="1">
        <v>1561.6</v>
      </c>
      <c r="S257" s="1"/>
      <c r="T257" s="1">
        <v>0</v>
      </c>
      <c r="U257" s="1"/>
      <c r="V257" s="1">
        <v>0</v>
      </c>
      <c r="W257" s="1"/>
      <c r="X257" s="1">
        <v>0</v>
      </c>
      <c r="Y257" s="1"/>
      <c r="Z257" s="1">
        <v>10000</v>
      </c>
      <c r="AA257" s="1"/>
      <c r="AB257" s="1">
        <v>0</v>
      </c>
      <c r="AC257" s="1"/>
      <c r="AD257" s="1">
        <v>0</v>
      </c>
      <c r="AE257" s="35"/>
      <c r="AF257" s="4">
        <f t="shared" si="10"/>
        <v>339168.63</v>
      </c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</row>
    <row r="258" spans="1:64" s="4" customFormat="1">
      <c r="A258" s="4">
        <v>43</v>
      </c>
      <c r="B258" s="3" t="s">
        <v>248</v>
      </c>
      <c r="C258" s="3"/>
      <c r="D258" s="3" t="s">
        <v>51</v>
      </c>
      <c r="E258" s="3"/>
      <c r="F258" s="4">
        <v>446866</v>
      </c>
      <c r="G258" s="4">
        <v>0</v>
      </c>
      <c r="H258" s="4">
        <v>100060</v>
      </c>
      <c r="I258" s="4">
        <v>0</v>
      </c>
      <c r="J258" s="4">
        <v>122728</v>
      </c>
      <c r="K258" s="4">
        <v>0</v>
      </c>
      <c r="L258" s="4">
        <v>102714</v>
      </c>
      <c r="M258" s="4">
        <v>0</v>
      </c>
      <c r="N258" s="4">
        <v>0</v>
      </c>
      <c r="O258" s="4">
        <v>0</v>
      </c>
      <c r="P258" s="4">
        <v>13174</v>
      </c>
      <c r="Q258" s="4">
        <v>0</v>
      </c>
      <c r="R258" s="4">
        <v>1792</v>
      </c>
      <c r="S258" s="4">
        <v>0</v>
      </c>
      <c r="T258" s="4">
        <v>2273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F258" s="4">
        <f t="shared" si="10"/>
        <v>789607</v>
      </c>
      <c r="AG258" s="48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</row>
    <row r="259" spans="1:64" s="4" customFormat="1">
      <c r="A259" s="4">
        <v>244</v>
      </c>
      <c r="B259" s="3" t="s">
        <v>249</v>
      </c>
      <c r="C259" s="3"/>
      <c r="D259" s="3" t="s">
        <v>54</v>
      </c>
      <c r="E259" s="3"/>
      <c r="F259" s="4">
        <v>387642</v>
      </c>
      <c r="G259" s="4">
        <v>0</v>
      </c>
      <c r="H259" s="4">
        <v>49812</v>
      </c>
      <c r="I259" s="4">
        <v>0</v>
      </c>
      <c r="J259" s="4">
        <v>114629</v>
      </c>
      <c r="K259" s="4">
        <v>0</v>
      </c>
      <c r="L259" s="4">
        <v>45806</v>
      </c>
      <c r="M259" s="4">
        <v>0</v>
      </c>
      <c r="N259" s="4">
        <v>0</v>
      </c>
      <c r="O259" s="4">
        <v>0</v>
      </c>
      <c r="P259" s="4">
        <v>9038</v>
      </c>
      <c r="Q259" s="4">
        <v>0</v>
      </c>
      <c r="R259" s="4">
        <v>7303</v>
      </c>
      <c r="S259" s="4">
        <v>0</v>
      </c>
      <c r="T259" s="4">
        <v>2129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F259" s="4">
        <f t="shared" si="10"/>
        <v>616359</v>
      </c>
      <c r="AG259" s="48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</row>
    <row r="260" spans="1:64" s="4" customFormat="1">
      <c r="A260" s="4">
        <v>69</v>
      </c>
      <c r="B260" s="3" t="s">
        <v>315</v>
      </c>
      <c r="C260" s="3"/>
      <c r="D260" s="3" t="s">
        <v>167</v>
      </c>
      <c r="E260" s="3"/>
      <c r="F260" s="4">
        <v>1351713</v>
      </c>
      <c r="G260" s="4">
        <v>0</v>
      </c>
      <c r="H260" s="4">
        <v>509060</v>
      </c>
      <c r="I260" s="4">
        <v>0</v>
      </c>
      <c r="J260" s="4">
        <v>523934</v>
      </c>
      <c r="K260" s="4">
        <v>0</v>
      </c>
      <c r="L260" s="4">
        <v>217158</v>
      </c>
      <c r="M260" s="4">
        <v>0</v>
      </c>
      <c r="N260" s="4">
        <v>0</v>
      </c>
      <c r="O260" s="4">
        <v>0</v>
      </c>
      <c r="P260" s="4">
        <v>52230</v>
      </c>
      <c r="Q260" s="4">
        <v>0</v>
      </c>
      <c r="R260" s="4">
        <v>17244</v>
      </c>
      <c r="S260" s="4">
        <v>0</v>
      </c>
      <c r="T260" s="4">
        <v>49070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184416</v>
      </c>
      <c r="AA260" s="4">
        <v>0</v>
      </c>
      <c r="AB260" s="4">
        <v>0</v>
      </c>
      <c r="AC260" s="4">
        <v>0</v>
      </c>
      <c r="AD260" s="4">
        <v>0</v>
      </c>
      <c r="AF260" s="4">
        <f t="shared" si="10"/>
        <v>2904825</v>
      </c>
      <c r="AG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</row>
    <row r="261" spans="1:64">
      <c r="A261" s="4">
        <v>177</v>
      </c>
      <c r="B261" s="3" t="s">
        <v>250</v>
      </c>
      <c r="D261" s="3" t="s">
        <v>68</v>
      </c>
      <c r="F261" s="1">
        <v>114671.65</v>
      </c>
      <c r="G261" s="1"/>
      <c r="H261" s="1">
        <v>19146.97</v>
      </c>
      <c r="I261" s="1"/>
      <c r="J261" s="1">
        <v>30099.599999999999</v>
      </c>
      <c r="K261" s="1"/>
      <c r="L261" s="1">
        <v>5363.74</v>
      </c>
      <c r="M261" s="1"/>
      <c r="N261" s="1">
        <v>0</v>
      </c>
      <c r="O261" s="1"/>
      <c r="P261" s="1">
        <v>1143.9000000000001</v>
      </c>
      <c r="Q261" s="1"/>
      <c r="R261" s="1">
        <v>1845</v>
      </c>
      <c r="S261" s="1"/>
      <c r="T261" s="1">
        <v>0</v>
      </c>
      <c r="U261" s="1"/>
      <c r="V261" s="1">
        <v>0</v>
      </c>
      <c r="W261" s="1"/>
      <c r="X261" s="1">
        <v>0</v>
      </c>
      <c r="Y261" s="1"/>
      <c r="Z261" s="1">
        <v>0</v>
      </c>
      <c r="AA261" s="1"/>
      <c r="AB261" s="1">
        <v>0</v>
      </c>
      <c r="AC261" s="1"/>
      <c r="AD261" s="1">
        <v>0</v>
      </c>
      <c r="AE261" s="4"/>
      <c r="AF261" s="4">
        <f t="shared" si="10"/>
        <v>172270.86</v>
      </c>
    </row>
    <row r="262" spans="1:64" s="4" customFormat="1">
      <c r="A262" s="4">
        <v>206</v>
      </c>
      <c r="B262" s="3" t="s">
        <v>251</v>
      </c>
      <c r="C262" s="3"/>
      <c r="D262" s="3" t="s">
        <v>45</v>
      </c>
      <c r="E262" s="3"/>
      <c r="F262" s="1">
        <v>80276.69</v>
      </c>
      <c r="G262" s="1"/>
      <c r="H262" s="1">
        <v>12567.97</v>
      </c>
      <c r="I262" s="1"/>
      <c r="J262" s="1">
        <v>37490.660000000003</v>
      </c>
      <c r="K262" s="1"/>
      <c r="L262" s="1">
        <v>17764.46</v>
      </c>
      <c r="M262" s="1"/>
      <c r="N262" s="1">
        <v>0</v>
      </c>
      <c r="O262" s="1"/>
      <c r="P262" s="1">
        <v>5601.48</v>
      </c>
      <c r="Q262" s="1"/>
      <c r="R262" s="1">
        <v>5898.38</v>
      </c>
      <c r="S262" s="1"/>
      <c r="T262" s="1">
        <v>512.34</v>
      </c>
      <c r="U262" s="1"/>
      <c r="V262" s="1">
        <v>0</v>
      </c>
      <c r="W262" s="1"/>
      <c r="X262" s="1">
        <v>0</v>
      </c>
      <c r="Y262" s="1"/>
      <c r="Z262" s="1">
        <v>6349</v>
      </c>
      <c r="AA262" s="1"/>
      <c r="AB262" s="1">
        <v>0</v>
      </c>
      <c r="AC262" s="1"/>
      <c r="AD262" s="1">
        <v>1524</v>
      </c>
      <c r="AF262" s="4">
        <f t="shared" si="10"/>
        <v>167984.98</v>
      </c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</row>
    <row r="263" spans="1:64" s="4" customFormat="1">
      <c r="A263" s="4">
        <v>57</v>
      </c>
      <c r="B263" s="3" t="s">
        <v>252</v>
      </c>
      <c r="C263" s="3"/>
      <c r="D263" s="3" t="s">
        <v>19</v>
      </c>
      <c r="E263" s="3"/>
      <c r="F263" s="4">
        <v>2707167</v>
      </c>
      <c r="G263" s="4">
        <v>0</v>
      </c>
      <c r="H263" s="4">
        <v>732894</v>
      </c>
      <c r="I263" s="4">
        <v>0</v>
      </c>
      <c r="J263" s="4">
        <v>640612</v>
      </c>
      <c r="K263" s="4">
        <v>0</v>
      </c>
      <c r="L263" s="4">
        <v>470187</v>
      </c>
      <c r="M263" s="4">
        <v>0</v>
      </c>
      <c r="N263" s="4">
        <v>0</v>
      </c>
      <c r="O263" s="4">
        <v>0</v>
      </c>
      <c r="P263" s="4">
        <v>62319</v>
      </c>
      <c r="Q263" s="4">
        <v>0</v>
      </c>
      <c r="R263" s="4">
        <v>17184</v>
      </c>
      <c r="S263" s="4">
        <v>0</v>
      </c>
      <c r="T263" s="4">
        <v>4290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162324</v>
      </c>
      <c r="AA263" s="4">
        <v>0</v>
      </c>
      <c r="AB263" s="4">
        <v>20000</v>
      </c>
      <c r="AC263" s="4">
        <v>0</v>
      </c>
      <c r="AD263" s="4">
        <v>0</v>
      </c>
      <c r="AF263" s="4">
        <f t="shared" si="10"/>
        <v>4816977</v>
      </c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</row>
    <row r="264" spans="1:64" s="4" customFormat="1">
      <c r="A264" s="4">
        <v>118</v>
      </c>
      <c r="B264" s="4" t="s">
        <v>447</v>
      </c>
      <c r="D264" s="4" t="s">
        <v>170</v>
      </c>
      <c r="F264" s="4">
        <v>2244</v>
      </c>
      <c r="G264" s="4">
        <v>0</v>
      </c>
      <c r="H264" s="4">
        <v>50</v>
      </c>
      <c r="I264" s="4">
        <v>0</v>
      </c>
      <c r="J264" s="4">
        <v>19748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2502</v>
      </c>
      <c r="Q264" s="4">
        <v>0</v>
      </c>
      <c r="R264" s="4">
        <v>726</v>
      </c>
      <c r="S264" s="4">
        <v>0</v>
      </c>
      <c r="T264" s="4">
        <v>3286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F264" s="4">
        <f t="shared" si="10"/>
        <v>28556</v>
      </c>
      <c r="AG264" s="48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</row>
    <row r="265" spans="1:64" s="4" customFormat="1">
      <c r="A265" s="4">
        <v>79</v>
      </c>
      <c r="B265" s="3" t="s">
        <v>254</v>
      </c>
      <c r="C265" s="3"/>
      <c r="D265" s="3" t="s">
        <v>92</v>
      </c>
      <c r="E265" s="3"/>
      <c r="F265" s="4">
        <v>1473627</v>
      </c>
      <c r="G265" s="4">
        <v>0</v>
      </c>
      <c r="H265" s="4">
        <v>480330</v>
      </c>
      <c r="I265" s="4">
        <v>0</v>
      </c>
      <c r="J265" s="4">
        <v>916080</v>
      </c>
      <c r="K265" s="4">
        <v>0</v>
      </c>
      <c r="L265" s="4">
        <v>127466</v>
      </c>
      <c r="M265" s="4">
        <v>0</v>
      </c>
      <c r="N265" s="4">
        <v>0</v>
      </c>
      <c r="O265" s="4">
        <v>0</v>
      </c>
      <c r="P265" s="4">
        <v>80666</v>
      </c>
      <c r="Q265" s="4">
        <v>0</v>
      </c>
      <c r="R265" s="4">
        <v>31531</v>
      </c>
      <c r="S265" s="4">
        <v>0</v>
      </c>
      <c r="T265" s="4">
        <v>41491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F265" s="4">
        <f t="shared" si="10"/>
        <v>3151191</v>
      </c>
      <c r="AG265" s="48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</row>
    <row r="266" spans="1:64" s="4" customFormat="1">
      <c r="A266" s="4">
        <v>22</v>
      </c>
      <c r="B266" s="35" t="s">
        <v>316</v>
      </c>
      <c r="C266" s="35"/>
      <c r="D266" s="35" t="s">
        <v>474</v>
      </c>
      <c r="E266" s="35"/>
      <c r="F266" s="1">
        <v>209705.94</v>
      </c>
      <c r="G266" s="1"/>
      <c r="H266" s="1">
        <v>49617.56</v>
      </c>
      <c r="I266" s="1"/>
      <c r="J266" s="1">
        <v>56360.800000000003</v>
      </c>
      <c r="K266" s="1"/>
      <c r="L266" s="1">
        <v>40254.839999999997</v>
      </c>
      <c r="M266" s="1"/>
      <c r="N266" s="1">
        <v>0</v>
      </c>
      <c r="O266" s="1"/>
      <c r="P266" s="1">
        <v>10450.92</v>
      </c>
      <c r="Q266" s="1"/>
      <c r="R266" s="1">
        <v>2936.23</v>
      </c>
      <c r="S266" s="1"/>
      <c r="T266" s="1">
        <v>8188.4</v>
      </c>
      <c r="U266" s="1"/>
      <c r="V266" s="1">
        <v>0</v>
      </c>
      <c r="W266" s="1"/>
      <c r="X266" s="1">
        <v>0</v>
      </c>
      <c r="Y266" s="1"/>
      <c r="Z266" s="1">
        <v>0</v>
      </c>
      <c r="AA266" s="1"/>
      <c r="AB266" s="1">
        <v>0</v>
      </c>
      <c r="AC266" s="1"/>
      <c r="AD266" s="1">
        <v>0</v>
      </c>
      <c r="AE266" s="35"/>
      <c r="AF266" s="4">
        <f t="shared" si="10"/>
        <v>377514.69</v>
      </c>
      <c r="AG266" s="48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</row>
    <row r="267" spans="1:64" s="4" customFormat="1">
      <c r="A267" s="4">
        <v>18</v>
      </c>
      <c r="B267" s="35" t="s">
        <v>344</v>
      </c>
      <c r="C267" s="35"/>
      <c r="D267" s="35" t="s">
        <v>473</v>
      </c>
      <c r="E267" s="35"/>
      <c r="F267" s="1">
        <v>248343.42</v>
      </c>
      <c r="G267" s="1"/>
      <c r="H267" s="1">
        <v>64482.31</v>
      </c>
      <c r="I267" s="1"/>
      <c r="J267" s="1">
        <v>52414.73</v>
      </c>
      <c r="K267" s="1"/>
      <c r="L267" s="1">
        <v>8978.7099999999991</v>
      </c>
      <c r="M267" s="1"/>
      <c r="N267" s="1">
        <v>0</v>
      </c>
      <c r="O267" s="1"/>
      <c r="P267" s="1">
        <v>14154.14</v>
      </c>
      <c r="Q267" s="1"/>
      <c r="R267" s="1">
        <v>4864</v>
      </c>
      <c r="S267" s="1"/>
      <c r="T267" s="1">
        <v>8971.9</v>
      </c>
      <c r="U267" s="1"/>
      <c r="V267" s="1">
        <v>13366</v>
      </c>
      <c r="W267" s="1"/>
      <c r="X267" s="1">
        <v>5430.4</v>
      </c>
      <c r="Y267" s="1"/>
      <c r="Z267" s="1">
        <v>0</v>
      </c>
      <c r="AA267" s="1"/>
      <c r="AB267" s="1">
        <v>40200</v>
      </c>
      <c r="AC267" s="1"/>
      <c r="AD267" s="1">
        <v>0</v>
      </c>
      <c r="AE267" s="35"/>
      <c r="AF267" s="4">
        <f t="shared" si="10"/>
        <v>461205.61000000004</v>
      </c>
      <c r="AG267" s="48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</row>
    <row r="268" spans="1:64" s="4" customFormat="1">
      <c r="A268" s="4">
        <v>215</v>
      </c>
      <c r="B268" s="3" t="s">
        <v>592</v>
      </c>
      <c r="C268" s="3"/>
      <c r="D268" s="3" t="s">
        <v>25</v>
      </c>
      <c r="E268" s="3"/>
      <c r="F268" s="4">
        <v>6260236</v>
      </c>
      <c r="G268" s="4">
        <v>0</v>
      </c>
      <c r="H268" s="4">
        <v>0</v>
      </c>
      <c r="I268" s="4">
        <v>0</v>
      </c>
      <c r="J268" s="4">
        <v>1904592</v>
      </c>
      <c r="K268" s="4">
        <v>0</v>
      </c>
      <c r="L268" s="4">
        <v>0</v>
      </c>
      <c r="M268" s="4">
        <v>0</v>
      </c>
      <c r="N268" s="4">
        <v>1192330</v>
      </c>
      <c r="O268" s="4">
        <v>0</v>
      </c>
      <c r="P268" s="4">
        <v>0</v>
      </c>
      <c r="Q268" s="4">
        <v>0</v>
      </c>
      <c r="R268" s="4">
        <f>535273+1532205</f>
        <v>2067478</v>
      </c>
      <c r="S268" s="4">
        <v>0</v>
      </c>
      <c r="T268" s="4">
        <v>225655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F268" s="4">
        <f t="shared" si="10"/>
        <v>11650291</v>
      </c>
      <c r="AG268" s="48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</row>
    <row r="269" spans="1:64" s="4" customFormat="1">
      <c r="A269" s="4">
        <v>120</v>
      </c>
      <c r="B269" s="3" t="s">
        <v>256</v>
      </c>
      <c r="C269" s="3"/>
      <c r="D269" s="3" t="s">
        <v>257</v>
      </c>
      <c r="E269" s="3"/>
      <c r="F269" s="1">
        <v>1248948.06</v>
      </c>
      <c r="G269" s="1"/>
      <c r="H269" s="1">
        <v>574212.82999999996</v>
      </c>
      <c r="I269" s="1"/>
      <c r="J269" s="1">
        <v>303071.49</v>
      </c>
      <c r="K269" s="1"/>
      <c r="L269" s="1">
        <v>218931.71</v>
      </c>
      <c r="M269" s="1"/>
      <c r="N269" s="1">
        <v>0</v>
      </c>
      <c r="O269" s="1"/>
      <c r="P269" s="1">
        <v>49478.59</v>
      </c>
      <c r="Q269" s="1"/>
      <c r="R269" s="1">
        <v>123.8</v>
      </c>
      <c r="S269" s="1"/>
      <c r="T269" s="1">
        <v>8967</v>
      </c>
      <c r="U269" s="1"/>
      <c r="V269" s="1">
        <v>0</v>
      </c>
      <c r="W269" s="1"/>
      <c r="X269" s="1">
        <v>0</v>
      </c>
      <c r="Y269" s="1"/>
      <c r="Z269" s="1">
        <v>0</v>
      </c>
      <c r="AA269" s="1"/>
      <c r="AB269" s="1">
        <v>0</v>
      </c>
      <c r="AC269" s="1"/>
      <c r="AD269" s="1">
        <v>0</v>
      </c>
      <c r="AF269" s="4">
        <f t="shared" si="10"/>
        <v>2403733.4799999995</v>
      </c>
      <c r="AG269" s="48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</row>
    <row r="270" spans="1:64" s="4" customFormat="1">
      <c r="A270" s="4">
        <v>220</v>
      </c>
      <c r="B270" s="3" t="s">
        <v>258</v>
      </c>
      <c r="C270" s="3"/>
      <c r="D270" s="3" t="s">
        <v>22</v>
      </c>
      <c r="E270" s="3"/>
      <c r="F270" s="4">
        <v>958344</v>
      </c>
      <c r="G270" s="4">
        <v>0</v>
      </c>
      <c r="H270" s="4">
        <v>0</v>
      </c>
      <c r="I270" s="4">
        <v>0</v>
      </c>
      <c r="J270" s="4">
        <v>453170</v>
      </c>
      <c r="K270" s="4">
        <v>0</v>
      </c>
      <c r="L270" s="4">
        <v>0</v>
      </c>
      <c r="M270" s="4">
        <v>0</v>
      </c>
      <c r="N270" s="4">
        <v>410493</v>
      </c>
      <c r="O270" s="4">
        <v>0</v>
      </c>
      <c r="P270" s="4">
        <v>0</v>
      </c>
      <c r="Q270" s="4">
        <v>0</v>
      </c>
      <c r="R270" s="4">
        <v>216272</v>
      </c>
      <c r="S270" s="4">
        <v>0</v>
      </c>
      <c r="T270" s="4">
        <v>8256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F270" s="4">
        <f t="shared" si="10"/>
        <v>2046535</v>
      </c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</row>
    <row r="271" spans="1:64" s="4" customFormat="1">
      <c r="A271" s="4">
        <v>86</v>
      </c>
      <c r="B271" s="3" t="s">
        <v>259</v>
      </c>
      <c r="C271" s="3"/>
      <c r="D271" s="3" t="s">
        <v>42</v>
      </c>
      <c r="E271" s="3"/>
      <c r="F271" s="1">
        <v>202316.45</v>
      </c>
      <c r="G271" s="1"/>
      <c r="H271" s="1">
        <v>69502.570000000007</v>
      </c>
      <c r="I271" s="1"/>
      <c r="J271" s="1">
        <v>73036.27</v>
      </c>
      <c r="K271" s="1"/>
      <c r="L271" s="1">
        <v>24881.06</v>
      </c>
      <c r="M271" s="1"/>
      <c r="N271" s="1">
        <v>0</v>
      </c>
      <c r="O271" s="1"/>
      <c r="P271" s="1">
        <v>7443.48</v>
      </c>
      <c r="Q271" s="1"/>
      <c r="R271" s="1">
        <v>5823.64</v>
      </c>
      <c r="S271" s="1"/>
      <c r="T271" s="1">
        <v>175</v>
      </c>
      <c r="U271" s="1"/>
      <c r="V271" s="1">
        <v>0</v>
      </c>
      <c r="W271" s="1"/>
      <c r="X271" s="1">
        <v>0</v>
      </c>
      <c r="Y271" s="1"/>
      <c r="Z271" s="1">
        <v>0</v>
      </c>
      <c r="AA271" s="1"/>
      <c r="AB271" s="1">
        <v>0</v>
      </c>
      <c r="AC271" s="1"/>
      <c r="AD271" s="1">
        <v>0</v>
      </c>
      <c r="AF271" s="4">
        <f t="shared" si="10"/>
        <v>383178.47000000003</v>
      </c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</row>
    <row r="272" spans="1:64" s="4" customFormat="1">
      <c r="A272" s="4">
        <v>119</v>
      </c>
      <c r="B272" s="35" t="s">
        <v>260</v>
      </c>
      <c r="C272" s="35"/>
      <c r="D272" s="35" t="s">
        <v>486</v>
      </c>
      <c r="E272" s="35"/>
      <c r="F272" s="1">
        <v>213622.18</v>
      </c>
      <c r="G272" s="1"/>
      <c r="H272" s="1">
        <v>79114</v>
      </c>
      <c r="I272" s="1"/>
      <c r="J272" s="1">
        <v>42003.61</v>
      </c>
      <c r="K272" s="1"/>
      <c r="L272" s="1">
        <v>20933.84</v>
      </c>
      <c r="M272" s="1"/>
      <c r="N272" s="1">
        <v>0</v>
      </c>
      <c r="O272" s="1"/>
      <c r="P272" s="1">
        <v>5272.4</v>
      </c>
      <c r="Q272" s="1"/>
      <c r="R272" s="1">
        <v>6188.39</v>
      </c>
      <c r="S272" s="1"/>
      <c r="T272" s="1">
        <v>4607</v>
      </c>
      <c r="U272" s="1"/>
      <c r="V272" s="1">
        <v>0</v>
      </c>
      <c r="W272" s="1"/>
      <c r="X272" s="1">
        <v>0</v>
      </c>
      <c r="Y272" s="1"/>
      <c r="Z272" s="1">
        <v>0</v>
      </c>
      <c r="AA272" s="1"/>
      <c r="AB272" s="1">
        <v>0</v>
      </c>
      <c r="AC272" s="1"/>
      <c r="AD272" s="1">
        <v>0</v>
      </c>
      <c r="AE272" s="35"/>
      <c r="AF272" s="4">
        <f t="shared" si="10"/>
        <v>371741.42000000004</v>
      </c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</row>
    <row r="273" spans="1:64" s="4" customFormat="1" hidden="1">
      <c r="A273" s="4">
        <v>221</v>
      </c>
      <c r="B273" s="3" t="s">
        <v>261</v>
      </c>
      <c r="C273" s="3"/>
      <c r="D273" s="3" t="s">
        <v>22</v>
      </c>
      <c r="E273" s="3"/>
      <c r="F273" s="1">
        <v>588037.44999999995</v>
      </c>
      <c r="G273" s="1"/>
      <c r="H273" s="1">
        <v>194726.58</v>
      </c>
      <c r="I273" s="1"/>
      <c r="J273" s="1">
        <v>169310.51</v>
      </c>
      <c r="K273" s="1"/>
      <c r="L273" s="1">
        <v>172748.56</v>
      </c>
      <c r="M273" s="1"/>
      <c r="N273" s="1"/>
      <c r="O273" s="1"/>
      <c r="P273" s="1">
        <v>21449.18</v>
      </c>
      <c r="Q273" s="1"/>
      <c r="R273" s="1">
        <v>8533.92</v>
      </c>
      <c r="S273" s="1"/>
      <c r="T273" s="1">
        <v>9694.6200000000008</v>
      </c>
      <c r="U273" s="1"/>
      <c r="V273" s="1">
        <v>0</v>
      </c>
      <c r="W273" s="1"/>
      <c r="X273" s="1">
        <v>0</v>
      </c>
      <c r="Y273" s="1"/>
      <c r="Z273" s="1">
        <v>0</v>
      </c>
      <c r="AA273" s="1"/>
      <c r="AB273" s="1">
        <v>0</v>
      </c>
      <c r="AC273" s="1"/>
      <c r="AD273" s="1">
        <v>-38.49</v>
      </c>
      <c r="AF273" s="4">
        <f t="shared" si="10"/>
        <v>1164462.3299999998</v>
      </c>
    </row>
    <row r="274" spans="1:64" s="7" customFormat="1" hidden="1">
      <c r="A274" s="39">
        <v>92.1</v>
      </c>
      <c r="B274" s="4" t="s">
        <v>579</v>
      </c>
      <c r="C274" s="3"/>
      <c r="D274" s="3" t="s">
        <v>580</v>
      </c>
      <c r="E274" s="3"/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/>
      <c r="AF274" s="4">
        <f t="shared" si="10"/>
        <v>0</v>
      </c>
      <c r="AG274" s="47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</row>
    <row r="275" spans="1:64" s="4" customFormat="1" hidden="1">
      <c r="A275" s="4">
        <v>71</v>
      </c>
      <c r="B275" s="7" t="s">
        <v>576</v>
      </c>
      <c r="C275" s="7"/>
      <c r="D275" s="7" t="s">
        <v>67</v>
      </c>
      <c r="E275" s="7"/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F275" s="4">
        <f t="shared" si="10"/>
        <v>0</v>
      </c>
      <c r="AG275" s="48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</row>
    <row r="276" spans="1:64" s="4" customFormat="1" hidden="1">
      <c r="A276" s="4">
        <v>207</v>
      </c>
      <c r="B276" s="3" t="s">
        <v>262</v>
      </c>
      <c r="C276" s="3"/>
      <c r="D276" s="3" t="s">
        <v>45</v>
      </c>
      <c r="E276" s="3"/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F276" s="4">
        <f t="shared" si="10"/>
        <v>0</v>
      </c>
      <c r="AG276" s="48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</row>
    <row r="277" spans="1:64" s="4" customFormat="1">
      <c r="A277" s="4">
        <v>166</v>
      </c>
      <c r="B277" s="3" t="s">
        <v>448</v>
      </c>
      <c r="C277" s="3"/>
      <c r="D277" s="3" t="s">
        <v>53</v>
      </c>
      <c r="E277" s="3"/>
      <c r="F277" s="4">
        <v>480455</v>
      </c>
      <c r="G277" s="4">
        <v>0</v>
      </c>
      <c r="H277" s="4">
        <v>0</v>
      </c>
      <c r="I277" s="4">
        <v>0</v>
      </c>
      <c r="J277" s="4">
        <v>79231</v>
      </c>
      <c r="K277" s="4">
        <v>0</v>
      </c>
      <c r="L277" s="4">
        <v>0</v>
      </c>
      <c r="M277" s="4">
        <v>0</v>
      </c>
      <c r="N277" s="4">
        <v>44347</v>
      </c>
      <c r="O277" s="4">
        <v>0</v>
      </c>
      <c r="P277" s="4">
        <v>0</v>
      </c>
      <c r="Q277" s="4">
        <v>0</v>
      </c>
      <c r="R277" s="4">
        <f>8858+53862</f>
        <v>62720</v>
      </c>
      <c r="S277" s="4">
        <v>0</v>
      </c>
      <c r="T277" s="4">
        <v>1615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9</v>
      </c>
      <c r="AA277" s="4">
        <v>0</v>
      </c>
      <c r="AB277" s="4">
        <v>0</v>
      </c>
      <c r="AC277" s="4">
        <v>0</v>
      </c>
      <c r="AD277" s="4">
        <v>0</v>
      </c>
      <c r="AF277" s="4">
        <f t="shared" si="10"/>
        <v>668377</v>
      </c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</row>
    <row r="278" spans="1:64" s="4" customFormat="1">
      <c r="A278" s="4">
        <v>147</v>
      </c>
      <c r="B278" s="3" t="s">
        <v>608</v>
      </c>
      <c r="C278" s="3"/>
      <c r="D278" s="3" t="s">
        <v>264</v>
      </c>
      <c r="E278" s="3"/>
      <c r="F278" s="4">
        <v>20382175</v>
      </c>
      <c r="G278" s="4">
        <v>0</v>
      </c>
      <c r="H278" s="4">
        <v>0</v>
      </c>
      <c r="I278" s="4">
        <v>0</v>
      </c>
      <c r="J278" s="4">
        <v>4503686</v>
      </c>
      <c r="K278" s="4">
        <v>0</v>
      </c>
      <c r="L278" s="4">
        <v>4017207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1752502</v>
      </c>
      <c r="U278" s="4">
        <v>0</v>
      </c>
      <c r="V278" s="4">
        <v>16203</v>
      </c>
      <c r="W278" s="4">
        <v>0</v>
      </c>
      <c r="X278" s="4">
        <v>4358</v>
      </c>
      <c r="Y278" s="4">
        <v>0</v>
      </c>
      <c r="Z278" s="4">
        <v>860707</v>
      </c>
      <c r="AA278" s="4">
        <v>0</v>
      </c>
      <c r="AB278" s="4">
        <v>0</v>
      </c>
      <c r="AC278" s="4">
        <v>0</v>
      </c>
      <c r="AD278" s="4">
        <v>0</v>
      </c>
      <c r="AF278" s="4">
        <f t="shared" si="10"/>
        <v>31536838</v>
      </c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</row>
    <row r="279" spans="1:64" s="4" customFormat="1">
      <c r="A279" s="4">
        <v>167</v>
      </c>
      <c r="B279" s="3" t="s">
        <v>609</v>
      </c>
      <c r="C279" s="3"/>
      <c r="D279" s="3" t="s">
        <v>53</v>
      </c>
      <c r="E279" s="3"/>
      <c r="F279" s="4">
        <v>705565</v>
      </c>
      <c r="G279" s="4">
        <v>0</v>
      </c>
      <c r="H279" s="4">
        <v>319656</v>
      </c>
      <c r="I279" s="4">
        <v>0</v>
      </c>
      <c r="J279" s="4">
        <v>228926</v>
      </c>
      <c r="K279" s="4">
        <v>0</v>
      </c>
      <c r="L279" s="4">
        <v>188971</v>
      </c>
      <c r="M279" s="4">
        <v>0</v>
      </c>
      <c r="N279" s="4">
        <v>0</v>
      </c>
      <c r="O279" s="4">
        <v>0</v>
      </c>
      <c r="P279" s="4">
        <v>63063</v>
      </c>
      <c r="Q279" s="4">
        <v>0</v>
      </c>
      <c r="R279" s="4">
        <v>4302</v>
      </c>
      <c r="S279" s="4">
        <v>0</v>
      </c>
      <c r="T279" s="4">
        <v>80810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50000</v>
      </c>
      <c r="AA279" s="4">
        <v>0</v>
      </c>
      <c r="AB279" s="4">
        <v>0</v>
      </c>
      <c r="AC279" s="4">
        <v>0</v>
      </c>
      <c r="AD279" s="4">
        <v>0</v>
      </c>
      <c r="AF279" s="4">
        <f t="shared" si="10"/>
        <v>1641293</v>
      </c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</row>
    <row r="280" spans="1:64" s="4" customFormat="1">
      <c r="A280" s="4">
        <v>236</v>
      </c>
      <c r="B280" s="3" t="s">
        <v>610</v>
      </c>
      <c r="C280" s="3"/>
      <c r="D280" s="3" t="s">
        <v>26</v>
      </c>
      <c r="E280" s="3"/>
      <c r="F280" s="4">
        <v>1044353</v>
      </c>
      <c r="G280" s="4">
        <v>0</v>
      </c>
      <c r="H280" s="4">
        <v>0</v>
      </c>
      <c r="I280" s="4">
        <v>0</v>
      </c>
      <c r="J280" s="4">
        <v>250371</v>
      </c>
      <c r="K280" s="4">
        <v>0</v>
      </c>
      <c r="L280" s="4">
        <v>0</v>
      </c>
      <c r="M280" s="4">
        <v>0</v>
      </c>
      <c r="N280" s="4">
        <v>114734</v>
      </c>
      <c r="O280" s="4">
        <v>0</v>
      </c>
      <c r="P280" s="4">
        <v>0</v>
      </c>
      <c r="Q280" s="4">
        <v>0</v>
      </c>
      <c r="R280" s="4">
        <f>18022+446825</f>
        <v>464847</v>
      </c>
      <c r="S280" s="4">
        <v>0</v>
      </c>
      <c r="T280" s="4">
        <v>17840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F280" s="4">
        <f t="shared" si="10"/>
        <v>1892145</v>
      </c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</row>
    <row r="281" spans="1:64" s="4" customFormat="1" ht="13.9" customHeight="1">
      <c r="A281" s="4">
        <v>222</v>
      </c>
      <c r="B281" s="3" t="s">
        <v>319</v>
      </c>
      <c r="C281" s="3"/>
      <c r="D281" s="3" t="s">
        <v>22</v>
      </c>
      <c r="E281" s="3"/>
      <c r="F281" s="4">
        <v>1053608</v>
      </c>
      <c r="G281" s="4">
        <v>0</v>
      </c>
      <c r="H281" s="4">
        <v>0</v>
      </c>
      <c r="I281" s="4">
        <v>0</v>
      </c>
      <c r="J281" s="4">
        <v>645562</v>
      </c>
      <c r="K281" s="4">
        <v>0</v>
      </c>
      <c r="L281" s="4">
        <v>0</v>
      </c>
      <c r="M281" s="4">
        <v>0</v>
      </c>
      <c r="N281" s="4">
        <v>246510</v>
      </c>
      <c r="O281" s="4">
        <v>0</v>
      </c>
      <c r="P281" s="4">
        <v>0</v>
      </c>
      <c r="Q281" s="4">
        <v>0</v>
      </c>
      <c r="R281" s="4">
        <f>325598</f>
        <v>325598</v>
      </c>
      <c r="S281" s="4">
        <v>0</v>
      </c>
      <c r="T281" s="4">
        <v>72704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452375</v>
      </c>
      <c r="AA281" s="4">
        <v>0</v>
      </c>
      <c r="AB281" s="4">
        <v>0</v>
      </c>
      <c r="AC281" s="4">
        <v>0</v>
      </c>
      <c r="AD281" s="4">
        <v>0</v>
      </c>
      <c r="AF281" s="4">
        <f t="shared" si="10"/>
        <v>2796357</v>
      </c>
      <c r="AG281" s="48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</row>
    <row r="282" spans="1:64">
      <c r="A282" s="4">
        <v>24</v>
      </c>
      <c r="B282" s="3" t="s">
        <v>266</v>
      </c>
      <c r="D282" s="3" t="s">
        <v>47</v>
      </c>
      <c r="F282" s="4">
        <v>301778</v>
      </c>
      <c r="G282" s="4">
        <v>0</v>
      </c>
      <c r="H282" s="4">
        <v>62656</v>
      </c>
      <c r="I282" s="4">
        <v>0</v>
      </c>
      <c r="J282" s="4">
        <v>89748</v>
      </c>
      <c r="K282" s="4">
        <v>0</v>
      </c>
      <c r="L282" s="4">
        <v>39536</v>
      </c>
      <c r="M282" s="4">
        <v>0</v>
      </c>
      <c r="N282" s="4">
        <v>0</v>
      </c>
      <c r="O282" s="4">
        <v>0</v>
      </c>
      <c r="P282" s="4">
        <v>8987</v>
      </c>
      <c r="Q282" s="4">
        <v>0</v>
      </c>
      <c r="R282" s="4">
        <v>1575</v>
      </c>
      <c r="S282" s="4">
        <v>0</v>
      </c>
      <c r="T282" s="4">
        <v>29640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/>
      <c r="AF282" s="4">
        <f t="shared" si="10"/>
        <v>533920</v>
      </c>
    </row>
    <row r="283" spans="1:64">
      <c r="A283" s="4"/>
      <c r="B283" s="4" t="s">
        <v>267</v>
      </c>
      <c r="C283" s="4"/>
      <c r="D283" s="4" t="s">
        <v>92</v>
      </c>
      <c r="F283" s="4">
        <v>2416617</v>
      </c>
      <c r="G283" s="4">
        <v>0</v>
      </c>
      <c r="H283" s="4">
        <v>876657</v>
      </c>
      <c r="I283" s="4">
        <v>0</v>
      </c>
      <c r="J283" s="4">
        <v>569401</v>
      </c>
      <c r="K283" s="4">
        <v>0</v>
      </c>
      <c r="L283" s="4">
        <v>766590</v>
      </c>
      <c r="M283" s="4">
        <v>0</v>
      </c>
      <c r="N283" s="4">
        <v>0</v>
      </c>
      <c r="O283" s="4">
        <v>0</v>
      </c>
      <c r="P283" s="4">
        <v>91350</v>
      </c>
      <c r="Q283" s="4">
        <v>0</v>
      </c>
      <c r="R283" s="4">
        <v>8570</v>
      </c>
      <c r="S283" s="4">
        <v>0</v>
      </c>
      <c r="T283" s="4">
        <v>65361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/>
      <c r="AF283" s="4">
        <f t="shared" si="10"/>
        <v>4794546</v>
      </c>
    </row>
    <row r="284" spans="1:64" s="4" customFormat="1">
      <c r="A284" s="4">
        <v>260</v>
      </c>
      <c r="B284" s="3" t="s">
        <v>268</v>
      </c>
      <c r="C284" s="3"/>
      <c r="D284" s="3" t="s">
        <v>63</v>
      </c>
      <c r="E284" s="3"/>
      <c r="F284" s="1">
        <v>208161.91</v>
      </c>
      <c r="G284" s="1"/>
      <c r="H284" s="1">
        <v>53330.68</v>
      </c>
      <c r="I284" s="1"/>
      <c r="J284" s="1">
        <v>69421.33</v>
      </c>
      <c r="K284" s="1"/>
      <c r="L284" s="1">
        <v>78966.97</v>
      </c>
      <c r="M284" s="1"/>
      <c r="N284" s="1">
        <v>0</v>
      </c>
      <c r="O284" s="1"/>
      <c r="P284" s="1">
        <v>15290.32</v>
      </c>
      <c r="Q284" s="1"/>
      <c r="R284" s="1">
        <v>17444.939999999999</v>
      </c>
      <c r="S284" s="1"/>
      <c r="T284" s="1">
        <v>7958.6</v>
      </c>
      <c r="U284" s="1"/>
      <c r="V284" s="1">
        <v>0</v>
      </c>
      <c r="W284" s="1"/>
      <c r="X284" s="1">
        <v>0</v>
      </c>
      <c r="Y284" s="1"/>
      <c r="Z284" s="1">
        <v>0</v>
      </c>
      <c r="AA284" s="1"/>
      <c r="AB284" s="1">
        <v>0</v>
      </c>
      <c r="AC284" s="1"/>
      <c r="AD284" s="1">
        <v>0</v>
      </c>
      <c r="AF284" s="4">
        <f t="shared" si="10"/>
        <v>450574.75</v>
      </c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</row>
    <row r="285" spans="1:64" s="4" customFormat="1">
      <c r="B285" s="4" t="s">
        <v>622</v>
      </c>
      <c r="D285" s="4" t="s">
        <v>67</v>
      </c>
      <c r="E285" s="3"/>
      <c r="F285" s="4">
        <v>105289</v>
      </c>
      <c r="G285" s="4">
        <v>0</v>
      </c>
      <c r="H285" s="4">
        <v>1967</v>
      </c>
      <c r="I285" s="4">
        <v>0</v>
      </c>
      <c r="J285" s="4">
        <v>0</v>
      </c>
      <c r="K285" s="4">
        <v>0</v>
      </c>
      <c r="L285" s="4">
        <v>28814</v>
      </c>
      <c r="M285" s="4">
        <v>0</v>
      </c>
      <c r="N285" s="4">
        <v>0</v>
      </c>
      <c r="O285" s="4">
        <v>0</v>
      </c>
      <c r="P285" s="4">
        <v>4111</v>
      </c>
      <c r="Q285" s="4">
        <v>0</v>
      </c>
      <c r="R285" s="4">
        <v>90964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F285" s="4">
        <f t="shared" si="10"/>
        <v>231145</v>
      </c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</row>
    <row r="286" spans="1:64" s="4" customFormat="1">
      <c r="A286" s="4">
        <v>230</v>
      </c>
      <c r="B286" s="3" t="s">
        <v>611</v>
      </c>
      <c r="C286" s="3"/>
      <c r="D286" s="3" t="s">
        <v>56</v>
      </c>
      <c r="E286" s="3"/>
      <c r="F286" s="4">
        <v>2727394</v>
      </c>
      <c r="G286" s="4">
        <v>0</v>
      </c>
      <c r="H286" s="4">
        <v>944563</v>
      </c>
      <c r="I286" s="4">
        <v>0</v>
      </c>
      <c r="J286" s="4">
        <v>449887</v>
      </c>
      <c r="K286" s="4">
        <v>0</v>
      </c>
      <c r="L286" s="4">
        <v>632934</v>
      </c>
      <c r="M286" s="4">
        <v>0</v>
      </c>
      <c r="N286" s="4">
        <v>0</v>
      </c>
      <c r="O286" s="4">
        <v>0</v>
      </c>
      <c r="P286" s="4">
        <v>197017</v>
      </c>
      <c r="Q286" s="4">
        <v>0</v>
      </c>
      <c r="R286" s="4">
        <v>22478</v>
      </c>
      <c r="S286" s="4">
        <v>0</v>
      </c>
      <c r="T286" s="4">
        <v>76723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2205417</v>
      </c>
      <c r="AA286" s="4">
        <v>0</v>
      </c>
      <c r="AB286" s="4">
        <v>0</v>
      </c>
      <c r="AC286" s="4">
        <v>0</v>
      </c>
      <c r="AD286" s="4">
        <v>0</v>
      </c>
      <c r="AF286" s="4">
        <f t="shared" si="10"/>
        <v>7256413</v>
      </c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</row>
    <row r="287" spans="1:64" s="4" customFormat="1">
      <c r="A287" s="4">
        <v>245</v>
      </c>
      <c r="B287" s="3" t="s">
        <v>612</v>
      </c>
      <c r="C287" s="3"/>
      <c r="D287" s="3" t="s">
        <v>27</v>
      </c>
      <c r="E287" s="3"/>
      <c r="F287" s="4">
        <v>1093562</v>
      </c>
      <c r="G287" s="4">
        <v>0</v>
      </c>
      <c r="H287" s="4">
        <v>0</v>
      </c>
      <c r="I287" s="4">
        <v>0</v>
      </c>
      <c r="J287" s="4">
        <v>288194</v>
      </c>
      <c r="K287" s="4">
        <v>0</v>
      </c>
      <c r="L287" s="4">
        <v>200731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20418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F287" s="4">
        <f t="shared" si="10"/>
        <v>1602905</v>
      </c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</row>
    <row r="288" spans="1:64" s="4" customFormat="1">
      <c r="A288" s="4">
        <v>171</v>
      </c>
      <c r="B288" s="3" t="s">
        <v>269</v>
      </c>
      <c r="C288" s="3"/>
      <c r="D288" s="3" t="s">
        <v>55</v>
      </c>
      <c r="E288" s="3"/>
      <c r="F288" s="4">
        <v>3337028</v>
      </c>
      <c r="G288" s="4">
        <v>0</v>
      </c>
      <c r="H288" s="4">
        <v>1246248</v>
      </c>
      <c r="I288" s="4">
        <v>0</v>
      </c>
      <c r="J288" s="4">
        <v>770693</v>
      </c>
      <c r="K288" s="4">
        <v>0</v>
      </c>
      <c r="L288" s="4">
        <v>919019</v>
      </c>
      <c r="M288" s="4">
        <v>0</v>
      </c>
      <c r="N288" s="4">
        <v>0</v>
      </c>
      <c r="O288" s="4">
        <v>0</v>
      </c>
      <c r="P288" s="4">
        <v>114331</v>
      </c>
      <c r="Q288" s="4">
        <v>0</v>
      </c>
      <c r="R288" s="4">
        <v>7271</v>
      </c>
      <c r="S288" s="4">
        <v>0</v>
      </c>
      <c r="T288" s="4">
        <v>137640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500000</v>
      </c>
      <c r="AA288" s="4">
        <v>0</v>
      </c>
      <c r="AB288" s="4">
        <v>0</v>
      </c>
      <c r="AC288" s="4">
        <v>0</v>
      </c>
      <c r="AD288" s="4">
        <v>0</v>
      </c>
      <c r="AF288" s="4">
        <f t="shared" si="10"/>
        <v>7032230</v>
      </c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</row>
    <row r="289" spans="1:64" s="4" customFormat="1">
      <c r="A289" s="4">
        <v>87</v>
      </c>
      <c r="B289" s="3" t="s">
        <v>38</v>
      </c>
      <c r="C289" s="3"/>
      <c r="D289" s="3" t="s">
        <v>42</v>
      </c>
      <c r="E289" s="3"/>
      <c r="F289" s="1">
        <v>185168.55</v>
      </c>
      <c r="G289" s="1"/>
      <c r="H289" s="1">
        <v>32695.61</v>
      </c>
      <c r="I289" s="1"/>
      <c r="J289" s="1">
        <v>49875.89</v>
      </c>
      <c r="K289" s="1"/>
      <c r="L289" s="1">
        <v>21644.02</v>
      </c>
      <c r="M289" s="1"/>
      <c r="N289" s="1">
        <v>0</v>
      </c>
      <c r="O289" s="1"/>
      <c r="P289" s="1">
        <v>4852.3900000000003</v>
      </c>
      <c r="Q289" s="1"/>
      <c r="R289" s="1">
        <v>5165.47</v>
      </c>
      <c r="S289" s="1"/>
      <c r="T289" s="1">
        <v>0</v>
      </c>
      <c r="U289" s="1"/>
      <c r="V289" s="1">
        <v>0</v>
      </c>
      <c r="W289" s="1"/>
      <c r="X289" s="1">
        <v>0</v>
      </c>
      <c r="Y289" s="1"/>
      <c r="Z289" s="1">
        <v>0</v>
      </c>
      <c r="AA289" s="1"/>
      <c r="AB289" s="1">
        <v>0</v>
      </c>
      <c r="AC289" s="1"/>
      <c r="AD289" s="1">
        <v>516</v>
      </c>
      <c r="AF289" s="4">
        <f t="shared" si="10"/>
        <v>299917.93</v>
      </c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</row>
    <row r="290" spans="1:64" s="4" customFormat="1">
      <c r="A290" s="4">
        <v>247</v>
      </c>
      <c r="B290" s="4" t="s">
        <v>613</v>
      </c>
      <c r="D290" s="4" t="s">
        <v>225</v>
      </c>
      <c r="F290" s="4">
        <v>1961175</v>
      </c>
      <c r="G290" s="4">
        <v>0</v>
      </c>
      <c r="H290" s="4">
        <v>554977</v>
      </c>
      <c r="I290" s="4">
        <v>0</v>
      </c>
      <c r="J290" s="4">
        <v>880302</v>
      </c>
      <c r="K290" s="4">
        <v>0</v>
      </c>
      <c r="L290" s="4">
        <v>698014</v>
      </c>
      <c r="M290" s="4">
        <v>0</v>
      </c>
      <c r="N290" s="4">
        <v>0</v>
      </c>
      <c r="O290" s="4">
        <v>0</v>
      </c>
      <c r="P290" s="4">
        <v>133237</v>
      </c>
      <c r="Q290" s="4">
        <v>0</v>
      </c>
      <c r="R290" s="4">
        <v>21378</v>
      </c>
      <c r="S290" s="4">
        <v>0</v>
      </c>
      <c r="T290" s="4">
        <v>11637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200000</v>
      </c>
      <c r="AA290" s="4">
        <v>0</v>
      </c>
      <c r="AB290" s="4">
        <v>0</v>
      </c>
      <c r="AC290" s="4">
        <v>0</v>
      </c>
      <c r="AD290" s="4">
        <v>0</v>
      </c>
      <c r="AF290" s="4">
        <f t="shared" si="10"/>
        <v>4460720</v>
      </c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</row>
    <row r="291" spans="1:64" s="4" customFormat="1">
      <c r="A291" s="4">
        <v>254</v>
      </c>
      <c r="B291" s="3" t="s">
        <v>271</v>
      </c>
      <c r="C291" s="3"/>
      <c r="D291" s="3" t="s">
        <v>65</v>
      </c>
      <c r="E291" s="3"/>
      <c r="F291" s="1">
        <v>138782.71</v>
      </c>
      <c r="G291" s="1"/>
      <c r="H291" s="1">
        <v>22584.51</v>
      </c>
      <c r="I291" s="1"/>
      <c r="J291" s="1">
        <v>28446.73</v>
      </c>
      <c r="K291" s="1"/>
      <c r="L291" s="1">
        <v>21333.77</v>
      </c>
      <c r="M291" s="1"/>
      <c r="N291" s="1">
        <v>0</v>
      </c>
      <c r="O291" s="1"/>
      <c r="P291" s="1">
        <v>5227.91</v>
      </c>
      <c r="Q291" s="1"/>
      <c r="R291" s="1">
        <v>3644.98</v>
      </c>
      <c r="S291" s="1"/>
      <c r="T291" s="1">
        <v>1231.1199999999999</v>
      </c>
      <c r="U291" s="1"/>
      <c r="V291" s="1">
        <v>0</v>
      </c>
      <c r="W291" s="1"/>
      <c r="X291" s="1">
        <v>0</v>
      </c>
      <c r="Y291" s="1"/>
      <c r="Z291" s="1">
        <v>0</v>
      </c>
      <c r="AA291" s="1"/>
      <c r="AB291" s="1">
        <v>0</v>
      </c>
      <c r="AC291" s="1"/>
      <c r="AD291" s="1">
        <v>0</v>
      </c>
      <c r="AF291" s="4">
        <f t="shared" si="10"/>
        <v>221251.73</v>
      </c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</row>
    <row r="292" spans="1:64">
      <c r="A292" s="4">
        <v>255</v>
      </c>
      <c r="B292" s="3" t="s">
        <v>272</v>
      </c>
      <c r="D292" s="3" t="s">
        <v>65</v>
      </c>
      <c r="F292" s="1">
        <v>919584.98</v>
      </c>
      <c r="G292" s="1"/>
      <c r="H292" s="1">
        <v>303775.08</v>
      </c>
      <c r="I292" s="1"/>
      <c r="J292" s="1">
        <v>299217.82</v>
      </c>
      <c r="K292" s="1"/>
      <c r="L292" s="1">
        <v>230800.51</v>
      </c>
      <c r="M292" s="1"/>
      <c r="N292" s="1">
        <v>0</v>
      </c>
      <c r="O292" s="1"/>
      <c r="P292" s="1">
        <v>31509.47</v>
      </c>
      <c r="Q292" s="1"/>
      <c r="R292" s="1">
        <v>3501.6</v>
      </c>
      <c r="S292" s="1"/>
      <c r="T292" s="1">
        <v>30402.68</v>
      </c>
      <c r="U292" s="1"/>
      <c r="V292" s="1">
        <v>0</v>
      </c>
      <c r="W292" s="1"/>
      <c r="X292" s="1">
        <v>0</v>
      </c>
      <c r="Y292" s="1"/>
      <c r="Z292" s="1">
        <v>0</v>
      </c>
      <c r="AA292" s="1"/>
      <c r="AB292" s="1">
        <v>0</v>
      </c>
      <c r="AC292" s="1"/>
      <c r="AD292" s="1">
        <v>0</v>
      </c>
      <c r="AE292" s="4"/>
      <c r="AF292" s="4">
        <f t="shared" si="10"/>
        <v>1818792.1400000001</v>
      </c>
      <c r="AG292" s="48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4"/>
    </row>
    <row r="293" spans="1:64" s="4" customFormat="1">
      <c r="A293" s="4">
        <v>44</v>
      </c>
      <c r="B293" s="35" t="s">
        <v>273</v>
      </c>
      <c r="C293" s="35"/>
      <c r="D293" s="35" t="s">
        <v>481</v>
      </c>
      <c r="E293" s="35"/>
      <c r="F293" s="1">
        <v>167202.75</v>
      </c>
      <c r="G293" s="1"/>
      <c r="H293" s="1">
        <v>55091.76</v>
      </c>
      <c r="I293" s="1"/>
      <c r="J293" s="1">
        <v>57133.51</v>
      </c>
      <c r="K293" s="1"/>
      <c r="L293" s="1">
        <v>73110.27</v>
      </c>
      <c r="M293" s="1"/>
      <c r="N293" s="1">
        <v>0</v>
      </c>
      <c r="O293" s="1"/>
      <c r="P293" s="1">
        <v>5066.3999999999996</v>
      </c>
      <c r="Q293" s="1"/>
      <c r="R293" s="1">
        <v>7347</v>
      </c>
      <c r="S293" s="1"/>
      <c r="T293" s="1">
        <v>11619.23</v>
      </c>
      <c r="U293" s="1"/>
      <c r="V293" s="1">
        <v>0</v>
      </c>
      <c r="W293" s="1"/>
      <c r="X293" s="1">
        <v>0</v>
      </c>
      <c r="Y293" s="1"/>
      <c r="Z293" s="1">
        <v>0</v>
      </c>
      <c r="AA293" s="1"/>
      <c r="AB293" s="1">
        <v>0</v>
      </c>
      <c r="AC293" s="1"/>
      <c r="AD293" s="1">
        <v>4110</v>
      </c>
      <c r="AE293" s="35"/>
      <c r="AF293" s="4">
        <f t="shared" si="10"/>
        <v>380680.92000000004</v>
      </c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</row>
    <row r="294" spans="1:64">
      <c r="A294" s="4">
        <v>78</v>
      </c>
      <c r="B294" s="3" t="s">
        <v>575</v>
      </c>
      <c r="D294" s="3" t="s">
        <v>92</v>
      </c>
      <c r="F294" s="4">
        <v>2089630</v>
      </c>
      <c r="G294" s="4">
        <v>0</v>
      </c>
      <c r="H294" s="4">
        <v>734672</v>
      </c>
      <c r="I294" s="4">
        <v>0</v>
      </c>
      <c r="J294" s="4">
        <v>727261</v>
      </c>
      <c r="K294" s="4">
        <v>0</v>
      </c>
      <c r="L294" s="4">
        <v>260473</v>
      </c>
      <c r="M294" s="4">
        <v>0</v>
      </c>
      <c r="N294" s="4">
        <v>0</v>
      </c>
      <c r="O294" s="4">
        <v>0</v>
      </c>
      <c r="P294" s="4">
        <v>110184</v>
      </c>
      <c r="Q294" s="4">
        <v>0</v>
      </c>
      <c r="R294" s="4">
        <v>15147</v>
      </c>
      <c r="S294" s="4">
        <v>0</v>
      </c>
      <c r="T294" s="4">
        <v>90329</v>
      </c>
      <c r="U294" s="4">
        <v>0</v>
      </c>
      <c r="V294" s="4">
        <v>185000</v>
      </c>
      <c r="W294" s="4">
        <v>0</v>
      </c>
      <c r="X294" s="4">
        <v>64063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/>
      <c r="AF294" s="4">
        <f t="shared" si="10"/>
        <v>4276759</v>
      </c>
      <c r="AH294" s="49"/>
      <c r="AI294" s="49"/>
      <c r="AJ294" s="49"/>
      <c r="AK294" s="49"/>
    </row>
    <row r="295" spans="1:64" s="4" customFormat="1" ht="12" customHeight="1">
      <c r="A295" s="4">
        <v>256</v>
      </c>
      <c r="B295" s="3" t="s">
        <v>274</v>
      </c>
      <c r="C295" s="3"/>
      <c r="D295" s="3" t="s">
        <v>65</v>
      </c>
      <c r="E295" s="3"/>
      <c r="F295" s="1">
        <v>188470.21</v>
      </c>
      <c r="G295" s="1"/>
      <c r="H295" s="1">
        <v>71460.42</v>
      </c>
      <c r="I295" s="1"/>
      <c r="J295" s="1">
        <v>36516.18</v>
      </c>
      <c r="K295" s="1"/>
      <c r="L295" s="1">
        <v>53763.11</v>
      </c>
      <c r="M295" s="1"/>
      <c r="N295" s="1">
        <v>0</v>
      </c>
      <c r="O295" s="1"/>
      <c r="P295" s="1">
        <v>5265.91</v>
      </c>
      <c r="Q295" s="1"/>
      <c r="R295" s="1">
        <v>4270.45</v>
      </c>
      <c r="S295" s="1"/>
      <c r="T295" s="1">
        <v>2479.9899999999998</v>
      </c>
      <c r="U295" s="1"/>
      <c r="V295" s="1">
        <v>0</v>
      </c>
      <c r="W295" s="1"/>
      <c r="X295" s="1">
        <v>0</v>
      </c>
      <c r="Y295" s="1"/>
      <c r="Z295" s="1">
        <v>0</v>
      </c>
      <c r="AA295" s="1"/>
      <c r="AB295" s="1">
        <v>0</v>
      </c>
      <c r="AC295" s="1"/>
      <c r="AD295" s="1">
        <v>0</v>
      </c>
      <c r="AF295" s="4">
        <f t="shared" si="10"/>
        <v>362226.26999999996</v>
      </c>
      <c r="AG295" s="48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</row>
    <row r="296" spans="1:64" s="4" customFormat="1">
      <c r="A296" s="4">
        <v>129</v>
      </c>
      <c r="B296" s="3" t="s">
        <v>469</v>
      </c>
      <c r="C296" s="3"/>
      <c r="D296" s="3" t="s">
        <v>487</v>
      </c>
      <c r="E296" s="3"/>
      <c r="F296" s="1">
        <v>671604.5</v>
      </c>
      <c r="G296" s="1"/>
      <c r="H296" s="1">
        <v>317633.05</v>
      </c>
      <c r="I296" s="1"/>
      <c r="J296" s="1">
        <v>99417.88</v>
      </c>
      <c r="K296" s="1"/>
      <c r="L296" s="1">
        <v>284511.88</v>
      </c>
      <c r="M296" s="1"/>
      <c r="N296" s="1">
        <v>0</v>
      </c>
      <c r="O296" s="1"/>
      <c r="P296" s="1">
        <v>18280.23</v>
      </c>
      <c r="Q296" s="1"/>
      <c r="R296" s="1">
        <v>4571.78</v>
      </c>
      <c r="S296" s="1"/>
      <c r="T296" s="1">
        <v>0</v>
      </c>
      <c r="U296" s="1"/>
      <c r="V296" s="1">
        <v>0</v>
      </c>
      <c r="W296" s="1"/>
      <c r="X296" s="1">
        <v>0</v>
      </c>
      <c r="Y296" s="1"/>
      <c r="Z296" s="1">
        <v>0</v>
      </c>
      <c r="AA296" s="1"/>
      <c r="AB296" s="1">
        <v>0</v>
      </c>
      <c r="AC296" s="1"/>
      <c r="AD296" s="1">
        <v>0</v>
      </c>
      <c r="AF296" s="4">
        <f t="shared" si="10"/>
        <v>1396019.32</v>
      </c>
      <c r="AG296" s="48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</row>
    <row r="297" spans="1:64" s="4" customFormat="1" hidden="1">
      <c r="A297" s="4">
        <v>114</v>
      </c>
      <c r="B297" s="3" t="s">
        <v>275</v>
      </c>
      <c r="C297" s="3"/>
      <c r="D297" s="3" t="s">
        <v>89</v>
      </c>
      <c r="E297" s="3"/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F297" s="4">
        <f t="shared" si="10"/>
        <v>0</v>
      </c>
      <c r="AG297" s="48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</row>
    <row r="298" spans="1:64" s="4" customFormat="1">
      <c r="A298" s="4">
        <v>249</v>
      </c>
      <c r="B298" s="3" t="s">
        <v>614</v>
      </c>
      <c r="C298" s="3"/>
      <c r="D298" s="3" t="s">
        <v>204</v>
      </c>
      <c r="E298" s="3"/>
      <c r="F298" s="1">
        <v>764845.35</v>
      </c>
      <c r="G298" s="1"/>
      <c r="H298" s="1">
        <v>243237.79</v>
      </c>
      <c r="I298" s="1"/>
      <c r="J298" s="1">
        <v>164244.14000000001</v>
      </c>
      <c r="K298" s="1"/>
      <c r="L298" s="1">
        <v>166043.38</v>
      </c>
      <c r="M298" s="1"/>
      <c r="N298" s="1">
        <v>0</v>
      </c>
      <c r="O298" s="1"/>
      <c r="P298" s="1">
        <v>40347.839999999997</v>
      </c>
      <c r="Q298" s="1"/>
      <c r="R298" s="1">
        <v>51190.23</v>
      </c>
      <c r="S298" s="1"/>
      <c r="T298" s="1">
        <v>4847.84</v>
      </c>
      <c r="U298" s="1"/>
      <c r="V298" s="1">
        <v>0</v>
      </c>
      <c r="W298" s="1"/>
      <c r="X298" s="1">
        <v>0</v>
      </c>
      <c r="Y298" s="1"/>
      <c r="Z298" s="1">
        <v>0</v>
      </c>
      <c r="AA298" s="1"/>
      <c r="AB298" s="1">
        <v>0</v>
      </c>
      <c r="AC298" s="1"/>
      <c r="AD298" s="1">
        <v>0</v>
      </c>
      <c r="AF298" s="4">
        <f t="shared" si="10"/>
        <v>1434756.5700000003</v>
      </c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</row>
    <row r="299" spans="1:64" s="4" customFormat="1">
      <c r="A299" s="39">
        <v>130</v>
      </c>
      <c r="B299" s="3" t="s">
        <v>276</v>
      </c>
      <c r="C299" s="3"/>
      <c r="D299" s="3" t="s">
        <v>15</v>
      </c>
      <c r="E299" s="3"/>
      <c r="F299" s="4">
        <v>2870871</v>
      </c>
      <c r="G299" s="4">
        <v>0</v>
      </c>
      <c r="H299" s="4">
        <v>0</v>
      </c>
      <c r="I299" s="4">
        <v>0</v>
      </c>
      <c r="J299" s="4">
        <v>388564</v>
      </c>
      <c r="K299" s="4">
        <v>0</v>
      </c>
      <c r="L299" s="4">
        <v>927146</v>
      </c>
      <c r="M299" s="4">
        <v>0</v>
      </c>
      <c r="N299" s="4">
        <v>269038</v>
      </c>
      <c r="O299" s="4">
        <v>0</v>
      </c>
      <c r="P299" s="4">
        <v>60884</v>
      </c>
      <c r="Q299" s="4">
        <v>0</v>
      </c>
      <c r="R299" s="4">
        <v>112067</v>
      </c>
      <c r="S299" s="4">
        <v>0</v>
      </c>
      <c r="T299" s="4">
        <v>31305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F299" s="4">
        <f t="shared" si="10"/>
        <v>4659875</v>
      </c>
      <c r="AG299" s="48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</row>
    <row r="300" spans="1:64" s="4" customFormat="1">
      <c r="A300" s="4">
        <v>37</v>
      </c>
      <c r="B300" s="3" t="s">
        <v>277</v>
      </c>
      <c r="C300" s="3"/>
      <c r="D300" s="3" t="s">
        <v>69</v>
      </c>
      <c r="E300" s="3"/>
      <c r="F300" s="1">
        <v>310199.83</v>
      </c>
      <c r="G300" s="1"/>
      <c r="H300" s="1">
        <v>98605.21</v>
      </c>
      <c r="I300" s="1"/>
      <c r="J300" s="1">
        <v>99524.87</v>
      </c>
      <c r="K300" s="1"/>
      <c r="L300" s="1">
        <v>14635.18</v>
      </c>
      <c r="M300" s="1"/>
      <c r="N300" s="1">
        <v>0</v>
      </c>
      <c r="O300" s="1"/>
      <c r="P300" s="1">
        <v>20323.63</v>
      </c>
      <c r="Q300" s="1"/>
      <c r="R300" s="1">
        <v>6518.55</v>
      </c>
      <c r="S300" s="1"/>
      <c r="T300" s="1">
        <v>2536.4899999999998</v>
      </c>
      <c r="U300" s="1"/>
      <c r="V300" s="1">
        <v>0</v>
      </c>
      <c r="W300" s="1"/>
      <c r="X300" s="1">
        <v>0</v>
      </c>
      <c r="Y300" s="1"/>
      <c r="Z300" s="1">
        <v>0</v>
      </c>
      <c r="AA300" s="1"/>
      <c r="AB300" s="1">
        <v>0</v>
      </c>
      <c r="AC300" s="1"/>
      <c r="AD300" s="1">
        <v>0</v>
      </c>
      <c r="AF300" s="4">
        <f t="shared" si="10"/>
        <v>552343.76</v>
      </c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</row>
    <row r="301" spans="1:64">
      <c r="A301" s="4">
        <v>257</v>
      </c>
      <c r="B301" s="3" t="s">
        <v>615</v>
      </c>
      <c r="D301" s="3" t="s">
        <v>65</v>
      </c>
      <c r="F301" s="4">
        <v>712715</v>
      </c>
      <c r="G301" s="4">
        <v>0</v>
      </c>
      <c r="H301" s="4">
        <v>172902</v>
      </c>
      <c r="I301" s="4">
        <v>0</v>
      </c>
      <c r="J301" s="4">
        <v>226155</v>
      </c>
      <c r="K301" s="4">
        <v>0</v>
      </c>
      <c r="L301" s="4">
        <v>145145</v>
      </c>
      <c r="M301" s="4">
        <v>0</v>
      </c>
      <c r="N301" s="4">
        <v>0</v>
      </c>
      <c r="O301" s="4">
        <v>0</v>
      </c>
      <c r="P301" s="4">
        <v>19289</v>
      </c>
      <c r="Q301" s="4">
        <v>0</v>
      </c>
      <c r="R301" s="4">
        <v>12701</v>
      </c>
      <c r="S301" s="4">
        <v>0</v>
      </c>
      <c r="T301" s="4">
        <v>45205</v>
      </c>
      <c r="U301" s="4">
        <v>0</v>
      </c>
      <c r="V301" s="4">
        <v>40015</v>
      </c>
      <c r="W301" s="4">
        <v>0</v>
      </c>
      <c r="X301" s="4">
        <v>40231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/>
      <c r="AF301" s="4">
        <f t="shared" si="10"/>
        <v>1414358</v>
      </c>
    </row>
    <row r="302" spans="1:64">
      <c r="A302" s="4">
        <v>61</v>
      </c>
      <c r="B302" s="3" t="s">
        <v>278</v>
      </c>
      <c r="D302" s="3" t="s">
        <v>81</v>
      </c>
      <c r="F302" s="1">
        <v>123005.31</v>
      </c>
      <c r="G302" s="1"/>
      <c r="H302" s="1">
        <v>31651.52</v>
      </c>
      <c r="I302" s="1"/>
      <c r="J302" s="1">
        <v>55783.37</v>
      </c>
      <c r="K302" s="1"/>
      <c r="L302" s="1">
        <v>20543.68</v>
      </c>
      <c r="M302" s="1"/>
      <c r="N302" s="1">
        <v>0</v>
      </c>
      <c r="O302" s="1"/>
      <c r="P302" s="1">
        <v>6823.88</v>
      </c>
      <c r="Q302" s="1"/>
      <c r="R302" s="1">
        <v>814</v>
      </c>
      <c r="S302" s="1"/>
      <c r="T302" s="1">
        <v>9820.0300000000007</v>
      </c>
      <c r="U302" s="1"/>
      <c r="V302" s="1">
        <v>0</v>
      </c>
      <c r="W302" s="1"/>
      <c r="X302" s="1">
        <v>0</v>
      </c>
      <c r="Y302" s="1"/>
      <c r="Z302" s="1">
        <v>0</v>
      </c>
      <c r="AA302" s="1"/>
      <c r="AB302" s="1">
        <v>0</v>
      </c>
      <c r="AC302" s="1"/>
      <c r="AD302" s="1">
        <v>0</v>
      </c>
      <c r="AE302" s="4"/>
      <c r="AF302" s="4">
        <f t="shared" si="10"/>
        <v>248441.78999999998</v>
      </c>
      <c r="AG302" s="48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4"/>
    </row>
    <row r="303" spans="1:64" s="4" customFormat="1">
      <c r="A303" s="4">
        <v>65</v>
      </c>
      <c r="B303" s="3" t="s">
        <v>320</v>
      </c>
      <c r="C303" s="3"/>
      <c r="D303" s="3" t="s">
        <v>70</v>
      </c>
      <c r="E303" s="3"/>
      <c r="F303" s="1">
        <v>94051.93</v>
      </c>
      <c r="G303" s="1"/>
      <c r="H303" s="1">
        <v>14521.27</v>
      </c>
      <c r="I303" s="1"/>
      <c r="J303" s="1">
        <v>19381.46</v>
      </c>
      <c r="K303" s="1"/>
      <c r="L303" s="1">
        <v>16950.55</v>
      </c>
      <c r="M303" s="1"/>
      <c r="N303" s="1">
        <v>0</v>
      </c>
      <c r="O303" s="1"/>
      <c r="P303" s="1">
        <v>3119.87</v>
      </c>
      <c r="Q303" s="1"/>
      <c r="R303" s="1">
        <v>630</v>
      </c>
      <c r="S303" s="1"/>
      <c r="T303" s="1">
        <v>787.24</v>
      </c>
      <c r="U303" s="1"/>
      <c r="V303" s="1">
        <v>0</v>
      </c>
      <c r="W303" s="1"/>
      <c r="X303" s="1">
        <v>0</v>
      </c>
      <c r="Y303" s="1"/>
      <c r="Z303" s="1">
        <v>0</v>
      </c>
      <c r="AA303" s="1"/>
      <c r="AB303" s="1">
        <v>0</v>
      </c>
      <c r="AC303" s="1"/>
      <c r="AD303" s="1">
        <v>0</v>
      </c>
      <c r="AF303" s="4">
        <f t="shared" si="10"/>
        <v>149442.31999999998</v>
      </c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</row>
    <row r="304" spans="1:64" s="4" customFormat="1">
      <c r="A304" s="4">
        <v>81</v>
      </c>
      <c r="B304" s="3" t="s">
        <v>279</v>
      </c>
      <c r="C304" s="3"/>
      <c r="D304" s="3" t="s">
        <v>92</v>
      </c>
      <c r="E304" s="3"/>
      <c r="F304" s="4">
        <v>3408084</v>
      </c>
      <c r="G304" s="4">
        <v>0</v>
      </c>
      <c r="H304" s="4">
        <v>0</v>
      </c>
      <c r="I304" s="4">
        <v>0</v>
      </c>
      <c r="J304" s="4">
        <v>2030005</v>
      </c>
      <c r="K304" s="4">
        <v>0</v>
      </c>
      <c r="L304" s="4">
        <v>0</v>
      </c>
      <c r="M304" s="4">
        <v>0</v>
      </c>
      <c r="N304" s="4">
        <v>718718</v>
      </c>
      <c r="O304" s="4">
        <v>0</v>
      </c>
      <c r="P304" s="4">
        <v>0</v>
      </c>
      <c r="Q304" s="4">
        <v>0</v>
      </c>
      <c r="R304" s="4">
        <f>749274+1381822</f>
        <v>2131096</v>
      </c>
      <c r="S304" s="4">
        <v>0</v>
      </c>
      <c r="T304" s="4">
        <v>7539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31483</v>
      </c>
      <c r="AA304" s="4">
        <v>0</v>
      </c>
      <c r="AB304" s="4">
        <v>0</v>
      </c>
      <c r="AC304" s="4">
        <v>0</v>
      </c>
      <c r="AD304" s="4">
        <v>0</v>
      </c>
      <c r="AF304" s="4">
        <f t="shared" si="10"/>
        <v>8326925</v>
      </c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</row>
    <row r="305" spans="1:64" s="4" customFormat="1">
      <c r="A305" s="4">
        <v>172</v>
      </c>
      <c r="B305" s="35" t="s">
        <v>470</v>
      </c>
      <c r="C305" s="35"/>
      <c r="D305" s="35" t="s">
        <v>497</v>
      </c>
      <c r="E305" s="35"/>
      <c r="F305" s="1">
        <v>863479.01</v>
      </c>
      <c r="G305" s="1"/>
      <c r="H305" s="1">
        <v>193956.52</v>
      </c>
      <c r="I305" s="1"/>
      <c r="J305" s="1">
        <v>169002.54</v>
      </c>
      <c r="K305" s="1"/>
      <c r="L305" s="1">
        <v>216093.26</v>
      </c>
      <c r="M305" s="1"/>
      <c r="N305" s="1">
        <v>0</v>
      </c>
      <c r="O305" s="1"/>
      <c r="P305" s="1">
        <v>25287.06</v>
      </c>
      <c r="Q305" s="1"/>
      <c r="R305" s="1">
        <v>5060.37</v>
      </c>
      <c r="S305" s="1"/>
      <c r="T305" s="1">
        <v>40183.93</v>
      </c>
      <c r="U305" s="1"/>
      <c r="V305" s="1">
        <v>0</v>
      </c>
      <c r="W305" s="1"/>
      <c r="X305" s="1">
        <v>0</v>
      </c>
      <c r="Y305" s="1"/>
      <c r="Z305" s="1">
        <v>0</v>
      </c>
      <c r="AA305" s="1"/>
      <c r="AB305" s="1">
        <v>0</v>
      </c>
      <c r="AC305" s="1"/>
      <c r="AD305" s="1">
        <v>0</v>
      </c>
      <c r="AE305" s="35"/>
      <c r="AF305" s="4">
        <f t="shared" si="10"/>
        <v>1513062.6900000002</v>
      </c>
      <c r="AG305" s="48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</row>
    <row r="306" spans="1:64" s="4" customFormat="1">
      <c r="B306" s="3"/>
      <c r="C306" s="3"/>
      <c r="D306" s="3"/>
      <c r="E306" s="3"/>
      <c r="G306" s="3"/>
      <c r="I306" s="3"/>
      <c r="K306" s="3"/>
      <c r="M306" s="3"/>
      <c r="O306" s="3"/>
      <c r="Q306" s="3"/>
      <c r="S306" s="3"/>
      <c r="U306" s="3"/>
      <c r="W306" s="3"/>
      <c r="Y306" s="3"/>
      <c r="AA306" s="3"/>
      <c r="AC306" s="3"/>
      <c r="AE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</row>
    <row r="307" spans="1:64" s="4" customFormat="1">
      <c r="B307" s="3"/>
      <c r="C307" s="3"/>
      <c r="D307" s="3"/>
      <c r="E307" s="3"/>
      <c r="G307" s="3"/>
      <c r="I307" s="3"/>
      <c r="K307" s="3"/>
      <c r="M307" s="3"/>
      <c r="O307" s="3"/>
      <c r="Q307" s="3"/>
      <c r="S307" s="3"/>
      <c r="U307" s="3"/>
      <c r="W307" s="3"/>
      <c r="Y307" s="3"/>
      <c r="AA307" s="3"/>
      <c r="AC307" s="3"/>
      <c r="AE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</row>
    <row r="308" spans="1:64" s="4" customFormat="1"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8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</row>
    <row r="309" spans="1:64" s="4" customFormat="1">
      <c r="B309" s="3"/>
      <c r="C309" s="3"/>
      <c r="D309" s="3"/>
      <c r="E309" s="3"/>
      <c r="G309" s="3"/>
      <c r="I309" s="3"/>
      <c r="K309" s="3"/>
      <c r="M309" s="3"/>
      <c r="O309" s="3"/>
      <c r="Q309" s="3"/>
      <c r="S309" s="3"/>
      <c r="U309" s="3"/>
      <c r="W309" s="3"/>
      <c r="Y309" s="3"/>
      <c r="AA309" s="3"/>
      <c r="AC309" s="3"/>
      <c r="AE309" s="3"/>
      <c r="AF309" s="8"/>
      <c r="AG309" s="48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</row>
    <row r="310" spans="1:64" s="4" customFormat="1">
      <c r="B310" s="3"/>
      <c r="C310" s="3"/>
      <c r="D310" s="3"/>
      <c r="E310" s="3"/>
      <c r="G310" s="3"/>
      <c r="I310" s="3"/>
      <c r="K310" s="3"/>
      <c r="M310" s="3"/>
      <c r="O310" s="3"/>
      <c r="Q310" s="3"/>
      <c r="S310" s="3"/>
      <c r="U310" s="3"/>
      <c r="W310" s="3"/>
      <c r="Y310" s="3"/>
      <c r="AA310" s="3"/>
      <c r="AC310" s="3"/>
      <c r="AE310" s="3"/>
      <c r="AF310" s="8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</row>
    <row r="311" spans="1:64" s="4" customFormat="1">
      <c r="B311" s="3"/>
      <c r="C311" s="3"/>
      <c r="D311" s="3"/>
      <c r="E311" s="3"/>
      <c r="G311" s="3"/>
      <c r="I311" s="3"/>
      <c r="K311" s="3"/>
      <c r="M311" s="3"/>
      <c r="O311" s="3"/>
      <c r="Q311" s="3"/>
      <c r="S311" s="3"/>
      <c r="U311" s="3"/>
      <c r="W311" s="3"/>
      <c r="Y311" s="3"/>
      <c r="AA311" s="3"/>
      <c r="AC311" s="3"/>
      <c r="AE311" s="3"/>
      <c r="AF311" s="8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</row>
    <row r="312" spans="1:64">
      <c r="B312" s="51"/>
      <c r="C312" s="51"/>
      <c r="D312" s="51" t="s">
        <v>505</v>
      </c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</row>
  </sheetData>
  <sortState ref="A19:AF270">
    <sortCondition ref="B19:B270"/>
  </sortState>
  <phoneticPr fontId="2" type="noConversion"/>
  <printOptions horizontalCentered="1"/>
  <pageMargins left="0.75" right="0.75" top="0.5" bottom="0.5" header="0" footer="0.3"/>
  <pageSetup scale="80" firstPageNumber="16" fitToWidth="0" fitToHeight="0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7" min="1" max="31" man="1"/>
    <brk id="167" min="1" max="31" man="1"/>
    <brk id="245" min="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394"/>
  <sheetViews>
    <sheetView tabSelected="1" topLeftCell="B1" zoomScaleNormal="100" zoomScaleSheetLayoutView="100" workbookViewId="0">
      <pane xSplit="4" ySplit="19" topLeftCell="F239" activePane="bottomRight" state="frozen"/>
      <selection activeCell="B1" sqref="B1"/>
      <selection pane="topRight" activeCell="F1" sqref="F1"/>
      <selection pane="bottomLeft" activeCell="B20" sqref="B20"/>
      <selection pane="bottomRight" activeCell="F254" sqref="F254"/>
    </sheetView>
  </sheetViews>
  <sheetFormatPr defaultColWidth="9.140625" defaultRowHeight="12"/>
  <cols>
    <col min="1" max="1" width="0" style="3" hidden="1" customWidth="1"/>
    <col min="2" max="2" width="38" style="3" customWidth="1"/>
    <col min="3" max="3" width="1.28515625" style="3" customWidth="1"/>
    <col min="4" max="4" width="10.42578125" style="3" customWidth="1"/>
    <col min="5" max="5" width="1.28515625" style="3" customWidth="1"/>
    <col min="6" max="6" width="11.140625" style="3" customWidth="1"/>
    <col min="7" max="7" width="1.28515625" style="3" customWidth="1"/>
    <col min="8" max="8" width="10.85546875" style="3" customWidth="1"/>
    <col min="9" max="9" width="1.28515625" style="3" customWidth="1"/>
    <col min="10" max="10" width="10.140625" style="3" customWidth="1"/>
    <col min="11" max="11" width="1.28515625" style="3" customWidth="1"/>
    <col min="12" max="12" width="10.140625" style="3" customWidth="1"/>
    <col min="13" max="13" width="1.28515625" style="3" customWidth="1"/>
    <col min="14" max="14" width="10.140625" style="3" customWidth="1"/>
    <col min="15" max="15" width="1.28515625" style="3" customWidth="1"/>
    <col min="16" max="16" width="10.140625" style="3" customWidth="1"/>
    <col min="17" max="17" width="1.28515625" style="3" customWidth="1"/>
    <col min="18" max="18" width="9.5703125" style="3" customWidth="1"/>
    <col min="19" max="19" width="1.28515625" style="3" customWidth="1"/>
    <col min="20" max="20" width="10.7109375" style="3" customWidth="1"/>
    <col min="21" max="21" width="1.28515625" style="3" customWidth="1"/>
    <col min="22" max="22" width="10.5703125" style="3" customWidth="1"/>
    <col min="23" max="23" width="1.28515625" style="3" customWidth="1"/>
    <col min="24" max="24" width="11" style="3" customWidth="1"/>
    <col min="25" max="25" width="1.28515625" style="3" customWidth="1"/>
    <col min="26" max="26" width="9.7109375" style="3" customWidth="1"/>
    <col min="27" max="27" width="1.28515625" style="3" customWidth="1"/>
    <col min="28" max="28" width="9.7109375" style="3" customWidth="1"/>
    <col min="29" max="29" width="1.28515625" style="3" customWidth="1"/>
    <col min="30" max="30" width="9.5703125" style="3" customWidth="1"/>
    <col min="31" max="31" width="1.28515625" style="3" customWidth="1"/>
    <col min="32" max="32" width="9.7109375" style="3" customWidth="1"/>
    <col min="33" max="33" width="1.28515625" style="3" customWidth="1"/>
    <col min="34" max="34" width="10.85546875" style="3" customWidth="1"/>
    <col min="35" max="16384" width="9.140625" style="3"/>
  </cols>
  <sheetData>
    <row r="1" spans="1:66">
      <c r="B1" s="3" t="s">
        <v>525</v>
      </c>
    </row>
    <row r="2" spans="1:66">
      <c r="B2" s="3" t="s">
        <v>635</v>
      </c>
    </row>
    <row r="3" spans="1:66" hidden="1">
      <c r="B3" s="41" t="s">
        <v>7</v>
      </c>
    </row>
    <row r="5" spans="1:66" s="36" customFormat="1">
      <c r="H5" s="36" t="s">
        <v>282</v>
      </c>
    </row>
    <row r="6" spans="1:66" s="36" customFormat="1">
      <c r="F6" s="36" t="s">
        <v>31</v>
      </c>
      <c r="H6" s="36" t="s">
        <v>283</v>
      </c>
      <c r="R6" s="36" t="s">
        <v>29</v>
      </c>
      <c r="T6" s="36" t="s">
        <v>289</v>
      </c>
      <c r="Z6" s="36" t="s">
        <v>294</v>
      </c>
      <c r="AF6" s="36" t="s">
        <v>0</v>
      </c>
    </row>
    <row r="7" spans="1:66" s="36" customFormat="1" ht="12" customHeight="1">
      <c r="F7" s="36" t="s">
        <v>0</v>
      </c>
      <c r="H7" s="36" t="s">
        <v>284</v>
      </c>
      <c r="J7" s="36" t="s">
        <v>556</v>
      </c>
      <c r="L7" s="36" t="s">
        <v>348</v>
      </c>
      <c r="P7" s="36" t="s">
        <v>286</v>
      </c>
      <c r="R7" s="36" t="s">
        <v>288</v>
      </c>
      <c r="T7" s="36" t="s">
        <v>290</v>
      </c>
      <c r="V7" s="36" t="s">
        <v>292</v>
      </c>
      <c r="Z7" s="36" t="s">
        <v>295</v>
      </c>
      <c r="AF7" s="36" t="s">
        <v>296</v>
      </c>
    </row>
    <row r="8" spans="1:66" s="36" customFormat="1" ht="12" customHeight="1">
      <c r="A8" s="36" t="s">
        <v>578</v>
      </c>
      <c r="B8" s="37"/>
      <c r="C8" s="45"/>
      <c r="D8" s="37" t="s">
        <v>6</v>
      </c>
      <c r="E8" s="45"/>
      <c r="F8" s="37" t="s">
        <v>281</v>
      </c>
      <c r="G8" s="45"/>
      <c r="H8" s="37" t="s">
        <v>285</v>
      </c>
      <c r="I8" s="45"/>
      <c r="J8" s="37" t="s">
        <v>557</v>
      </c>
      <c r="K8" s="45"/>
      <c r="L8" s="37" t="s">
        <v>349</v>
      </c>
      <c r="M8" s="45"/>
      <c r="N8" s="37" t="s">
        <v>558</v>
      </c>
      <c r="O8" s="45"/>
      <c r="P8" s="37" t="s">
        <v>287</v>
      </c>
      <c r="Q8" s="45"/>
      <c r="R8" s="37" t="s">
        <v>560</v>
      </c>
      <c r="S8" s="45"/>
      <c r="T8" s="37" t="s">
        <v>291</v>
      </c>
      <c r="U8" s="45"/>
      <c r="V8" s="37" t="s">
        <v>293</v>
      </c>
      <c r="W8" s="45"/>
      <c r="X8" s="37" t="s">
        <v>1</v>
      </c>
      <c r="Y8" s="45"/>
      <c r="Z8" s="37" t="s">
        <v>32</v>
      </c>
      <c r="AA8" s="45"/>
      <c r="AB8" s="37" t="s">
        <v>509</v>
      </c>
      <c r="AC8" s="45"/>
      <c r="AD8" s="37" t="s">
        <v>510</v>
      </c>
      <c r="AE8" s="45"/>
      <c r="AF8" s="37" t="s">
        <v>297</v>
      </c>
      <c r="AG8" s="45"/>
      <c r="AH8" s="46" t="s">
        <v>28</v>
      </c>
    </row>
    <row r="9" spans="1:66" s="28" customFormat="1" hidden="1">
      <c r="A9" s="4">
        <v>2</v>
      </c>
      <c r="B9" s="4" t="s">
        <v>435</v>
      </c>
      <c r="C9" s="4"/>
      <c r="D9" s="4" t="s">
        <v>97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 t="shared" ref="AH9:AH40" si="0">SUM(F9:AF9)</f>
        <v>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7" customFormat="1" hidden="1">
      <c r="A10" s="4">
        <v>75</v>
      </c>
      <c r="B10" s="4" t="s">
        <v>436</v>
      </c>
      <c r="C10" s="4"/>
      <c r="D10" s="4" t="s">
        <v>92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f t="shared" si="0"/>
        <v>0</v>
      </c>
    </row>
    <row r="11" spans="1:66" s="4" customFormat="1" hidden="1">
      <c r="A11" s="4">
        <v>80</v>
      </c>
      <c r="B11" s="4" t="s">
        <v>267</v>
      </c>
      <c r="D11" s="4" t="s">
        <v>92</v>
      </c>
      <c r="AH11" s="4">
        <f t="shared" si="0"/>
        <v>0</v>
      </c>
    </row>
    <row r="12" spans="1:66" s="4" customFormat="1" hidden="1">
      <c r="A12" s="4">
        <v>117</v>
      </c>
      <c r="B12" s="4" t="s">
        <v>223</v>
      </c>
      <c r="D12" s="4" t="s">
        <v>170</v>
      </c>
      <c r="AH12" s="4">
        <f t="shared" si="0"/>
        <v>0</v>
      </c>
    </row>
    <row r="13" spans="1:66" s="4" customFormat="1" hidden="1">
      <c r="A13" s="4">
        <v>135</v>
      </c>
      <c r="B13" s="4" t="s">
        <v>442</v>
      </c>
      <c r="D13" s="4" t="s">
        <v>41</v>
      </c>
      <c r="AH13" s="4">
        <f t="shared" si="0"/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7" customFormat="1" hidden="1">
      <c r="A14" s="4">
        <v>152</v>
      </c>
      <c r="B14" s="4" t="s">
        <v>214</v>
      </c>
      <c r="C14" s="4"/>
      <c r="D14" s="4" t="s">
        <v>215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</row>
    <row r="15" spans="1:66" s="4" customFormat="1" hidden="1">
      <c r="A15" s="4">
        <v>180</v>
      </c>
      <c r="B15" s="4" t="s">
        <v>253</v>
      </c>
      <c r="D15" s="4" t="s">
        <v>106</v>
      </c>
      <c r="AH15" s="4">
        <f t="shared" si="0"/>
        <v>0</v>
      </c>
    </row>
    <row r="16" spans="1:66" s="4" customFormat="1" hidden="1">
      <c r="A16" s="4">
        <v>185</v>
      </c>
      <c r="B16" s="4" t="s">
        <v>230</v>
      </c>
      <c r="D16" s="4" t="s">
        <v>229</v>
      </c>
      <c r="AH16" s="4">
        <f t="shared" si="0"/>
        <v>0</v>
      </c>
    </row>
    <row r="17" spans="1:66" s="4" customFormat="1" hidden="1">
      <c r="A17" s="4">
        <v>189</v>
      </c>
      <c r="B17" s="4" t="s">
        <v>450</v>
      </c>
      <c r="D17" s="4" t="s">
        <v>236</v>
      </c>
      <c r="AH17" s="4">
        <f t="shared" si="0"/>
        <v>0</v>
      </c>
    </row>
    <row r="18" spans="1:66" s="4" customFormat="1" hidden="1">
      <c r="A18" s="4">
        <v>233</v>
      </c>
      <c r="B18" s="4" t="s">
        <v>35</v>
      </c>
      <c r="D18" s="4" t="s">
        <v>26</v>
      </c>
      <c r="AH18" s="4">
        <f t="shared" si="0"/>
        <v>0</v>
      </c>
    </row>
    <row r="19" spans="1:66" s="14" customFormat="1" hidden="1">
      <c r="A19" s="4">
        <v>234</v>
      </c>
      <c r="B19" s="4" t="s">
        <v>201</v>
      </c>
      <c r="C19" s="4"/>
      <c r="D19" s="4" t="s">
        <v>26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 t="shared" si="0"/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6" s="7" customFormat="1" ht="11.25" customHeight="1">
      <c r="A20" s="7">
        <v>95</v>
      </c>
      <c r="B20" s="7" t="s">
        <v>73</v>
      </c>
      <c r="D20" s="7" t="s">
        <v>61</v>
      </c>
      <c r="F20" s="72">
        <v>0</v>
      </c>
      <c r="G20" s="72"/>
      <c r="H20" s="72">
        <v>222329.08</v>
      </c>
      <c r="I20" s="72"/>
      <c r="J20" s="72">
        <v>0</v>
      </c>
      <c r="K20" s="72"/>
      <c r="L20" s="72">
        <v>410</v>
      </c>
      <c r="M20" s="72"/>
      <c r="N20" s="72">
        <v>0</v>
      </c>
      <c r="O20" s="72"/>
      <c r="P20" s="72">
        <v>7274.61</v>
      </c>
      <c r="Q20" s="72"/>
      <c r="R20" s="72">
        <v>0</v>
      </c>
      <c r="S20" s="72"/>
      <c r="T20" s="72">
        <v>4891.2299999999996</v>
      </c>
      <c r="U20" s="72"/>
      <c r="V20" s="72">
        <v>27536.799999999999</v>
      </c>
      <c r="W20" s="72"/>
      <c r="X20" s="72">
        <v>0</v>
      </c>
      <c r="Y20" s="72"/>
      <c r="Z20" s="72">
        <v>0</v>
      </c>
      <c r="AA20" s="72"/>
      <c r="AB20" s="72">
        <v>162.32</v>
      </c>
      <c r="AC20" s="72"/>
      <c r="AD20" s="72">
        <v>0</v>
      </c>
      <c r="AE20" s="72"/>
      <c r="AF20" s="72">
        <v>0</v>
      </c>
      <c r="AH20" s="7">
        <f t="shared" si="0"/>
        <v>262604.03999999998</v>
      </c>
    </row>
    <row r="21" spans="1:66" s="4" customFormat="1">
      <c r="A21" s="4">
        <v>1</v>
      </c>
      <c r="B21" s="4" t="s">
        <v>74</v>
      </c>
      <c r="D21" s="4" t="s">
        <v>40</v>
      </c>
      <c r="F21" s="69">
        <v>0</v>
      </c>
      <c r="G21" s="69"/>
      <c r="H21" s="69">
        <v>757844.11</v>
      </c>
      <c r="I21" s="69"/>
      <c r="J21" s="69">
        <v>0</v>
      </c>
      <c r="K21" s="69"/>
      <c r="L21" s="69">
        <v>0</v>
      </c>
      <c r="M21" s="69"/>
      <c r="N21" s="69">
        <v>0</v>
      </c>
      <c r="O21" s="69"/>
      <c r="P21" s="69">
        <v>26422.44</v>
      </c>
      <c r="Q21" s="69"/>
      <c r="R21" s="69">
        <v>0</v>
      </c>
      <c r="S21" s="69"/>
      <c r="T21" s="69">
        <v>1360.3</v>
      </c>
      <c r="U21" s="69"/>
      <c r="V21" s="69">
        <v>21088.1</v>
      </c>
      <c r="W21" s="69"/>
      <c r="X21" s="69">
        <v>825.44</v>
      </c>
      <c r="Y21" s="69"/>
      <c r="Z21" s="69">
        <v>0</v>
      </c>
      <c r="AA21" s="69"/>
      <c r="AB21" s="69">
        <v>160036.48000000001</v>
      </c>
      <c r="AC21" s="69"/>
      <c r="AD21" s="69">
        <v>0</v>
      </c>
      <c r="AE21" s="69"/>
      <c r="AF21" s="69">
        <v>0</v>
      </c>
      <c r="AH21" s="4">
        <f t="shared" si="0"/>
        <v>967576.86999999988</v>
      </c>
    </row>
    <row r="22" spans="1:66" s="4" customFormat="1">
      <c r="A22" s="4">
        <v>216</v>
      </c>
      <c r="B22" s="42" t="s">
        <v>434</v>
      </c>
      <c r="C22" s="42"/>
      <c r="D22" s="42" t="s">
        <v>22</v>
      </c>
      <c r="E22" s="42"/>
      <c r="F22" s="69">
        <v>14883911</v>
      </c>
      <c r="G22" s="69">
        <v>0</v>
      </c>
      <c r="H22" s="69">
        <v>11030328</v>
      </c>
      <c r="I22" s="69">
        <v>0</v>
      </c>
      <c r="J22" s="69">
        <v>0</v>
      </c>
      <c r="K22" s="69">
        <v>0</v>
      </c>
      <c r="L22" s="69">
        <v>3011078</v>
      </c>
      <c r="M22" s="69">
        <v>0</v>
      </c>
      <c r="N22" s="69">
        <v>0</v>
      </c>
      <c r="O22" s="69">
        <v>0</v>
      </c>
      <c r="P22" s="69">
        <v>616418</v>
      </c>
      <c r="Q22" s="69">
        <v>0</v>
      </c>
      <c r="R22" s="69">
        <v>0</v>
      </c>
      <c r="S22" s="69">
        <v>0</v>
      </c>
      <c r="T22" s="69">
        <v>57088</v>
      </c>
      <c r="U22" s="69">
        <v>0</v>
      </c>
      <c r="V22" s="69">
        <v>7439</v>
      </c>
      <c r="W22" s="69">
        <v>0</v>
      </c>
      <c r="X22" s="69">
        <v>259520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15"/>
      <c r="AH22" s="4">
        <f t="shared" si="0"/>
        <v>29865782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4" customFormat="1">
      <c r="A23" s="4">
        <v>131</v>
      </c>
      <c r="B23" s="4" t="s">
        <v>511</v>
      </c>
      <c r="D23" s="4" t="s">
        <v>41</v>
      </c>
      <c r="F23" s="69">
        <v>0</v>
      </c>
      <c r="G23" s="69"/>
      <c r="H23" s="69">
        <v>238420.76</v>
      </c>
      <c r="I23" s="69"/>
      <c r="J23" s="69">
        <v>0</v>
      </c>
      <c r="K23" s="69"/>
      <c r="L23" s="69">
        <v>199</v>
      </c>
      <c r="M23" s="69"/>
      <c r="N23" s="69">
        <v>0</v>
      </c>
      <c r="O23" s="69"/>
      <c r="P23" s="69">
        <v>6208.96</v>
      </c>
      <c r="Q23" s="69"/>
      <c r="R23" s="69">
        <v>0</v>
      </c>
      <c r="S23" s="69"/>
      <c r="T23" s="69">
        <v>419.98</v>
      </c>
      <c r="U23" s="69"/>
      <c r="V23" s="69">
        <v>538.54999999999995</v>
      </c>
      <c r="W23" s="69"/>
      <c r="X23" s="69">
        <v>919.16</v>
      </c>
      <c r="Y23" s="69"/>
      <c r="Z23" s="69">
        <v>311.48</v>
      </c>
      <c r="AA23" s="69"/>
      <c r="AB23" s="69">
        <v>0</v>
      </c>
      <c r="AC23" s="69"/>
      <c r="AD23" s="69">
        <v>0</v>
      </c>
      <c r="AE23" s="69"/>
      <c r="AF23" s="69">
        <v>0</v>
      </c>
      <c r="AH23" s="4">
        <f t="shared" si="0"/>
        <v>247017.89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4" customFormat="1">
      <c r="A24" s="4">
        <v>96</v>
      </c>
      <c r="B24" s="4" t="s">
        <v>75</v>
      </c>
      <c r="D24" s="4" t="s">
        <v>61</v>
      </c>
      <c r="F24" s="69">
        <v>0</v>
      </c>
      <c r="G24" s="69"/>
      <c r="H24" s="69">
        <v>53256.36</v>
      </c>
      <c r="I24" s="69"/>
      <c r="J24" s="69">
        <v>0</v>
      </c>
      <c r="K24" s="69"/>
      <c r="L24" s="69">
        <v>7650</v>
      </c>
      <c r="M24" s="69"/>
      <c r="N24" s="69">
        <v>0</v>
      </c>
      <c r="O24" s="69"/>
      <c r="P24" s="69">
        <v>1711.91</v>
      </c>
      <c r="Q24" s="69"/>
      <c r="R24" s="69">
        <v>0</v>
      </c>
      <c r="S24" s="69"/>
      <c r="T24" s="69">
        <v>829</v>
      </c>
      <c r="U24" s="69"/>
      <c r="V24" s="69">
        <v>76.36</v>
      </c>
      <c r="W24" s="69"/>
      <c r="X24" s="69">
        <v>74.42</v>
      </c>
      <c r="Y24" s="69"/>
      <c r="Z24" s="69">
        <v>0</v>
      </c>
      <c r="AA24" s="69"/>
      <c r="AB24" s="69">
        <v>0</v>
      </c>
      <c r="AC24" s="69"/>
      <c r="AD24" s="69">
        <v>0</v>
      </c>
      <c r="AE24" s="69"/>
      <c r="AF24" s="69">
        <v>0</v>
      </c>
      <c r="AH24" s="4">
        <f t="shared" si="0"/>
        <v>63598.05</v>
      </c>
    </row>
    <row r="25" spans="1:66" s="4" customFormat="1">
      <c r="A25" s="4">
        <v>140</v>
      </c>
      <c r="B25" s="4" t="s">
        <v>451</v>
      </c>
      <c r="D25" s="4" t="s">
        <v>57</v>
      </c>
      <c r="F25" s="69">
        <v>283576.65999999997</v>
      </c>
      <c r="G25" s="69"/>
      <c r="H25" s="69">
        <v>722307.15</v>
      </c>
      <c r="I25" s="69"/>
      <c r="J25" s="69">
        <v>0</v>
      </c>
      <c r="K25" s="69"/>
      <c r="L25" s="69">
        <v>64928.47</v>
      </c>
      <c r="M25" s="69"/>
      <c r="N25" s="69">
        <v>0</v>
      </c>
      <c r="O25" s="69"/>
      <c r="P25" s="69">
        <v>32978.32</v>
      </c>
      <c r="Q25" s="69"/>
      <c r="R25" s="69">
        <v>0</v>
      </c>
      <c r="S25" s="69"/>
      <c r="T25" s="69">
        <v>1330</v>
      </c>
      <c r="U25" s="69"/>
      <c r="V25" s="69">
        <v>5765.98</v>
      </c>
      <c r="W25" s="69"/>
      <c r="X25" s="69">
        <v>2100.6</v>
      </c>
      <c r="Y25" s="69"/>
      <c r="Z25" s="69">
        <v>0</v>
      </c>
      <c r="AA25" s="69"/>
      <c r="AB25" s="69">
        <v>300000</v>
      </c>
      <c r="AC25" s="69"/>
      <c r="AD25" s="69">
        <v>0</v>
      </c>
      <c r="AE25" s="69"/>
      <c r="AF25" s="69">
        <v>0</v>
      </c>
      <c r="AH25" s="4">
        <f t="shared" si="0"/>
        <v>1412987.1800000002</v>
      </c>
    </row>
    <row r="26" spans="1:66" s="4" customFormat="1">
      <c r="A26" s="4">
        <v>208</v>
      </c>
      <c r="B26" s="4" t="s">
        <v>77</v>
      </c>
      <c r="D26" s="4" t="s">
        <v>78</v>
      </c>
      <c r="F26" s="69">
        <v>0</v>
      </c>
      <c r="G26" s="69">
        <v>0</v>
      </c>
      <c r="H26" s="69">
        <v>1353339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30006</v>
      </c>
      <c r="Q26" s="69">
        <v>0</v>
      </c>
      <c r="R26" s="69">
        <v>0</v>
      </c>
      <c r="S26" s="69">
        <v>0</v>
      </c>
      <c r="T26" s="69">
        <v>10578</v>
      </c>
      <c r="U26" s="69">
        <v>0</v>
      </c>
      <c r="V26" s="69">
        <v>21503</v>
      </c>
      <c r="W26" s="69">
        <v>0</v>
      </c>
      <c r="X26" s="69">
        <v>19569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H26" s="4">
        <f t="shared" si="0"/>
        <v>1434995</v>
      </c>
    </row>
    <row r="27" spans="1:66" s="4" customFormat="1">
      <c r="A27" s="4">
        <v>8</v>
      </c>
      <c r="B27" s="4" t="s">
        <v>79</v>
      </c>
      <c r="D27" s="4" t="s">
        <v>43</v>
      </c>
      <c r="F27" s="69">
        <v>0</v>
      </c>
      <c r="G27" s="69"/>
      <c r="H27" s="69">
        <v>207466.14</v>
      </c>
      <c r="I27" s="69"/>
      <c r="J27" s="69">
        <v>0</v>
      </c>
      <c r="K27" s="69"/>
      <c r="L27" s="69">
        <v>0</v>
      </c>
      <c r="M27" s="69"/>
      <c r="N27" s="69">
        <v>0</v>
      </c>
      <c r="O27" s="69"/>
      <c r="P27" s="69">
        <v>9834.9599999999991</v>
      </c>
      <c r="Q27" s="69"/>
      <c r="R27" s="69">
        <v>10109.06</v>
      </c>
      <c r="S27" s="69"/>
      <c r="T27" s="69">
        <v>31204.58</v>
      </c>
      <c r="U27" s="69"/>
      <c r="V27" s="69">
        <v>2538.15</v>
      </c>
      <c r="W27" s="69"/>
      <c r="X27" s="69">
        <v>48</v>
      </c>
      <c r="Y27" s="69"/>
      <c r="Z27" s="69">
        <v>0</v>
      </c>
      <c r="AA27" s="69"/>
      <c r="AB27" s="69">
        <v>0</v>
      </c>
      <c r="AC27" s="69"/>
      <c r="AD27" s="69">
        <v>0</v>
      </c>
      <c r="AE27" s="69"/>
      <c r="AF27" s="69">
        <v>0</v>
      </c>
      <c r="AH27" s="4">
        <f t="shared" si="0"/>
        <v>261200.88999999998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s="4" customFormat="1">
      <c r="A28" s="4">
        <v>58</v>
      </c>
      <c r="B28" s="4" t="s">
        <v>80</v>
      </c>
      <c r="D28" s="4" t="s">
        <v>81</v>
      </c>
      <c r="F28" s="69">
        <v>0</v>
      </c>
      <c r="G28" s="69"/>
      <c r="H28" s="69">
        <v>231304.07</v>
      </c>
      <c r="I28" s="69"/>
      <c r="J28" s="69">
        <v>0</v>
      </c>
      <c r="K28" s="69"/>
      <c r="L28" s="69">
        <v>0</v>
      </c>
      <c r="M28" s="69"/>
      <c r="N28" s="69">
        <v>0</v>
      </c>
      <c r="O28" s="69"/>
      <c r="P28" s="69">
        <v>8402.5499999999993</v>
      </c>
      <c r="Q28" s="69"/>
      <c r="R28" s="69">
        <v>0</v>
      </c>
      <c r="S28" s="69"/>
      <c r="T28" s="69">
        <v>8234.5</v>
      </c>
      <c r="U28" s="69"/>
      <c r="V28" s="69">
        <v>6448.15</v>
      </c>
      <c r="W28" s="69"/>
      <c r="X28" s="69">
        <v>174.4</v>
      </c>
      <c r="Y28" s="69"/>
      <c r="Z28" s="69">
        <v>0</v>
      </c>
      <c r="AA28" s="69"/>
      <c r="AB28" s="69">
        <v>0</v>
      </c>
      <c r="AC28" s="69"/>
      <c r="AD28" s="69">
        <v>0</v>
      </c>
      <c r="AE28" s="69"/>
      <c r="AF28" s="69">
        <v>0</v>
      </c>
      <c r="AH28" s="4">
        <f t="shared" si="0"/>
        <v>254563.66999999998</v>
      </c>
    </row>
    <row r="29" spans="1:66" s="4" customFormat="1">
      <c r="A29" s="4">
        <v>82</v>
      </c>
      <c r="B29" s="4" t="s">
        <v>298</v>
      </c>
      <c r="D29" s="4" t="s">
        <v>42</v>
      </c>
      <c r="F29" s="69">
        <v>133048.26999999999</v>
      </c>
      <c r="G29" s="69"/>
      <c r="H29" s="69">
        <v>212289.54</v>
      </c>
      <c r="I29" s="69"/>
      <c r="J29" s="69">
        <v>0</v>
      </c>
      <c r="K29" s="69"/>
      <c r="L29" s="69">
        <v>42074.39</v>
      </c>
      <c r="M29" s="69"/>
      <c r="N29" s="69">
        <v>0</v>
      </c>
      <c r="O29" s="69"/>
      <c r="P29" s="69">
        <v>10876.72</v>
      </c>
      <c r="Q29" s="69"/>
      <c r="R29" s="69">
        <v>0</v>
      </c>
      <c r="S29" s="69"/>
      <c r="T29" s="69">
        <v>2893.1</v>
      </c>
      <c r="U29" s="69"/>
      <c r="V29" s="69">
        <v>5769.53</v>
      </c>
      <c r="W29" s="69"/>
      <c r="X29" s="69">
        <v>4713.6499999999996</v>
      </c>
      <c r="Y29" s="69"/>
      <c r="Z29" s="69">
        <v>0</v>
      </c>
      <c r="AA29" s="69"/>
      <c r="AB29" s="69">
        <v>0</v>
      </c>
      <c r="AC29" s="69"/>
      <c r="AD29" s="69">
        <v>0</v>
      </c>
      <c r="AE29" s="69"/>
      <c r="AF29" s="69">
        <v>0</v>
      </c>
      <c r="AH29" s="4">
        <f t="shared" si="0"/>
        <v>411665.2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" customFormat="1">
      <c r="A30" s="4">
        <v>6</v>
      </c>
      <c r="B30" s="4" t="s">
        <v>82</v>
      </c>
      <c r="D30" s="4" t="s">
        <v>83</v>
      </c>
      <c r="F30" s="69">
        <v>465571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953859</v>
      </c>
      <c r="M30" s="69">
        <v>0</v>
      </c>
      <c r="N30" s="69">
        <v>0</v>
      </c>
      <c r="O30" s="69">
        <v>0</v>
      </c>
      <c r="P30" s="69">
        <v>55403</v>
      </c>
      <c r="Q30" s="69">
        <v>0</v>
      </c>
      <c r="R30" s="69">
        <v>0</v>
      </c>
      <c r="S30" s="69">
        <v>0</v>
      </c>
      <c r="T30" s="69">
        <v>3880</v>
      </c>
      <c r="U30" s="69">
        <v>0</v>
      </c>
      <c r="V30" s="69">
        <v>9708</v>
      </c>
      <c r="W30" s="69">
        <v>0</v>
      </c>
      <c r="X30" s="69">
        <v>8892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H30" s="4">
        <f t="shared" si="0"/>
        <v>1497313</v>
      </c>
    </row>
    <row r="31" spans="1:66" s="4" customFormat="1">
      <c r="A31" s="4">
        <v>9</v>
      </c>
      <c r="B31" s="4" t="s">
        <v>335</v>
      </c>
      <c r="D31" s="4" t="s">
        <v>43</v>
      </c>
      <c r="F31" s="69">
        <v>1197186.1299999999</v>
      </c>
      <c r="G31" s="69"/>
      <c r="H31" s="69">
        <v>0</v>
      </c>
      <c r="I31" s="69"/>
      <c r="J31" s="69">
        <v>0</v>
      </c>
      <c r="K31" s="69"/>
      <c r="L31" s="69">
        <v>0</v>
      </c>
      <c r="M31" s="69"/>
      <c r="N31" s="69">
        <v>0</v>
      </c>
      <c r="O31" s="69"/>
      <c r="P31" s="69">
        <v>34102.69</v>
      </c>
      <c r="Q31" s="69"/>
      <c r="R31" s="69">
        <v>0</v>
      </c>
      <c r="S31" s="69"/>
      <c r="T31" s="69">
        <v>10862.27</v>
      </c>
      <c r="U31" s="69"/>
      <c r="V31" s="69">
        <v>58510.25</v>
      </c>
      <c r="W31" s="69"/>
      <c r="X31" s="69">
        <v>3717.37</v>
      </c>
      <c r="Y31" s="69"/>
      <c r="Z31" s="69">
        <v>0</v>
      </c>
      <c r="AA31" s="69"/>
      <c r="AB31" s="69">
        <v>16290</v>
      </c>
      <c r="AC31" s="69"/>
      <c r="AD31" s="69">
        <v>0</v>
      </c>
      <c r="AE31" s="69"/>
      <c r="AF31" s="69">
        <v>0</v>
      </c>
      <c r="AH31" s="4">
        <f t="shared" si="0"/>
        <v>1320668.71</v>
      </c>
    </row>
    <row r="32" spans="1:66" s="4" customFormat="1">
      <c r="A32" s="4">
        <v>17</v>
      </c>
      <c r="B32" s="4" t="s">
        <v>593</v>
      </c>
      <c r="D32" s="4" t="s">
        <v>44</v>
      </c>
      <c r="F32" s="69">
        <v>0</v>
      </c>
      <c r="G32" s="69"/>
      <c r="H32" s="69">
        <v>943651.03</v>
      </c>
      <c r="I32" s="69"/>
      <c r="J32" s="69">
        <v>0</v>
      </c>
      <c r="K32" s="69"/>
      <c r="L32" s="69">
        <v>0</v>
      </c>
      <c r="M32" s="69"/>
      <c r="N32" s="69">
        <v>0</v>
      </c>
      <c r="O32" s="69"/>
      <c r="P32" s="69">
        <v>18351.63</v>
      </c>
      <c r="Q32" s="69"/>
      <c r="R32" s="69">
        <v>0</v>
      </c>
      <c r="S32" s="69"/>
      <c r="T32" s="69">
        <v>35571.89</v>
      </c>
      <c r="U32" s="69"/>
      <c r="V32" s="69">
        <v>31308.62</v>
      </c>
      <c r="W32" s="69"/>
      <c r="X32" s="69">
        <v>4747.96</v>
      </c>
      <c r="Y32" s="69"/>
      <c r="Z32" s="69">
        <v>472.4</v>
      </c>
      <c r="AA32" s="69"/>
      <c r="AB32" s="69">
        <v>3701.02</v>
      </c>
      <c r="AC32" s="69"/>
      <c r="AD32" s="69">
        <v>0</v>
      </c>
      <c r="AE32" s="69"/>
      <c r="AF32" s="69">
        <v>0</v>
      </c>
      <c r="AH32" s="4">
        <f t="shared" si="0"/>
        <v>1037804.55</v>
      </c>
    </row>
    <row r="33" spans="1:66" s="4" customFormat="1">
      <c r="A33" s="4">
        <v>141</v>
      </c>
      <c r="B33" s="4" t="s">
        <v>84</v>
      </c>
      <c r="D33" s="4" t="s">
        <v>57</v>
      </c>
      <c r="F33" s="69">
        <v>1304051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758539</v>
      </c>
      <c r="M33" s="69">
        <v>0</v>
      </c>
      <c r="N33" s="69">
        <v>0</v>
      </c>
      <c r="O33" s="69">
        <v>0</v>
      </c>
      <c r="P33" s="69">
        <v>54555</v>
      </c>
      <c r="Q33" s="69">
        <v>0</v>
      </c>
      <c r="R33" s="69">
        <v>0</v>
      </c>
      <c r="S33" s="69">
        <v>0</v>
      </c>
      <c r="T33" s="69">
        <v>938</v>
      </c>
      <c r="U33" s="69">
        <v>0</v>
      </c>
      <c r="V33" s="69">
        <v>505</v>
      </c>
      <c r="W33" s="69">
        <v>0</v>
      </c>
      <c r="X33" s="69">
        <v>20868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H33" s="4">
        <f t="shared" si="0"/>
        <v>2139456</v>
      </c>
    </row>
    <row r="34" spans="1:66" s="4" customFormat="1">
      <c r="A34" s="4">
        <v>217</v>
      </c>
      <c r="B34" s="4" t="s">
        <v>452</v>
      </c>
      <c r="D34" s="4" t="s">
        <v>22</v>
      </c>
      <c r="F34" s="69">
        <v>467944.6</v>
      </c>
      <c r="G34" s="69"/>
      <c r="H34" s="69">
        <v>783749.11</v>
      </c>
      <c r="I34" s="69"/>
      <c r="J34" s="69">
        <v>0</v>
      </c>
      <c r="K34" s="69"/>
      <c r="L34" s="69">
        <v>34872.22</v>
      </c>
      <c r="M34" s="69"/>
      <c r="N34" s="69">
        <v>0</v>
      </c>
      <c r="O34" s="69"/>
      <c r="P34" s="69">
        <v>28611.83</v>
      </c>
      <c r="Q34" s="69"/>
      <c r="R34" s="69">
        <v>0</v>
      </c>
      <c r="S34" s="69"/>
      <c r="T34" s="69">
        <v>3122.39</v>
      </c>
      <c r="U34" s="69"/>
      <c r="V34" s="69">
        <v>21214.89</v>
      </c>
      <c r="W34" s="69"/>
      <c r="X34" s="69">
        <v>3954.52</v>
      </c>
      <c r="Y34" s="69"/>
      <c r="Z34" s="69">
        <v>0</v>
      </c>
      <c r="AA34" s="69"/>
      <c r="AB34" s="69">
        <v>70742.28</v>
      </c>
      <c r="AC34" s="69"/>
      <c r="AD34" s="69">
        <v>0</v>
      </c>
      <c r="AE34" s="69"/>
      <c r="AF34" s="69">
        <v>0</v>
      </c>
      <c r="AH34" s="4">
        <f t="shared" si="0"/>
        <v>1414211.8399999999</v>
      </c>
    </row>
    <row r="35" spans="1:66" s="4" customFormat="1" ht="12.75" customHeight="1">
      <c r="A35" s="4">
        <v>19</v>
      </c>
      <c r="B35" s="4" t="s">
        <v>21</v>
      </c>
      <c r="D35" s="4" t="s">
        <v>13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390260</v>
      </c>
      <c r="M35" s="69">
        <v>0</v>
      </c>
      <c r="N35" s="69">
        <v>0</v>
      </c>
      <c r="O35" s="69">
        <v>0</v>
      </c>
      <c r="P35" s="69">
        <v>20158</v>
      </c>
      <c r="Q35" s="69">
        <v>0</v>
      </c>
      <c r="R35" s="69">
        <v>0</v>
      </c>
      <c r="S35" s="69">
        <v>0</v>
      </c>
      <c r="T35" s="69">
        <v>12401</v>
      </c>
      <c r="U35" s="69">
        <v>0</v>
      </c>
      <c r="V35" s="69">
        <v>15566</v>
      </c>
      <c r="W35" s="69">
        <v>0</v>
      </c>
      <c r="X35" s="69">
        <v>3255</v>
      </c>
      <c r="Y35" s="69">
        <v>0</v>
      </c>
      <c r="Z35" s="69">
        <v>0</v>
      </c>
      <c r="AA35" s="69">
        <v>0</v>
      </c>
      <c r="AB35" s="69">
        <v>70000</v>
      </c>
      <c r="AC35" s="69">
        <v>0</v>
      </c>
      <c r="AD35" s="69">
        <v>0</v>
      </c>
      <c r="AE35" s="69">
        <v>0</v>
      </c>
      <c r="AF35" s="69">
        <v>0</v>
      </c>
      <c r="AH35" s="4">
        <f t="shared" si="0"/>
        <v>511640</v>
      </c>
    </row>
    <row r="36" spans="1:66" s="4" customFormat="1">
      <c r="A36" s="4">
        <v>20</v>
      </c>
      <c r="B36" s="4" t="s">
        <v>85</v>
      </c>
      <c r="D36" s="4" t="s">
        <v>13</v>
      </c>
      <c r="F36" s="69">
        <v>0</v>
      </c>
      <c r="G36" s="69"/>
      <c r="H36" s="69">
        <v>390260.24</v>
      </c>
      <c r="I36" s="69"/>
      <c r="J36" s="69">
        <v>0</v>
      </c>
      <c r="K36" s="69"/>
      <c r="L36" s="69">
        <v>1000</v>
      </c>
      <c r="M36" s="69"/>
      <c r="N36" s="69">
        <v>0</v>
      </c>
      <c r="O36" s="69"/>
      <c r="P36" s="69">
        <v>9546.11</v>
      </c>
      <c r="Q36" s="69"/>
      <c r="R36" s="69">
        <v>0</v>
      </c>
      <c r="S36" s="69"/>
      <c r="T36" s="69">
        <v>4699</v>
      </c>
      <c r="U36" s="69"/>
      <c r="V36" s="69">
        <v>8092.82</v>
      </c>
      <c r="W36" s="69"/>
      <c r="X36" s="69">
        <v>1680.45</v>
      </c>
      <c r="Y36" s="69"/>
      <c r="Z36" s="69">
        <v>0</v>
      </c>
      <c r="AA36" s="69"/>
      <c r="AB36" s="69">
        <v>0</v>
      </c>
      <c r="AC36" s="69"/>
      <c r="AD36" s="69">
        <v>0</v>
      </c>
      <c r="AE36" s="69"/>
      <c r="AF36" s="69">
        <v>0</v>
      </c>
      <c r="AH36" s="4">
        <f t="shared" si="0"/>
        <v>415278.62</v>
      </c>
    </row>
    <row r="37" spans="1:66" s="4" customFormat="1">
      <c r="A37" s="4">
        <v>137</v>
      </c>
      <c r="B37" s="4" t="s">
        <v>86</v>
      </c>
      <c r="D37" s="4" t="s">
        <v>87</v>
      </c>
      <c r="F37" s="69">
        <v>0</v>
      </c>
      <c r="G37" s="69">
        <v>0</v>
      </c>
      <c r="H37" s="69">
        <v>63705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2966</v>
      </c>
      <c r="Q37" s="69">
        <v>0</v>
      </c>
      <c r="R37" s="69">
        <v>0</v>
      </c>
      <c r="S37" s="69">
        <v>0</v>
      </c>
      <c r="T37" s="69">
        <v>668</v>
      </c>
      <c r="U37" s="69">
        <v>0</v>
      </c>
      <c r="V37" s="69">
        <v>4595</v>
      </c>
      <c r="W37" s="69">
        <v>0</v>
      </c>
      <c r="X37" s="69">
        <v>29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H37" s="4">
        <f t="shared" si="0"/>
        <v>71963</v>
      </c>
    </row>
    <row r="38" spans="1:66" s="4" customFormat="1">
      <c r="A38" s="4">
        <v>110</v>
      </c>
      <c r="B38" s="4" t="s">
        <v>88</v>
      </c>
      <c r="D38" s="4" t="s">
        <v>89</v>
      </c>
      <c r="F38" s="69">
        <v>252152</v>
      </c>
      <c r="G38" s="69">
        <v>0</v>
      </c>
      <c r="H38" s="69">
        <v>0</v>
      </c>
      <c r="I38" s="69">
        <v>0</v>
      </c>
      <c r="J38" s="69">
        <v>28857</v>
      </c>
      <c r="K38" s="69">
        <v>0</v>
      </c>
      <c r="L38" s="69">
        <v>528730</v>
      </c>
      <c r="M38" s="69">
        <v>0</v>
      </c>
      <c r="N38" s="69">
        <v>0</v>
      </c>
      <c r="O38" s="69">
        <v>0</v>
      </c>
      <c r="P38" s="69">
        <v>24210</v>
      </c>
      <c r="Q38" s="69">
        <v>0</v>
      </c>
      <c r="R38" s="69">
        <v>0</v>
      </c>
      <c r="S38" s="69">
        <v>0</v>
      </c>
      <c r="T38" s="69">
        <v>17891</v>
      </c>
      <c r="U38" s="69">
        <v>0</v>
      </c>
      <c r="V38" s="69">
        <v>3841</v>
      </c>
      <c r="W38" s="69">
        <v>0</v>
      </c>
      <c r="X38" s="69">
        <v>34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H38" s="4">
        <f t="shared" si="0"/>
        <v>855715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4" customFormat="1">
      <c r="A39" s="4">
        <v>203</v>
      </c>
      <c r="B39" s="4" t="s">
        <v>90</v>
      </c>
      <c r="D39" s="4" t="s">
        <v>45</v>
      </c>
      <c r="F39" s="69">
        <v>9411</v>
      </c>
      <c r="G39" s="69">
        <v>0</v>
      </c>
      <c r="H39" s="69">
        <v>109351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4799</v>
      </c>
      <c r="Q39" s="69">
        <v>0</v>
      </c>
      <c r="R39" s="69">
        <v>0</v>
      </c>
      <c r="S39" s="69">
        <v>0</v>
      </c>
      <c r="T39" s="69">
        <v>50</v>
      </c>
      <c r="U39" s="69">
        <v>0</v>
      </c>
      <c r="V39" s="69">
        <v>1869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15000</v>
      </c>
      <c r="AC39" s="69">
        <v>0</v>
      </c>
      <c r="AD39" s="69">
        <v>0</v>
      </c>
      <c r="AE39" s="69">
        <v>0</v>
      </c>
      <c r="AF39" s="69">
        <v>0</v>
      </c>
      <c r="AH39" s="4">
        <f t="shared" si="0"/>
        <v>140480</v>
      </c>
    </row>
    <row r="40" spans="1:66" s="4" customFormat="1">
      <c r="A40" s="4">
        <v>74</v>
      </c>
      <c r="B40" s="4" t="s">
        <v>91</v>
      </c>
      <c r="D40" s="4" t="s">
        <v>92</v>
      </c>
      <c r="F40" s="69">
        <v>599144.22</v>
      </c>
      <c r="G40" s="69">
        <v>0</v>
      </c>
      <c r="H40" s="69">
        <v>1433286.17</v>
      </c>
      <c r="I40" s="69">
        <v>0</v>
      </c>
      <c r="J40" s="69">
        <v>0</v>
      </c>
      <c r="K40" s="69">
        <v>0</v>
      </c>
      <c r="L40" s="69">
        <v>85436.09</v>
      </c>
      <c r="M40" s="69">
        <v>0</v>
      </c>
      <c r="N40" s="69">
        <v>0</v>
      </c>
      <c r="O40" s="69">
        <v>0</v>
      </c>
      <c r="P40" s="69">
        <v>53806.48</v>
      </c>
      <c r="Q40" s="69">
        <v>0</v>
      </c>
      <c r="R40" s="69">
        <v>0</v>
      </c>
      <c r="S40" s="69">
        <v>0</v>
      </c>
      <c r="T40" s="69">
        <v>64328.3</v>
      </c>
      <c r="U40" s="69">
        <v>0</v>
      </c>
      <c r="V40" s="69">
        <v>4884.49</v>
      </c>
      <c r="W40" s="69">
        <v>0</v>
      </c>
      <c r="X40" s="69">
        <v>8939.93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H40" s="4">
        <f t="shared" si="0"/>
        <v>2249825.6800000002</v>
      </c>
    </row>
    <row r="41" spans="1:66" s="4" customFormat="1">
      <c r="A41" s="4">
        <v>200</v>
      </c>
      <c r="B41" s="4" t="s">
        <v>93</v>
      </c>
      <c r="D41" s="4" t="s">
        <v>94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1330121</v>
      </c>
      <c r="M41" s="69">
        <v>0</v>
      </c>
      <c r="N41" s="69">
        <v>0</v>
      </c>
      <c r="O41" s="69">
        <v>0</v>
      </c>
      <c r="P41" s="69">
        <v>34614</v>
      </c>
      <c r="Q41" s="69">
        <v>0</v>
      </c>
      <c r="R41" s="69">
        <v>0</v>
      </c>
      <c r="S41" s="69">
        <v>0</v>
      </c>
      <c r="T41" s="69">
        <v>27304</v>
      </c>
      <c r="U41" s="69">
        <v>0</v>
      </c>
      <c r="V41" s="69">
        <v>26485</v>
      </c>
      <c r="W41" s="69">
        <v>0</v>
      </c>
      <c r="X41" s="69">
        <f>10333+1665</f>
        <v>11998</v>
      </c>
      <c r="Y41" s="69">
        <v>0</v>
      </c>
      <c r="Z41" s="69">
        <v>0</v>
      </c>
      <c r="AA41" s="69">
        <v>0</v>
      </c>
      <c r="AB41" s="69">
        <v>2696</v>
      </c>
      <c r="AC41" s="69">
        <v>0</v>
      </c>
      <c r="AD41" s="69">
        <v>4400</v>
      </c>
      <c r="AE41" s="69">
        <v>0</v>
      </c>
      <c r="AF41" s="69">
        <v>0</v>
      </c>
      <c r="AH41" s="4">
        <f t="shared" ref="AH41:AH73" si="1">SUM(F41:AF41)</f>
        <v>1437618</v>
      </c>
    </row>
    <row r="42" spans="1:66" s="4" customFormat="1">
      <c r="A42" s="4">
        <v>35</v>
      </c>
      <c r="B42" s="4" t="s">
        <v>95</v>
      </c>
      <c r="D42" s="4" t="s">
        <v>69</v>
      </c>
      <c r="F42" s="69">
        <v>130454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378763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14032</v>
      </c>
      <c r="S42" s="69">
        <v>0</v>
      </c>
      <c r="T42" s="69">
        <v>0</v>
      </c>
      <c r="U42" s="69">
        <v>0</v>
      </c>
      <c r="V42" s="69">
        <v>1138</v>
      </c>
      <c r="W42" s="69">
        <v>0</v>
      </c>
      <c r="X42" s="69">
        <v>698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H42" s="4">
        <f t="shared" si="1"/>
        <v>525085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14" customFormat="1">
      <c r="A43" s="4">
        <v>204</v>
      </c>
      <c r="B43" s="4" t="s">
        <v>96</v>
      </c>
      <c r="C43" s="4"/>
      <c r="D43" s="4" t="s">
        <v>45</v>
      </c>
      <c r="E43" s="4"/>
      <c r="F43" s="69">
        <v>0</v>
      </c>
      <c r="G43" s="69"/>
      <c r="H43" s="69">
        <v>0</v>
      </c>
      <c r="I43" s="69"/>
      <c r="J43" s="69">
        <v>0</v>
      </c>
      <c r="K43" s="69"/>
      <c r="L43" s="69">
        <v>119180.74</v>
      </c>
      <c r="M43" s="69"/>
      <c r="N43" s="69">
        <v>0</v>
      </c>
      <c r="O43" s="69"/>
      <c r="P43" s="69">
        <v>2484.34</v>
      </c>
      <c r="Q43" s="69"/>
      <c r="R43" s="69">
        <v>0</v>
      </c>
      <c r="S43" s="69"/>
      <c r="T43" s="69">
        <v>105404.56</v>
      </c>
      <c r="U43" s="69"/>
      <c r="V43" s="69">
        <v>1053.52</v>
      </c>
      <c r="W43" s="69"/>
      <c r="X43" s="69">
        <v>17.71</v>
      </c>
      <c r="Y43" s="69"/>
      <c r="Z43" s="69">
        <v>0</v>
      </c>
      <c r="AA43" s="69"/>
      <c r="AB43" s="69">
        <v>6272.4</v>
      </c>
      <c r="AC43" s="69"/>
      <c r="AD43" s="69">
        <v>0</v>
      </c>
      <c r="AE43" s="69"/>
      <c r="AF43" s="69">
        <v>0</v>
      </c>
      <c r="AG43" s="4"/>
      <c r="AH43" s="4">
        <f t="shared" si="1"/>
        <v>234413.27</v>
      </c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6" s="4" customFormat="1">
      <c r="A44" s="4">
        <v>3</v>
      </c>
      <c r="B44" s="4" t="s">
        <v>300</v>
      </c>
      <c r="D44" s="4" t="s">
        <v>97</v>
      </c>
      <c r="F44" s="69">
        <v>100472.02</v>
      </c>
      <c r="G44" s="69"/>
      <c r="H44" s="69">
        <v>214323.26</v>
      </c>
      <c r="I44" s="69"/>
      <c r="J44" s="69">
        <v>0</v>
      </c>
      <c r="K44" s="69"/>
      <c r="L44" s="69">
        <v>25775.33</v>
      </c>
      <c r="M44" s="69"/>
      <c r="N44" s="69">
        <v>0</v>
      </c>
      <c r="O44" s="69"/>
      <c r="P44" s="69">
        <v>11635.98</v>
      </c>
      <c r="Q44" s="69"/>
      <c r="R44" s="69">
        <v>0</v>
      </c>
      <c r="S44" s="69"/>
      <c r="T44" s="69">
        <v>6095.9</v>
      </c>
      <c r="U44" s="69"/>
      <c r="V44" s="69">
        <v>1402.9</v>
      </c>
      <c r="W44" s="69"/>
      <c r="X44" s="69">
        <v>2085.17</v>
      </c>
      <c r="Y44" s="69"/>
      <c r="Z44" s="69">
        <v>156.4</v>
      </c>
      <c r="AA44" s="69"/>
      <c r="AB44" s="69">
        <v>0</v>
      </c>
      <c r="AC44" s="69"/>
      <c r="AD44" s="69">
        <v>0</v>
      </c>
      <c r="AE44" s="69"/>
      <c r="AF44" s="69">
        <v>0</v>
      </c>
      <c r="AH44" s="4">
        <f t="shared" si="1"/>
        <v>361946.96000000008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4" customFormat="1">
      <c r="A45" s="4">
        <v>101</v>
      </c>
      <c r="B45" s="4" t="s">
        <v>98</v>
      </c>
      <c r="D45" s="4" t="s">
        <v>46</v>
      </c>
      <c r="F45" s="69">
        <v>0</v>
      </c>
      <c r="G45" s="69"/>
      <c r="H45" s="69">
        <v>172715.65</v>
      </c>
      <c r="I45" s="69"/>
      <c r="J45" s="69">
        <v>0</v>
      </c>
      <c r="K45" s="69"/>
      <c r="L45" s="69">
        <v>0</v>
      </c>
      <c r="M45" s="69"/>
      <c r="N45" s="69">
        <v>0</v>
      </c>
      <c r="O45" s="69"/>
      <c r="P45" s="69">
        <v>4409.49</v>
      </c>
      <c r="Q45" s="69"/>
      <c r="R45" s="69">
        <v>0</v>
      </c>
      <c r="S45" s="69"/>
      <c r="T45" s="69">
        <v>34234.93</v>
      </c>
      <c r="U45" s="69"/>
      <c r="V45" s="69">
        <v>750.89</v>
      </c>
      <c r="W45" s="69"/>
      <c r="X45" s="69">
        <v>197.87</v>
      </c>
      <c r="Y45" s="69"/>
      <c r="Z45" s="69">
        <v>0</v>
      </c>
      <c r="AA45" s="69"/>
      <c r="AB45" s="69">
        <v>0</v>
      </c>
      <c r="AC45" s="69"/>
      <c r="AD45" s="69">
        <v>0</v>
      </c>
      <c r="AE45" s="69"/>
      <c r="AF45" s="69">
        <v>0</v>
      </c>
      <c r="AH45" s="4">
        <f t="shared" si="1"/>
        <v>212308.83</v>
      </c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4" customFormat="1">
      <c r="A46" s="4">
        <v>162</v>
      </c>
      <c r="B46" s="4" t="s">
        <v>99</v>
      </c>
      <c r="D46" s="4" t="s">
        <v>53</v>
      </c>
      <c r="F46" s="69">
        <v>0</v>
      </c>
      <c r="G46" s="69"/>
      <c r="H46" s="69">
        <v>155451.41</v>
      </c>
      <c r="I46" s="69"/>
      <c r="J46" s="69">
        <v>0</v>
      </c>
      <c r="K46" s="69"/>
      <c r="L46" s="69">
        <v>0</v>
      </c>
      <c r="M46" s="69"/>
      <c r="N46" s="69">
        <v>0</v>
      </c>
      <c r="O46" s="69"/>
      <c r="P46" s="69">
        <v>5231.79</v>
      </c>
      <c r="Q46" s="69"/>
      <c r="R46" s="69">
        <v>0</v>
      </c>
      <c r="S46" s="69"/>
      <c r="T46" s="69">
        <v>2872.21</v>
      </c>
      <c r="U46" s="69"/>
      <c r="V46" s="69">
        <v>261.06</v>
      </c>
      <c r="W46" s="69"/>
      <c r="X46" s="69">
        <v>777.1</v>
      </c>
      <c r="Y46" s="69"/>
      <c r="Z46" s="69">
        <v>0</v>
      </c>
      <c r="AA46" s="69"/>
      <c r="AB46" s="69">
        <v>0</v>
      </c>
      <c r="AC46" s="69"/>
      <c r="AD46" s="69">
        <v>0</v>
      </c>
      <c r="AE46" s="69"/>
      <c r="AF46" s="69">
        <v>0</v>
      </c>
      <c r="AH46" s="4">
        <f t="shared" si="1"/>
        <v>164593.57</v>
      </c>
    </row>
    <row r="47" spans="1:66" s="4" customFormat="1">
      <c r="A47" s="39">
        <v>130.1</v>
      </c>
      <c r="B47" s="3" t="s">
        <v>581</v>
      </c>
      <c r="C47" s="3"/>
      <c r="D47" s="3" t="s">
        <v>582</v>
      </c>
      <c r="E47" s="3"/>
      <c r="F47" s="69">
        <v>0</v>
      </c>
      <c r="G47" s="69">
        <v>0</v>
      </c>
      <c r="H47" s="69">
        <v>1776202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47260</v>
      </c>
      <c r="Q47" s="69">
        <v>0</v>
      </c>
      <c r="R47" s="69">
        <v>0</v>
      </c>
      <c r="S47" s="69">
        <v>0</v>
      </c>
      <c r="T47" s="69">
        <v>5028</v>
      </c>
      <c r="U47" s="69">
        <v>0</v>
      </c>
      <c r="V47" s="69">
        <v>1852</v>
      </c>
      <c r="W47" s="69">
        <v>0</v>
      </c>
      <c r="X47" s="69">
        <v>27416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H47" s="4">
        <f t="shared" si="1"/>
        <v>1857758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4" customFormat="1">
      <c r="A48" s="4">
        <v>223</v>
      </c>
      <c r="B48" s="4" t="s">
        <v>100</v>
      </c>
      <c r="D48" s="4" t="s">
        <v>56</v>
      </c>
      <c r="F48" s="69">
        <v>0</v>
      </c>
      <c r="G48" s="69"/>
      <c r="H48" s="69">
        <v>324260.84000000003</v>
      </c>
      <c r="I48" s="69"/>
      <c r="J48" s="69">
        <v>0</v>
      </c>
      <c r="K48" s="69"/>
      <c r="L48" s="69">
        <v>1543</v>
      </c>
      <c r="M48" s="69"/>
      <c r="N48" s="69">
        <v>0</v>
      </c>
      <c r="O48" s="69"/>
      <c r="P48" s="69">
        <v>7840.66</v>
      </c>
      <c r="Q48" s="69"/>
      <c r="R48" s="69">
        <v>0</v>
      </c>
      <c r="S48" s="69"/>
      <c r="T48" s="69">
        <v>4372.91</v>
      </c>
      <c r="U48" s="69"/>
      <c r="V48" s="69">
        <v>9785.2999999999993</v>
      </c>
      <c r="W48" s="69"/>
      <c r="X48" s="69">
        <v>11361.84</v>
      </c>
      <c r="Y48" s="69"/>
      <c r="Z48" s="69">
        <v>0</v>
      </c>
      <c r="AA48" s="69"/>
      <c r="AB48" s="69">
        <v>0</v>
      </c>
      <c r="AC48" s="69"/>
      <c r="AD48" s="69">
        <v>0</v>
      </c>
      <c r="AE48" s="69"/>
      <c r="AF48" s="69">
        <v>0</v>
      </c>
      <c r="AH48" s="4">
        <f t="shared" si="1"/>
        <v>359164.55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4" customFormat="1">
      <c r="A49" s="4">
        <v>23</v>
      </c>
      <c r="B49" s="4" t="s">
        <v>475</v>
      </c>
      <c r="D49" s="4" t="s">
        <v>47</v>
      </c>
      <c r="F49" s="69">
        <v>0</v>
      </c>
      <c r="G49" s="69"/>
      <c r="H49" s="69">
        <v>599269.9</v>
      </c>
      <c r="I49" s="69"/>
      <c r="J49" s="69">
        <v>0</v>
      </c>
      <c r="K49" s="69"/>
      <c r="L49" s="69">
        <v>478724.89</v>
      </c>
      <c r="M49" s="69"/>
      <c r="N49" s="69">
        <v>0</v>
      </c>
      <c r="O49" s="69"/>
      <c r="P49" s="69">
        <v>32356.61</v>
      </c>
      <c r="Q49" s="69"/>
      <c r="R49" s="69">
        <v>0</v>
      </c>
      <c r="S49" s="69"/>
      <c r="T49" s="69">
        <v>32380.59</v>
      </c>
      <c r="U49" s="69"/>
      <c r="V49" s="69">
        <v>369.89</v>
      </c>
      <c r="W49" s="69"/>
      <c r="X49" s="69">
        <v>3656.54</v>
      </c>
      <c r="Y49" s="69"/>
      <c r="Z49" s="69">
        <v>0</v>
      </c>
      <c r="AA49" s="69"/>
      <c r="AB49" s="69">
        <v>30000</v>
      </c>
      <c r="AC49" s="69"/>
      <c r="AD49" s="69">
        <v>7500</v>
      </c>
      <c r="AE49" s="69"/>
      <c r="AF49" s="69">
        <v>0</v>
      </c>
      <c r="AH49" s="4">
        <f t="shared" si="1"/>
        <v>1184258.4200000002</v>
      </c>
    </row>
    <row r="50" spans="1:66" s="4" customFormat="1">
      <c r="A50" s="4">
        <v>194</v>
      </c>
      <c r="B50" s="4" t="s">
        <v>101</v>
      </c>
      <c r="D50" s="4" t="s">
        <v>102</v>
      </c>
      <c r="F50" s="69">
        <v>0</v>
      </c>
      <c r="G50" s="69">
        <v>0</v>
      </c>
      <c r="H50" s="69">
        <v>93540.5</v>
      </c>
      <c r="I50" s="69">
        <v>0</v>
      </c>
      <c r="J50" s="69">
        <v>0</v>
      </c>
      <c r="K50" s="69">
        <v>0</v>
      </c>
      <c r="L50" s="69">
        <v>2000</v>
      </c>
      <c r="M50" s="69">
        <v>0</v>
      </c>
      <c r="N50" s="69">
        <v>0</v>
      </c>
      <c r="O50" s="69">
        <v>0</v>
      </c>
      <c r="P50" s="69">
        <v>7632.56</v>
      </c>
      <c r="Q50" s="69">
        <v>0</v>
      </c>
      <c r="R50" s="69">
        <v>0</v>
      </c>
      <c r="S50" s="69">
        <v>0</v>
      </c>
      <c r="T50" s="69">
        <v>2791.29</v>
      </c>
      <c r="U50" s="69">
        <v>0</v>
      </c>
      <c r="V50" s="69">
        <v>1381.83</v>
      </c>
      <c r="W50" s="69">
        <v>0</v>
      </c>
      <c r="X50" s="69">
        <v>950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H50" s="4">
        <f t="shared" si="1"/>
        <v>108296.18</v>
      </c>
    </row>
    <row r="51" spans="1:66" s="4" customFormat="1">
      <c r="A51" s="4">
        <v>46</v>
      </c>
      <c r="B51" s="4" t="s">
        <v>103</v>
      </c>
      <c r="D51" s="4" t="s">
        <v>52</v>
      </c>
      <c r="F51" s="69">
        <v>0</v>
      </c>
      <c r="G51" s="69">
        <v>0</v>
      </c>
      <c r="H51" s="69">
        <v>486105.71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11766.9</v>
      </c>
      <c r="Q51" s="69">
        <v>0</v>
      </c>
      <c r="R51" s="69">
        <v>0</v>
      </c>
      <c r="S51" s="69">
        <v>0</v>
      </c>
      <c r="T51" s="69">
        <v>100663.02</v>
      </c>
      <c r="U51" s="69">
        <v>0</v>
      </c>
      <c r="V51" s="69">
        <v>5431.99</v>
      </c>
      <c r="W51" s="69">
        <v>0</v>
      </c>
      <c r="X51" s="69">
        <v>9853.19</v>
      </c>
      <c r="Y51" s="69">
        <v>0</v>
      </c>
      <c r="Z51" s="69">
        <v>0</v>
      </c>
      <c r="AA51" s="69">
        <v>0</v>
      </c>
      <c r="AB51" s="69">
        <v>264389.17</v>
      </c>
      <c r="AC51" s="69">
        <v>0</v>
      </c>
      <c r="AD51" s="69">
        <v>0</v>
      </c>
      <c r="AE51" s="69">
        <v>0</v>
      </c>
      <c r="AF51" s="69">
        <v>0</v>
      </c>
      <c r="AH51" s="4">
        <f t="shared" si="1"/>
        <v>878209.98</v>
      </c>
    </row>
    <row r="52" spans="1:66" s="4" customFormat="1">
      <c r="A52" s="4">
        <v>89</v>
      </c>
      <c r="B52" s="4" t="s">
        <v>104</v>
      </c>
      <c r="D52" s="4" t="s">
        <v>17</v>
      </c>
      <c r="F52" s="69">
        <v>228089.08</v>
      </c>
      <c r="G52" s="69"/>
      <c r="H52" s="69">
        <v>415823.32</v>
      </c>
      <c r="I52" s="69"/>
      <c r="J52" s="69">
        <v>0</v>
      </c>
      <c r="K52" s="69"/>
      <c r="L52" s="69">
        <v>57311.09</v>
      </c>
      <c r="M52" s="69"/>
      <c r="N52" s="69">
        <v>0</v>
      </c>
      <c r="O52" s="69"/>
      <c r="P52" s="69">
        <v>18755.73</v>
      </c>
      <c r="Q52" s="69"/>
      <c r="R52" s="69">
        <v>0</v>
      </c>
      <c r="S52" s="69"/>
      <c r="T52" s="69">
        <v>74405.75</v>
      </c>
      <c r="U52" s="69"/>
      <c r="V52" s="69">
        <v>2381.66</v>
      </c>
      <c r="W52" s="69"/>
      <c r="X52" s="69">
        <v>3258.77</v>
      </c>
      <c r="Y52" s="69"/>
      <c r="Z52" s="69">
        <v>56.37</v>
      </c>
      <c r="AA52" s="69"/>
      <c r="AB52" s="69">
        <v>0</v>
      </c>
      <c r="AC52" s="69"/>
      <c r="AD52" s="69">
        <v>0</v>
      </c>
      <c r="AE52" s="69"/>
      <c r="AF52" s="69">
        <v>0</v>
      </c>
      <c r="AH52" s="4">
        <f t="shared" si="1"/>
        <v>800081.77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4" customFormat="1">
      <c r="A53" s="4">
        <v>179</v>
      </c>
      <c r="B53" s="4" t="s">
        <v>105</v>
      </c>
      <c r="D53" s="4" t="s">
        <v>106</v>
      </c>
      <c r="F53" s="69">
        <v>0</v>
      </c>
      <c r="G53" s="69"/>
      <c r="H53" s="69">
        <v>349404.67</v>
      </c>
      <c r="I53" s="69"/>
      <c r="J53" s="69">
        <v>0</v>
      </c>
      <c r="K53" s="69"/>
      <c r="L53" s="69">
        <v>0</v>
      </c>
      <c r="M53" s="69"/>
      <c r="N53" s="69">
        <v>0</v>
      </c>
      <c r="O53" s="69"/>
      <c r="P53" s="69">
        <v>12144.94</v>
      </c>
      <c r="Q53" s="69"/>
      <c r="R53" s="69">
        <v>0</v>
      </c>
      <c r="S53" s="69"/>
      <c r="T53" s="69">
        <v>908.4</v>
      </c>
      <c r="U53" s="69"/>
      <c r="V53" s="69">
        <v>1068.1500000000001</v>
      </c>
      <c r="W53" s="69"/>
      <c r="X53" s="69">
        <v>157.5</v>
      </c>
      <c r="Y53" s="69"/>
      <c r="Z53" s="69">
        <v>0</v>
      </c>
      <c r="AA53" s="69"/>
      <c r="AB53" s="69">
        <v>0</v>
      </c>
      <c r="AC53" s="69"/>
      <c r="AD53" s="69">
        <v>0</v>
      </c>
      <c r="AE53" s="69"/>
      <c r="AF53" s="69">
        <v>0</v>
      </c>
      <c r="AH53" s="4">
        <f t="shared" si="1"/>
        <v>363683.66000000003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4" customFormat="1">
      <c r="A54" s="4">
        <v>209</v>
      </c>
      <c r="B54" s="4" t="s">
        <v>107</v>
      </c>
      <c r="D54" s="4" t="s">
        <v>25</v>
      </c>
      <c r="F54" s="69">
        <v>218803.26</v>
      </c>
      <c r="G54" s="69"/>
      <c r="H54" s="69">
        <v>484473.23</v>
      </c>
      <c r="I54" s="69"/>
      <c r="J54" s="69">
        <v>0</v>
      </c>
      <c r="K54" s="69"/>
      <c r="L54" s="69">
        <v>33249.980000000003</v>
      </c>
      <c r="M54" s="69"/>
      <c r="N54" s="69">
        <v>0</v>
      </c>
      <c r="O54" s="69"/>
      <c r="P54" s="69">
        <v>26604.19</v>
      </c>
      <c r="Q54" s="69"/>
      <c r="R54" s="69">
        <v>0</v>
      </c>
      <c r="S54" s="69"/>
      <c r="T54" s="69">
        <v>8043.28</v>
      </c>
      <c r="U54" s="69"/>
      <c r="V54" s="69">
        <v>2556.4499999999998</v>
      </c>
      <c r="W54" s="69"/>
      <c r="X54" s="69">
        <v>3403.54</v>
      </c>
      <c r="Y54" s="69"/>
      <c r="Z54" s="69">
        <v>0</v>
      </c>
      <c r="AA54" s="69"/>
      <c r="AB54" s="69">
        <v>0</v>
      </c>
      <c r="AC54" s="69"/>
      <c r="AD54" s="69">
        <v>0</v>
      </c>
      <c r="AE54" s="69"/>
      <c r="AF54" s="69">
        <v>156.37</v>
      </c>
      <c r="AH54" s="4">
        <f t="shared" si="1"/>
        <v>777290.29999999993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4" customFormat="1">
      <c r="A55" s="4">
        <v>174</v>
      </c>
      <c r="B55" s="4" t="s">
        <v>108</v>
      </c>
      <c r="D55" s="4" t="s">
        <v>68</v>
      </c>
      <c r="F55" s="69">
        <v>0</v>
      </c>
      <c r="G55" s="69">
        <v>0</v>
      </c>
      <c r="H55" s="69">
        <v>204473</v>
      </c>
      <c r="I55" s="69">
        <v>0</v>
      </c>
      <c r="J55" s="69">
        <v>0</v>
      </c>
      <c r="K55" s="69">
        <v>0</v>
      </c>
      <c r="L55" s="69">
        <v>2984</v>
      </c>
      <c r="M55" s="69">
        <v>0</v>
      </c>
      <c r="N55" s="69">
        <v>0</v>
      </c>
      <c r="O55" s="69">
        <v>0</v>
      </c>
      <c r="P55" s="69">
        <v>6974</v>
      </c>
      <c r="Q55" s="69">
        <v>0</v>
      </c>
      <c r="R55" s="69">
        <v>0</v>
      </c>
      <c r="S55" s="69">
        <v>0</v>
      </c>
      <c r="T55" s="69">
        <v>1491</v>
      </c>
      <c r="U55" s="69">
        <v>0</v>
      </c>
      <c r="V55" s="69">
        <v>2031</v>
      </c>
      <c r="W55" s="69">
        <v>0</v>
      </c>
      <c r="X55" s="69">
        <v>19841</v>
      </c>
      <c r="Y55" s="69">
        <v>0</v>
      </c>
      <c r="Z55" s="69">
        <v>859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H55" s="4">
        <f t="shared" si="1"/>
        <v>238653</v>
      </c>
    </row>
    <row r="56" spans="1:66" s="4" customFormat="1">
      <c r="A56" s="4">
        <v>73</v>
      </c>
      <c r="B56" s="4" t="s">
        <v>109</v>
      </c>
      <c r="D56" s="4" t="s">
        <v>110</v>
      </c>
      <c r="F56" s="69">
        <v>0</v>
      </c>
      <c r="G56" s="69">
        <v>0</v>
      </c>
      <c r="H56" s="69">
        <v>797721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20069</v>
      </c>
      <c r="Q56" s="69">
        <v>0</v>
      </c>
      <c r="R56" s="69">
        <v>0</v>
      </c>
      <c r="S56" s="69">
        <v>0</v>
      </c>
      <c r="T56" s="69">
        <v>65868</v>
      </c>
      <c r="U56" s="69">
        <v>0</v>
      </c>
      <c r="V56" s="69">
        <v>9181</v>
      </c>
      <c r="W56" s="69">
        <v>0</v>
      </c>
      <c r="X56" s="69">
        <v>10383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H56" s="4">
        <f t="shared" si="1"/>
        <v>903222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4" customFormat="1">
      <c r="A57" s="4">
        <v>27</v>
      </c>
      <c r="B57" s="4" t="s">
        <v>594</v>
      </c>
      <c r="D57" s="4" t="s">
        <v>48</v>
      </c>
      <c r="F57" s="69">
        <v>0</v>
      </c>
      <c r="G57" s="69"/>
      <c r="H57" s="69">
        <v>551337.27</v>
      </c>
      <c r="I57" s="69"/>
      <c r="J57" s="69">
        <v>0</v>
      </c>
      <c r="K57" s="69"/>
      <c r="L57" s="69">
        <v>71.8</v>
      </c>
      <c r="M57" s="69"/>
      <c r="N57" s="69">
        <v>0</v>
      </c>
      <c r="O57" s="69"/>
      <c r="P57" s="69">
        <v>35304.9</v>
      </c>
      <c r="Q57" s="69"/>
      <c r="R57" s="69">
        <v>0</v>
      </c>
      <c r="S57" s="69"/>
      <c r="T57" s="69">
        <v>28497.45</v>
      </c>
      <c r="U57" s="69"/>
      <c r="V57" s="69">
        <v>2889.51</v>
      </c>
      <c r="W57" s="69"/>
      <c r="X57" s="69">
        <v>1902.84</v>
      </c>
      <c r="Y57" s="69"/>
      <c r="Z57" s="69">
        <v>0</v>
      </c>
      <c r="AA57" s="69"/>
      <c r="AB57" s="69">
        <v>0</v>
      </c>
      <c r="AC57" s="69"/>
      <c r="AD57" s="69">
        <v>0</v>
      </c>
      <c r="AE57" s="69"/>
      <c r="AF57" s="69">
        <v>0</v>
      </c>
      <c r="AH57" s="4">
        <f t="shared" si="1"/>
        <v>620003.77</v>
      </c>
    </row>
    <row r="58" spans="1:66" s="4" customFormat="1">
      <c r="A58" s="4">
        <v>121</v>
      </c>
      <c r="B58" s="4" t="s">
        <v>111</v>
      </c>
      <c r="D58" s="4" t="s">
        <v>16</v>
      </c>
      <c r="F58" s="69">
        <v>0</v>
      </c>
      <c r="G58" s="69">
        <v>0</v>
      </c>
      <c r="H58" s="69">
        <v>223068.03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7274.3</v>
      </c>
      <c r="Q58" s="69">
        <v>0</v>
      </c>
      <c r="R58" s="69">
        <v>0</v>
      </c>
      <c r="S58" s="69">
        <v>0</v>
      </c>
      <c r="T58" s="69">
        <v>180</v>
      </c>
      <c r="U58" s="69">
        <v>0</v>
      </c>
      <c r="V58" s="69">
        <v>1368.75</v>
      </c>
      <c r="W58" s="69">
        <v>0</v>
      </c>
      <c r="X58" s="69">
        <v>514.71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H58" s="4">
        <f t="shared" si="1"/>
        <v>232405.78999999998</v>
      </c>
    </row>
    <row r="59" spans="1:66" s="4" customFormat="1">
      <c r="A59" s="4">
        <v>28</v>
      </c>
      <c r="B59" s="4" t="s">
        <v>595</v>
      </c>
      <c r="D59" s="4" t="s">
        <v>62</v>
      </c>
      <c r="F59" s="69">
        <v>94731.7</v>
      </c>
      <c r="G59" s="69"/>
      <c r="H59" s="69">
        <v>555942.46</v>
      </c>
      <c r="I59" s="69"/>
      <c r="J59" s="69">
        <v>0</v>
      </c>
      <c r="K59" s="69"/>
      <c r="L59" s="69">
        <v>52868.59</v>
      </c>
      <c r="M59" s="69"/>
      <c r="N59" s="69">
        <v>0</v>
      </c>
      <c r="O59" s="69"/>
      <c r="P59" s="69">
        <v>38744.699999999997</v>
      </c>
      <c r="Q59" s="69"/>
      <c r="R59" s="69">
        <v>0</v>
      </c>
      <c r="S59" s="69"/>
      <c r="T59" s="69">
        <v>40520.61</v>
      </c>
      <c r="U59" s="69"/>
      <c r="V59" s="69">
        <v>4172.7700000000004</v>
      </c>
      <c r="W59" s="69"/>
      <c r="X59" s="69">
        <v>10069.33</v>
      </c>
      <c r="Y59" s="69"/>
      <c r="Z59" s="69">
        <v>0</v>
      </c>
      <c r="AA59" s="69"/>
      <c r="AB59" s="69">
        <v>50046.74</v>
      </c>
      <c r="AC59" s="69"/>
      <c r="AD59" s="69">
        <v>0</v>
      </c>
      <c r="AE59" s="69"/>
      <c r="AF59" s="69">
        <v>0</v>
      </c>
      <c r="AH59" s="4">
        <f t="shared" si="1"/>
        <v>847096.89999999979</v>
      </c>
    </row>
    <row r="60" spans="1:66" s="4" customFormat="1">
      <c r="A60" s="4">
        <v>199</v>
      </c>
      <c r="B60" s="4" t="s">
        <v>112</v>
      </c>
      <c r="D60" s="4" t="s">
        <v>49</v>
      </c>
      <c r="F60" s="69">
        <v>0</v>
      </c>
      <c r="G60" s="69"/>
      <c r="H60" s="69">
        <v>2035151.08</v>
      </c>
      <c r="I60" s="69"/>
      <c r="J60" s="69">
        <v>0</v>
      </c>
      <c r="K60" s="69"/>
      <c r="L60" s="69">
        <v>16401.21</v>
      </c>
      <c r="M60" s="69"/>
      <c r="N60" s="69">
        <v>0</v>
      </c>
      <c r="O60" s="69"/>
      <c r="P60" s="69">
        <v>45417.5</v>
      </c>
      <c r="Q60" s="69"/>
      <c r="R60" s="69">
        <v>0</v>
      </c>
      <c r="S60" s="69"/>
      <c r="T60" s="69">
        <v>17831.91</v>
      </c>
      <c r="U60" s="69"/>
      <c r="V60" s="69">
        <v>3204.93</v>
      </c>
      <c r="W60" s="69"/>
      <c r="X60" s="69">
        <v>23659.200000000001</v>
      </c>
      <c r="Y60" s="69"/>
      <c r="Z60" s="69">
        <v>0</v>
      </c>
      <c r="AA60" s="69"/>
      <c r="AB60" s="69">
        <v>0</v>
      </c>
      <c r="AC60" s="69"/>
      <c r="AD60" s="69">
        <v>0</v>
      </c>
      <c r="AE60" s="69"/>
      <c r="AF60" s="69">
        <v>0</v>
      </c>
      <c r="AH60" s="4">
        <f t="shared" si="1"/>
        <v>2141665.8300000005</v>
      </c>
    </row>
    <row r="61" spans="1:66" s="4" customFormat="1">
      <c r="A61" s="4">
        <v>199</v>
      </c>
      <c r="B61" s="4" t="s">
        <v>626</v>
      </c>
      <c r="D61" s="4" t="s">
        <v>580</v>
      </c>
      <c r="F61" s="69">
        <v>17637711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38977457</v>
      </c>
      <c r="M61" s="69">
        <v>0</v>
      </c>
      <c r="N61" s="69">
        <v>0</v>
      </c>
      <c r="O61" s="69">
        <v>0</v>
      </c>
      <c r="P61" s="69">
        <v>1950189</v>
      </c>
      <c r="Q61" s="69">
        <v>0</v>
      </c>
      <c r="R61" s="69">
        <v>33323</v>
      </c>
      <c r="S61" s="69">
        <v>0</v>
      </c>
      <c r="T61" s="69">
        <v>268006</v>
      </c>
      <c r="U61" s="69">
        <v>0</v>
      </c>
      <c r="V61" s="69">
        <v>29558</v>
      </c>
      <c r="W61" s="69">
        <v>0</v>
      </c>
      <c r="X61" s="69">
        <v>701110</v>
      </c>
      <c r="Y61" s="69">
        <v>0</v>
      </c>
      <c r="Z61" s="69">
        <v>0</v>
      </c>
      <c r="AA61" s="69">
        <v>0</v>
      </c>
      <c r="AB61" s="69">
        <v>2500000</v>
      </c>
      <c r="AC61" s="69">
        <v>0</v>
      </c>
      <c r="AD61" s="69">
        <v>0</v>
      </c>
      <c r="AE61" s="69">
        <v>0</v>
      </c>
      <c r="AF61" s="69">
        <v>55000</v>
      </c>
      <c r="AH61" s="4">
        <f t="shared" ref="AH61" si="2">SUM(F61:AF61)</f>
        <v>62152354</v>
      </c>
    </row>
    <row r="62" spans="1:66" s="4" customFormat="1">
      <c r="A62" s="4">
        <v>32</v>
      </c>
      <c r="B62" s="4" t="s">
        <v>113</v>
      </c>
      <c r="D62" s="4" t="s">
        <v>114</v>
      </c>
      <c r="F62" s="69">
        <v>0</v>
      </c>
      <c r="G62" s="69">
        <v>0</v>
      </c>
      <c r="H62" s="69">
        <v>3733837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104611</v>
      </c>
      <c r="Q62" s="69">
        <v>0</v>
      </c>
      <c r="R62" s="69">
        <v>400</v>
      </c>
      <c r="S62" s="69">
        <v>0</v>
      </c>
      <c r="T62" s="69">
        <v>73325</v>
      </c>
      <c r="U62" s="69">
        <v>0</v>
      </c>
      <c r="V62" s="69">
        <v>22705</v>
      </c>
      <c r="W62" s="69">
        <v>0</v>
      </c>
      <c r="X62" s="69">
        <v>70033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19423</v>
      </c>
      <c r="AH62" s="4">
        <f t="shared" si="1"/>
        <v>4024334</v>
      </c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4" customFormat="1">
      <c r="A63" s="4">
        <v>231</v>
      </c>
      <c r="B63" s="4" t="s">
        <v>301</v>
      </c>
      <c r="D63" s="4" t="s">
        <v>26</v>
      </c>
      <c r="F63" s="69">
        <v>0</v>
      </c>
      <c r="G63" s="69"/>
      <c r="H63" s="69">
        <v>335043.03000000003</v>
      </c>
      <c r="I63" s="69"/>
      <c r="J63" s="69">
        <v>0</v>
      </c>
      <c r="K63" s="69"/>
      <c r="L63" s="69">
        <v>1950</v>
      </c>
      <c r="M63" s="69"/>
      <c r="N63" s="69">
        <v>0</v>
      </c>
      <c r="O63" s="69"/>
      <c r="P63" s="69">
        <v>11348.73</v>
      </c>
      <c r="Q63" s="69"/>
      <c r="R63" s="69">
        <v>0</v>
      </c>
      <c r="S63" s="69"/>
      <c r="T63" s="69">
        <v>3407.07</v>
      </c>
      <c r="U63" s="69"/>
      <c r="V63" s="69">
        <v>3451.31</v>
      </c>
      <c r="W63" s="69"/>
      <c r="X63" s="69">
        <v>4226.47</v>
      </c>
      <c r="Y63" s="69"/>
      <c r="Z63" s="69">
        <v>0</v>
      </c>
      <c r="AA63" s="69"/>
      <c r="AB63" s="69">
        <v>0</v>
      </c>
      <c r="AC63" s="69"/>
      <c r="AD63" s="69">
        <v>0</v>
      </c>
      <c r="AE63" s="69"/>
      <c r="AF63" s="69">
        <v>0</v>
      </c>
      <c r="AH63" s="4">
        <f t="shared" si="1"/>
        <v>359426.61</v>
      </c>
    </row>
    <row r="64" spans="1:66" s="4" customFormat="1">
      <c r="A64" s="4">
        <v>34</v>
      </c>
      <c r="B64" s="4" t="s">
        <v>115</v>
      </c>
      <c r="D64" s="4" t="s">
        <v>116</v>
      </c>
      <c r="F64" s="69">
        <v>3435300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5213954</v>
      </c>
      <c r="M64" s="69">
        <v>0</v>
      </c>
      <c r="N64" s="69">
        <v>0</v>
      </c>
      <c r="O64" s="69">
        <v>0</v>
      </c>
      <c r="P64" s="69">
        <v>235652</v>
      </c>
      <c r="Q64" s="69">
        <v>0</v>
      </c>
      <c r="R64" s="69">
        <v>0</v>
      </c>
      <c r="S64" s="69">
        <v>0</v>
      </c>
      <c r="T64" s="69">
        <v>34895</v>
      </c>
      <c r="U64" s="69">
        <v>0</v>
      </c>
      <c r="V64" s="69">
        <v>9666</v>
      </c>
      <c r="W64" s="69">
        <v>0</v>
      </c>
      <c r="X64" s="69">
        <v>59858</v>
      </c>
      <c r="Y64" s="69">
        <v>0</v>
      </c>
      <c r="Z64" s="69">
        <v>58398</v>
      </c>
      <c r="AA64" s="69">
        <v>0</v>
      </c>
      <c r="AB64" s="69">
        <v>923000</v>
      </c>
      <c r="AC64" s="69">
        <v>0</v>
      </c>
      <c r="AD64" s="69">
        <v>1007000</v>
      </c>
      <c r="AE64" s="69">
        <v>0</v>
      </c>
      <c r="AF64" s="69">
        <v>0</v>
      </c>
      <c r="AH64" s="4">
        <f t="shared" si="1"/>
        <v>10977723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4" customFormat="1">
      <c r="A65" s="4">
        <v>49</v>
      </c>
      <c r="B65" s="4" t="s">
        <v>427</v>
      </c>
      <c r="D65" s="4" t="s">
        <v>19</v>
      </c>
      <c r="F65" s="69">
        <v>5553935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3487887</v>
      </c>
      <c r="M65" s="69">
        <v>0</v>
      </c>
      <c r="N65" s="69">
        <v>39201</v>
      </c>
      <c r="O65" s="69">
        <v>0</v>
      </c>
      <c r="P65" s="69">
        <v>107142</v>
      </c>
      <c r="Q65" s="69">
        <v>0</v>
      </c>
      <c r="R65" s="69">
        <v>0</v>
      </c>
      <c r="S65" s="69">
        <v>0</v>
      </c>
      <c r="T65" s="69">
        <v>17506</v>
      </c>
      <c r="U65" s="69">
        <v>0</v>
      </c>
      <c r="V65" s="69">
        <v>21094</v>
      </c>
      <c r="W65" s="69">
        <v>0</v>
      </c>
      <c r="X65" s="69">
        <v>22689</v>
      </c>
      <c r="Y65" s="69">
        <v>0</v>
      </c>
      <c r="Z65" s="69">
        <v>0</v>
      </c>
      <c r="AA65" s="69">
        <v>0</v>
      </c>
      <c r="AB65" s="69">
        <v>614500</v>
      </c>
      <c r="AC65" s="69">
        <v>0</v>
      </c>
      <c r="AD65" s="69">
        <v>0</v>
      </c>
      <c r="AE65" s="69">
        <v>0</v>
      </c>
      <c r="AF65" s="69">
        <v>0</v>
      </c>
      <c r="AH65" s="4">
        <f t="shared" si="1"/>
        <v>9863954</v>
      </c>
    </row>
    <row r="66" spans="1:66" s="4" customFormat="1">
      <c r="A66" s="4">
        <v>50</v>
      </c>
      <c r="B66" s="4" t="s">
        <v>428</v>
      </c>
      <c r="D66" s="4" t="s">
        <v>19</v>
      </c>
      <c r="F66" s="69">
        <v>29409031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31094455</v>
      </c>
      <c r="M66" s="69">
        <v>0</v>
      </c>
      <c r="N66" s="69">
        <v>0</v>
      </c>
      <c r="O66" s="69">
        <v>0</v>
      </c>
      <c r="P66" s="69">
        <v>427313</v>
      </c>
      <c r="Q66" s="69">
        <v>0</v>
      </c>
      <c r="R66" s="69">
        <v>2641277</v>
      </c>
      <c r="S66" s="69">
        <v>0</v>
      </c>
      <c r="T66" s="69">
        <v>700488</v>
      </c>
      <c r="U66" s="69">
        <v>0</v>
      </c>
      <c r="V66" s="69">
        <v>2064403</v>
      </c>
      <c r="W66" s="69">
        <v>0</v>
      </c>
      <c r="X66" s="69">
        <v>483610</v>
      </c>
      <c r="Y66" s="69">
        <v>0</v>
      </c>
      <c r="Z66" s="69">
        <v>0</v>
      </c>
      <c r="AA66" s="69">
        <v>0</v>
      </c>
      <c r="AB66" s="69">
        <v>5054600</v>
      </c>
      <c r="AC66" s="69">
        <v>0</v>
      </c>
      <c r="AD66" s="69">
        <v>0</v>
      </c>
      <c r="AE66" s="69">
        <v>0</v>
      </c>
      <c r="AF66" s="69">
        <v>0</v>
      </c>
      <c r="AH66" s="4">
        <f t="shared" si="1"/>
        <v>71875177</v>
      </c>
    </row>
    <row r="67" spans="1:66" s="4" customFormat="1">
      <c r="A67" s="4">
        <v>201</v>
      </c>
      <c r="B67" s="4" t="s">
        <v>117</v>
      </c>
      <c r="D67" s="4" t="s">
        <v>94</v>
      </c>
      <c r="F67" s="69">
        <v>142581.13</v>
      </c>
      <c r="G67" s="69"/>
      <c r="H67" s="69">
        <v>267710.65999999997</v>
      </c>
      <c r="I67" s="69"/>
      <c r="J67" s="69">
        <v>0</v>
      </c>
      <c r="K67" s="69"/>
      <c r="L67" s="69">
        <v>69548.03</v>
      </c>
      <c r="M67" s="69"/>
      <c r="N67" s="69">
        <v>0</v>
      </c>
      <c r="O67" s="69"/>
      <c r="P67" s="69">
        <v>14525.33</v>
      </c>
      <c r="Q67" s="69"/>
      <c r="R67" s="69">
        <v>0</v>
      </c>
      <c r="S67" s="69"/>
      <c r="T67" s="69">
        <v>517851.66</v>
      </c>
      <c r="U67" s="69"/>
      <c r="V67" s="69">
        <v>5766.5</v>
      </c>
      <c r="W67" s="69"/>
      <c r="X67" s="69">
        <v>1599.6</v>
      </c>
      <c r="Y67" s="69"/>
      <c r="Z67" s="69">
        <v>0</v>
      </c>
      <c r="AA67" s="69"/>
      <c r="AB67" s="69">
        <v>75589.66</v>
      </c>
      <c r="AC67" s="69"/>
      <c r="AD67" s="69">
        <v>0</v>
      </c>
      <c r="AE67" s="69"/>
      <c r="AF67" s="69">
        <v>0</v>
      </c>
      <c r="AH67" s="4">
        <f t="shared" si="1"/>
        <v>1095172.5699999998</v>
      </c>
    </row>
    <row r="68" spans="1:66" s="4" customFormat="1">
      <c r="A68" s="4">
        <v>158</v>
      </c>
      <c r="B68" s="4" t="s">
        <v>492</v>
      </c>
      <c r="D68" s="4" t="s">
        <v>50</v>
      </c>
      <c r="F68" s="69">
        <v>0</v>
      </c>
      <c r="G68" s="69"/>
      <c r="H68" s="69">
        <v>195913.52</v>
      </c>
      <c r="I68" s="69"/>
      <c r="J68" s="69">
        <v>0</v>
      </c>
      <c r="K68" s="69"/>
      <c r="L68" s="69">
        <v>0</v>
      </c>
      <c r="M68" s="69"/>
      <c r="N68" s="69">
        <v>0</v>
      </c>
      <c r="O68" s="69"/>
      <c r="P68" s="69">
        <v>7161.92</v>
      </c>
      <c r="Q68" s="69"/>
      <c r="R68" s="69">
        <v>0</v>
      </c>
      <c r="S68" s="69"/>
      <c r="T68" s="69">
        <v>3260.86</v>
      </c>
      <c r="U68" s="69"/>
      <c r="V68" s="69">
        <v>555.49</v>
      </c>
      <c r="W68" s="69"/>
      <c r="X68" s="69">
        <v>96.18</v>
      </c>
      <c r="Y68" s="69"/>
      <c r="Z68" s="69">
        <v>1010.65</v>
      </c>
      <c r="AA68" s="69"/>
      <c r="AB68" s="69">
        <v>0</v>
      </c>
      <c r="AC68" s="69"/>
      <c r="AD68" s="69">
        <v>0</v>
      </c>
      <c r="AE68" s="69"/>
      <c r="AF68" s="69">
        <v>0</v>
      </c>
      <c r="AH68" s="4">
        <f t="shared" si="1"/>
        <v>207998.61999999997</v>
      </c>
    </row>
    <row r="69" spans="1:66" s="4" customFormat="1">
      <c r="A69" s="4">
        <v>38</v>
      </c>
      <c r="B69" s="4" t="s">
        <v>454</v>
      </c>
      <c r="D69" s="4" t="s">
        <v>51</v>
      </c>
      <c r="F69" s="69">
        <v>0</v>
      </c>
      <c r="G69" s="69"/>
      <c r="H69" s="69">
        <v>678333.31</v>
      </c>
      <c r="I69" s="69"/>
      <c r="J69" s="69">
        <v>0</v>
      </c>
      <c r="K69" s="69"/>
      <c r="L69" s="69">
        <v>0</v>
      </c>
      <c r="M69" s="69"/>
      <c r="N69" s="69">
        <v>0</v>
      </c>
      <c r="O69" s="69"/>
      <c r="P69" s="69">
        <v>37094.949999999997</v>
      </c>
      <c r="Q69" s="69"/>
      <c r="R69" s="69">
        <v>0</v>
      </c>
      <c r="S69" s="69"/>
      <c r="T69" s="69">
        <v>3595.3</v>
      </c>
      <c r="U69" s="69"/>
      <c r="V69" s="69">
        <v>18174.64</v>
      </c>
      <c r="W69" s="69"/>
      <c r="X69" s="69">
        <v>12057.59</v>
      </c>
      <c r="Y69" s="69"/>
      <c r="Z69" s="69">
        <v>0</v>
      </c>
      <c r="AA69" s="69"/>
      <c r="AB69" s="69">
        <v>0</v>
      </c>
      <c r="AC69" s="69"/>
      <c r="AD69" s="69">
        <v>0</v>
      </c>
      <c r="AE69" s="69"/>
      <c r="AF69" s="69">
        <v>0</v>
      </c>
      <c r="AH69" s="4">
        <f t="shared" si="1"/>
        <v>749255.79</v>
      </c>
    </row>
    <row r="70" spans="1:66" s="4" customFormat="1">
      <c r="A70" s="4">
        <v>76</v>
      </c>
      <c r="B70" s="4" t="s">
        <v>118</v>
      </c>
      <c r="D70" s="4" t="s">
        <v>92</v>
      </c>
      <c r="F70" s="69">
        <v>21124769</v>
      </c>
      <c r="G70" s="69">
        <v>0</v>
      </c>
      <c r="H70" s="69">
        <v>18848449</v>
      </c>
      <c r="I70" s="69">
        <v>0</v>
      </c>
      <c r="J70" s="69">
        <v>0</v>
      </c>
      <c r="K70" s="69">
        <v>0</v>
      </c>
      <c r="L70" s="69">
        <v>465743</v>
      </c>
      <c r="M70" s="69">
        <v>0</v>
      </c>
      <c r="N70" s="69">
        <v>0</v>
      </c>
      <c r="O70" s="69">
        <v>0</v>
      </c>
      <c r="P70" s="69">
        <v>1549099</v>
      </c>
      <c r="Q70" s="69">
        <v>0</v>
      </c>
      <c r="R70" s="69">
        <v>684567</v>
      </c>
      <c r="S70" s="69">
        <v>0</v>
      </c>
      <c r="T70" s="69">
        <v>848505</v>
      </c>
      <c r="U70" s="69">
        <v>0</v>
      </c>
      <c r="V70" s="69">
        <v>256894</v>
      </c>
      <c r="W70" s="69">
        <v>0</v>
      </c>
      <c r="X70" s="69">
        <v>792438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44200</v>
      </c>
      <c r="AE70" s="69">
        <v>0</v>
      </c>
      <c r="AF70" s="69">
        <v>0</v>
      </c>
      <c r="AH70" s="4">
        <f t="shared" si="1"/>
        <v>44614664</v>
      </c>
    </row>
    <row r="71" spans="1:66" s="4" customFormat="1" ht="12.75">
      <c r="A71" s="4">
        <v>63</v>
      </c>
      <c r="B71" s="4" t="s">
        <v>363</v>
      </c>
      <c r="D71" s="4" t="s">
        <v>70</v>
      </c>
      <c r="F71" s="69">
        <v>656282.57999999996</v>
      </c>
      <c r="G71" s="69"/>
      <c r="H71" s="69">
        <v>482166.18</v>
      </c>
      <c r="I71" s="69"/>
      <c r="J71" s="69">
        <v>0</v>
      </c>
      <c r="K71" s="69"/>
      <c r="L71" s="69">
        <v>23077.11</v>
      </c>
      <c r="M71" s="69"/>
      <c r="N71" s="69">
        <v>0</v>
      </c>
      <c r="O71" s="69"/>
      <c r="P71" s="69">
        <v>22290.23</v>
      </c>
      <c r="Q71" s="69"/>
      <c r="R71" s="69">
        <v>0</v>
      </c>
      <c r="S71" s="69"/>
      <c r="T71" s="69">
        <v>12630.58</v>
      </c>
      <c r="U71" s="69"/>
      <c r="V71" s="69">
        <v>3896.52</v>
      </c>
      <c r="W71" s="69"/>
      <c r="X71" s="69">
        <v>977.73</v>
      </c>
      <c r="Y71" s="69"/>
      <c r="Z71" s="69">
        <v>0</v>
      </c>
      <c r="AA71" s="69"/>
      <c r="AB71" s="69">
        <v>537741.07999999996</v>
      </c>
      <c r="AC71" s="69"/>
      <c r="AD71" s="69">
        <v>0</v>
      </c>
      <c r="AE71" s="69"/>
      <c r="AF71" s="69">
        <v>0</v>
      </c>
      <c r="AG71"/>
      <c r="AH71" s="4">
        <f t="shared" si="1"/>
        <v>1739062.0100000002</v>
      </c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4" customFormat="1">
      <c r="A72" s="4">
        <v>10</v>
      </c>
      <c r="B72" s="4" t="s">
        <v>119</v>
      </c>
      <c r="D72" s="4" t="s">
        <v>43</v>
      </c>
      <c r="F72" s="69">
        <v>421816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4879</v>
      </c>
      <c r="Q72" s="69">
        <v>0</v>
      </c>
      <c r="R72" s="69">
        <v>165</v>
      </c>
      <c r="S72" s="69">
        <v>0</v>
      </c>
      <c r="T72" s="69">
        <v>5572</v>
      </c>
      <c r="U72" s="69">
        <v>0</v>
      </c>
      <c r="V72" s="69">
        <v>4325</v>
      </c>
      <c r="W72" s="69">
        <v>0</v>
      </c>
      <c r="X72" s="69">
        <v>12765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H72" s="4">
        <f t="shared" si="1"/>
        <v>449522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4" customFormat="1">
      <c r="A73" s="4">
        <v>45</v>
      </c>
      <c r="B73" s="4" t="s">
        <v>120</v>
      </c>
      <c r="D73" s="4" t="s">
        <v>121</v>
      </c>
      <c r="F73" s="69">
        <v>0</v>
      </c>
      <c r="G73" s="69">
        <v>0</v>
      </c>
      <c r="H73" s="69">
        <v>1050441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34661</v>
      </c>
      <c r="Q73" s="69">
        <v>0</v>
      </c>
      <c r="R73" s="69">
        <v>10097</v>
      </c>
      <c r="S73" s="69">
        <v>0</v>
      </c>
      <c r="T73" s="69">
        <v>129062</v>
      </c>
      <c r="U73" s="69">
        <v>0</v>
      </c>
      <c r="V73" s="69">
        <v>31687</v>
      </c>
      <c r="W73" s="69">
        <v>0</v>
      </c>
      <c r="X73" s="69">
        <v>9564</v>
      </c>
      <c r="Y73" s="69">
        <v>0</v>
      </c>
      <c r="Z73" s="69">
        <v>202</v>
      </c>
      <c r="AA73" s="69">
        <v>0</v>
      </c>
      <c r="AB73" s="69">
        <v>49009</v>
      </c>
      <c r="AC73" s="69">
        <v>0</v>
      </c>
      <c r="AD73" s="69">
        <v>0</v>
      </c>
      <c r="AE73" s="69">
        <v>0</v>
      </c>
      <c r="AF73" s="69">
        <v>0</v>
      </c>
      <c r="AH73" s="4">
        <f t="shared" si="1"/>
        <v>1314723</v>
      </c>
    </row>
    <row r="74" spans="1:66" s="4" customFormat="1">
      <c r="A74" s="4">
        <v>47</v>
      </c>
      <c r="B74" s="4" t="s">
        <v>122</v>
      </c>
      <c r="D74" s="4" t="s">
        <v>52</v>
      </c>
      <c r="F74" s="69">
        <v>0</v>
      </c>
      <c r="G74" s="69"/>
      <c r="H74" s="69">
        <v>402772.47999999998</v>
      </c>
      <c r="I74" s="69"/>
      <c r="J74" s="69">
        <v>0</v>
      </c>
      <c r="K74" s="69"/>
      <c r="L74" s="69">
        <v>0</v>
      </c>
      <c r="M74" s="69"/>
      <c r="N74" s="69">
        <v>0</v>
      </c>
      <c r="O74" s="69"/>
      <c r="P74" s="69">
        <v>11009.2</v>
      </c>
      <c r="Q74" s="69"/>
      <c r="R74" s="69">
        <v>0</v>
      </c>
      <c r="S74" s="69"/>
      <c r="T74" s="69">
        <v>2484.37</v>
      </c>
      <c r="U74" s="69"/>
      <c r="V74" s="69">
        <v>22865.33</v>
      </c>
      <c r="W74" s="69"/>
      <c r="X74" s="69">
        <v>1823.73</v>
      </c>
      <c r="Y74" s="69"/>
      <c r="Z74" s="69">
        <v>200</v>
      </c>
      <c r="AA74" s="69"/>
      <c r="AB74" s="69">
        <v>0</v>
      </c>
      <c r="AC74" s="69"/>
      <c r="AD74" s="69">
        <v>0</v>
      </c>
      <c r="AE74" s="69"/>
      <c r="AF74" s="69">
        <v>0</v>
      </c>
      <c r="AH74" s="4">
        <f t="shared" ref="AH74:AH85" si="3">SUM(F74:AF74)</f>
        <v>441155.11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4" customFormat="1">
      <c r="A75" s="4">
        <v>51</v>
      </c>
      <c r="B75" s="4" t="s">
        <v>596</v>
      </c>
      <c r="D75" s="4" t="s">
        <v>19</v>
      </c>
      <c r="F75" s="69">
        <v>39474012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27393987</v>
      </c>
      <c r="M75" s="69">
        <v>0</v>
      </c>
      <c r="N75" s="69">
        <v>42026</v>
      </c>
      <c r="O75" s="69">
        <v>0</v>
      </c>
      <c r="P75" s="69">
        <v>1140831</v>
      </c>
      <c r="Q75" s="69">
        <v>0</v>
      </c>
      <c r="R75" s="69">
        <v>0</v>
      </c>
      <c r="S75" s="69">
        <v>0</v>
      </c>
      <c r="T75" s="69">
        <v>667275</v>
      </c>
      <c r="U75" s="69">
        <v>0</v>
      </c>
      <c r="V75" s="69">
        <v>178952</v>
      </c>
      <c r="W75" s="69">
        <v>0</v>
      </c>
      <c r="X75" s="69">
        <f>20952+561869</f>
        <v>582821</v>
      </c>
      <c r="Y75" s="69">
        <v>0</v>
      </c>
      <c r="Z75" s="69">
        <v>0</v>
      </c>
      <c r="AA75" s="69">
        <v>0</v>
      </c>
      <c r="AB75" s="69">
        <v>9264008</v>
      </c>
      <c r="AC75" s="69">
        <v>0</v>
      </c>
      <c r="AD75" s="69">
        <v>0</v>
      </c>
      <c r="AE75" s="69">
        <v>0</v>
      </c>
      <c r="AF75" s="69">
        <f>75000000+812973</f>
        <v>75812973</v>
      </c>
      <c r="AH75" s="4">
        <f t="shared" si="3"/>
        <v>154556885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4" customFormat="1">
      <c r="B76" s="4" t="s">
        <v>618</v>
      </c>
      <c r="D76" s="4" t="s">
        <v>22</v>
      </c>
      <c r="F76" s="69">
        <v>1004912</v>
      </c>
      <c r="G76" s="69">
        <v>0</v>
      </c>
      <c r="H76" s="69">
        <v>1244794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12684</v>
      </c>
      <c r="Q76" s="69">
        <v>0</v>
      </c>
      <c r="R76" s="69">
        <v>9409</v>
      </c>
      <c r="S76" s="69">
        <v>0</v>
      </c>
      <c r="T76" s="69">
        <v>0</v>
      </c>
      <c r="U76" s="69">
        <v>0</v>
      </c>
      <c r="V76" s="69">
        <v>2592</v>
      </c>
      <c r="W76" s="69">
        <v>0</v>
      </c>
      <c r="X76" s="69">
        <v>9639</v>
      </c>
      <c r="Y76" s="69">
        <v>0</v>
      </c>
      <c r="Z76" s="69">
        <v>0</v>
      </c>
      <c r="AA76" s="69">
        <v>0</v>
      </c>
      <c r="AB76" s="69">
        <v>176116</v>
      </c>
      <c r="AC76" s="69">
        <v>0</v>
      </c>
      <c r="AD76" s="69">
        <v>0</v>
      </c>
      <c r="AE76" s="69">
        <v>0</v>
      </c>
      <c r="AF76" s="69">
        <v>0</v>
      </c>
      <c r="AH76" s="4">
        <f t="shared" si="3"/>
        <v>2460146</v>
      </c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4" customFormat="1">
      <c r="A77" s="4">
        <v>169</v>
      </c>
      <c r="B77" s="4" t="s">
        <v>124</v>
      </c>
      <c r="D77" s="4" t="s">
        <v>55</v>
      </c>
      <c r="F77" s="69">
        <v>11772448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17464464</v>
      </c>
      <c r="M77" s="69">
        <v>0</v>
      </c>
      <c r="N77" s="69">
        <v>0</v>
      </c>
      <c r="O77" s="69">
        <v>0</v>
      </c>
      <c r="P77" s="69">
        <v>664978</v>
      </c>
      <c r="Q77" s="69">
        <v>0</v>
      </c>
      <c r="R77" s="69">
        <v>99973</v>
      </c>
      <c r="S77" s="69">
        <v>0</v>
      </c>
      <c r="T77" s="69">
        <v>76377</v>
      </c>
      <c r="U77" s="69">
        <v>0</v>
      </c>
      <c r="V77" s="69">
        <v>180228</v>
      </c>
      <c r="W77" s="69">
        <v>0</v>
      </c>
      <c r="X77" s="69">
        <v>29844</v>
      </c>
      <c r="Y77" s="69">
        <v>0</v>
      </c>
      <c r="Z77" s="69">
        <v>1948</v>
      </c>
      <c r="AA77" s="69">
        <v>0</v>
      </c>
      <c r="AB77" s="69">
        <v>3053148</v>
      </c>
      <c r="AC77" s="69">
        <v>0</v>
      </c>
      <c r="AD77" s="69">
        <v>0</v>
      </c>
      <c r="AE77" s="69">
        <v>0</v>
      </c>
      <c r="AF77" s="69">
        <v>0</v>
      </c>
      <c r="AH77" s="4">
        <f t="shared" si="3"/>
        <v>33343408</v>
      </c>
    </row>
    <row r="78" spans="1:66" s="4" customFormat="1">
      <c r="A78" s="4">
        <v>62</v>
      </c>
      <c r="B78" s="4" t="s">
        <v>125</v>
      </c>
      <c r="D78" s="4" t="s">
        <v>126</v>
      </c>
      <c r="F78" s="69">
        <v>440862.27</v>
      </c>
      <c r="G78" s="69">
        <v>0</v>
      </c>
      <c r="H78" s="69">
        <v>1132403.72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63671.29</v>
      </c>
      <c r="Q78" s="69">
        <v>0</v>
      </c>
      <c r="R78" s="69">
        <v>0</v>
      </c>
      <c r="S78" s="69">
        <v>0</v>
      </c>
      <c r="T78" s="69">
        <v>226519.42</v>
      </c>
      <c r="U78" s="69">
        <v>0</v>
      </c>
      <c r="V78" s="69">
        <v>2286.12</v>
      </c>
      <c r="W78" s="69">
        <v>0</v>
      </c>
      <c r="X78" s="69">
        <f>14851.18+64853.13+3003.23</f>
        <v>82707.539999999994</v>
      </c>
      <c r="Y78" s="69">
        <v>0</v>
      </c>
      <c r="Z78" s="69">
        <v>0</v>
      </c>
      <c r="AA78" s="69">
        <v>0</v>
      </c>
      <c r="AB78" s="69">
        <v>40000</v>
      </c>
      <c r="AC78" s="69">
        <v>0</v>
      </c>
      <c r="AD78" s="69">
        <v>30060</v>
      </c>
      <c r="AE78" s="69">
        <v>0</v>
      </c>
      <c r="AF78" s="69">
        <v>0</v>
      </c>
      <c r="AH78" s="4">
        <f t="shared" si="3"/>
        <v>2018510.36</v>
      </c>
    </row>
    <row r="79" spans="1:66" s="4" customFormat="1">
      <c r="A79" s="4">
        <v>64</v>
      </c>
      <c r="B79" s="4" t="s">
        <v>127</v>
      </c>
      <c r="D79" s="4" t="s">
        <v>70</v>
      </c>
      <c r="F79" s="69">
        <v>4358872</v>
      </c>
      <c r="G79" s="69">
        <v>0</v>
      </c>
      <c r="H79" s="69">
        <v>1565875</v>
      </c>
      <c r="I79" s="69">
        <v>0</v>
      </c>
      <c r="J79" s="69">
        <v>0</v>
      </c>
      <c r="K79" s="69">
        <v>0</v>
      </c>
      <c r="L79" s="69">
        <v>558047</v>
      </c>
      <c r="M79" s="69">
        <v>0</v>
      </c>
      <c r="N79" s="69">
        <v>0</v>
      </c>
      <c r="O79" s="69">
        <v>0</v>
      </c>
      <c r="P79" s="69">
        <v>58828</v>
      </c>
      <c r="Q79" s="69">
        <v>0</v>
      </c>
      <c r="R79" s="69">
        <v>0</v>
      </c>
      <c r="S79" s="69">
        <v>0</v>
      </c>
      <c r="T79" s="69">
        <v>34607</v>
      </c>
      <c r="U79" s="69">
        <v>0</v>
      </c>
      <c r="V79" s="69">
        <v>3285</v>
      </c>
      <c r="W79" s="69">
        <v>0</v>
      </c>
      <c r="X79" s="69">
        <v>46712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H79" s="4">
        <f t="shared" si="3"/>
        <v>6626226</v>
      </c>
    </row>
    <row r="80" spans="1:66" s="4" customFormat="1">
      <c r="A80" s="4">
        <v>4</v>
      </c>
      <c r="B80" s="4" t="s">
        <v>128</v>
      </c>
      <c r="D80" s="4" t="s">
        <v>97</v>
      </c>
      <c r="F80" s="69">
        <v>50217.760000000002</v>
      </c>
      <c r="G80" s="69"/>
      <c r="H80" s="69">
        <v>321140.86</v>
      </c>
      <c r="I80" s="69"/>
      <c r="J80" s="69">
        <v>0</v>
      </c>
      <c r="K80" s="69"/>
      <c r="L80" s="69">
        <v>20106.89</v>
      </c>
      <c r="M80" s="69"/>
      <c r="N80" s="69">
        <v>0</v>
      </c>
      <c r="O80" s="69"/>
      <c r="P80" s="69">
        <v>7111.47</v>
      </c>
      <c r="Q80" s="69"/>
      <c r="R80" s="69">
        <v>0</v>
      </c>
      <c r="S80" s="69"/>
      <c r="T80" s="69">
        <v>24159.8</v>
      </c>
      <c r="U80" s="69"/>
      <c r="V80" s="69">
        <v>3215.84</v>
      </c>
      <c r="W80" s="69"/>
      <c r="X80" s="69">
        <v>11648.19</v>
      </c>
      <c r="Y80" s="69"/>
      <c r="Z80" s="69">
        <v>0</v>
      </c>
      <c r="AA80" s="69"/>
      <c r="AB80" s="69">
        <v>0</v>
      </c>
      <c r="AC80" s="69"/>
      <c r="AD80" s="69">
        <v>0</v>
      </c>
      <c r="AE80" s="69"/>
      <c r="AF80" s="69">
        <v>0</v>
      </c>
      <c r="AH80" s="4">
        <f t="shared" si="3"/>
        <v>437600.81</v>
      </c>
    </row>
    <row r="81" spans="1:66" s="4" customFormat="1">
      <c r="A81" s="4">
        <v>83</v>
      </c>
      <c r="B81" s="4" t="s">
        <v>129</v>
      </c>
      <c r="D81" s="4" t="s">
        <v>42</v>
      </c>
      <c r="F81" s="69">
        <v>107557.22</v>
      </c>
      <c r="G81" s="69"/>
      <c r="H81" s="69">
        <v>218490.96</v>
      </c>
      <c r="I81" s="69"/>
      <c r="J81" s="69">
        <v>0</v>
      </c>
      <c r="K81" s="69"/>
      <c r="L81" s="69">
        <v>23547.57</v>
      </c>
      <c r="M81" s="69"/>
      <c r="N81" s="69">
        <v>0</v>
      </c>
      <c r="O81" s="69"/>
      <c r="P81" s="69">
        <v>12245.63</v>
      </c>
      <c r="Q81" s="69"/>
      <c r="R81" s="69">
        <v>0</v>
      </c>
      <c r="S81" s="69"/>
      <c r="T81" s="69">
        <v>18629.02</v>
      </c>
      <c r="U81" s="69"/>
      <c r="V81" s="69">
        <v>809.18</v>
      </c>
      <c r="W81" s="69"/>
      <c r="X81" s="69">
        <v>2031.8</v>
      </c>
      <c r="Y81" s="69"/>
      <c r="Z81" s="69">
        <v>65</v>
      </c>
      <c r="AA81" s="69"/>
      <c r="AB81" s="69">
        <v>172422.11</v>
      </c>
      <c r="AC81" s="69"/>
      <c r="AD81" s="69">
        <v>0</v>
      </c>
      <c r="AE81" s="69"/>
      <c r="AF81" s="69">
        <v>0</v>
      </c>
      <c r="AH81" s="4">
        <f t="shared" si="3"/>
        <v>555798.49</v>
      </c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4" customFormat="1">
      <c r="A82" s="4">
        <v>258</v>
      </c>
      <c r="B82" s="4" t="s">
        <v>130</v>
      </c>
      <c r="D82" s="4" t="s">
        <v>63</v>
      </c>
      <c r="F82" s="69">
        <v>0</v>
      </c>
      <c r="G82" s="69">
        <v>0</v>
      </c>
      <c r="H82" s="69">
        <v>232780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11157</v>
      </c>
      <c r="Q82" s="69">
        <v>0</v>
      </c>
      <c r="R82" s="69">
        <v>0</v>
      </c>
      <c r="S82" s="69">
        <v>0</v>
      </c>
      <c r="T82" s="69">
        <v>39168</v>
      </c>
      <c r="U82" s="69">
        <v>0</v>
      </c>
      <c r="V82" s="69">
        <v>2360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50000</v>
      </c>
      <c r="AC82" s="69">
        <v>0</v>
      </c>
      <c r="AD82" s="69">
        <v>0</v>
      </c>
      <c r="AE82" s="69">
        <v>0</v>
      </c>
      <c r="AF82" s="69">
        <v>0</v>
      </c>
      <c r="AH82" s="4">
        <f t="shared" si="3"/>
        <v>335465</v>
      </c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4" customFormat="1">
      <c r="A83" s="4">
        <v>232</v>
      </c>
      <c r="B83" s="4" t="s">
        <v>131</v>
      </c>
      <c r="D83" s="4" t="s">
        <v>26</v>
      </c>
      <c r="F83" s="69">
        <v>0</v>
      </c>
      <c r="G83" s="69">
        <v>0</v>
      </c>
      <c r="H83" s="69">
        <v>568445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27829</v>
      </c>
      <c r="Q83" s="69">
        <v>0</v>
      </c>
      <c r="R83" s="69">
        <v>0</v>
      </c>
      <c r="S83" s="69">
        <v>0</v>
      </c>
      <c r="T83" s="69">
        <v>8888</v>
      </c>
      <c r="U83" s="69">
        <v>0</v>
      </c>
      <c r="V83" s="69">
        <v>1048</v>
      </c>
      <c r="W83" s="69">
        <v>0</v>
      </c>
      <c r="X83" s="69">
        <v>3814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H83" s="4">
        <f t="shared" si="3"/>
        <v>610024</v>
      </c>
    </row>
    <row r="84" spans="1:66" s="4" customFormat="1">
      <c r="A84" s="4">
        <v>88</v>
      </c>
      <c r="B84" s="4" t="s">
        <v>336</v>
      </c>
      <c r="D84" s="4" t="s">
        <v>132</v>
      </c>
      <c r="F84" s="69">
        <v>142542.79</v>
      </c>
      <c r="G84" s="69"/>
      <c r="H84" s="69">
        <v>901253.49</v>
      </c>
      <c r="I84" s="69"/>
      <c r="J84" s="69">
        <v>0</v>
      </c>
      <c r="K84" s="69"/>
      <c r="L84" s="69">
        <v>51046.57</v>
      </c>
      <c r="M84" s="69"/>
      <c r="N84" s="69">
        <v>0</v>
      </c>
      <c r="O84" s="69"/>
      <c r="P84" s="69">
        <v>40064.89</v>
      </c>
      <c r="Q84" s="69"/>
      <c r="R84" s="69">
        <v>0</v>
      </c>
      <c r="S84" s="69"/>
      <c r="T84" s="69">
        <v>8502.02</v>
      </c>
      <c r="U84" s="69"/>
      <c r="V84" s="69">
        <v>7472.05</v>
      </c>
      <c r="W84" s="69"/>
      <c r="X84" s="69">
        <v>20002.36</v>
      </c>
      <c r="Y84" s="69"/>
      <c r="Z84" s="69">
        <v>903.56</v>
      </c>
      <c r="AA84" s="69"/>
      <c r="AB84" s="69">
        <v>150000</v>
      </c>
      <c r="AC84" s="69"/>
      <c r="AD84" s="69">
        <v>0</v>
      </c>
      <c r="AE84" s="69"/>
      <c r="AF84" s="69">
        <v>0</v>
      </c>
      <c r="AH84" s="4">
        <f t="shared" si="3"/>
        <v>1321787.7300000002</v>
      </c>
    </row>
    <row r="85" spans="1:66" s="4" customFormat="1">
      <c r="A85" s="4">
        <v>138</v>
      </c>
      <c r="B85" s="4" t="s">
        <v>133</v>
      </c>
      <c r="D85" s="4" t="s">
        <v>87</v>
      </c>
      <c r="F85" s="69">
        <v>20552.53</v>
      </c>
      <c r="G85" s="69">
        <v>0</v>
      </c>
      <c r="H85" s="69">
        <v>48451.87</v>
      </c>
      <c r="I85" s="69">
        <v>0</v>
      </c>
      <c r="J85" s="69">
        <v>0</v>
      </c>
      <c r="K85" s="69">
        <v>0</v>
      </c>
      <c r="L85" s="69">
        <v>6468.68</v>
      </c>
      <c r="M85" s="69">
        <v>0</v>
      </c>
      <c r="N85" s="69">
        <v>0</v>
      </c>
      <c r="O85" s="69">
        <v>0</v>
      </c>
      <c r="P85" s="69">
        <v>81.95</v>
      </c>
      <c r="Q85" s="69">
        <v>0</v>
      </c>
      <c r="R85" s="69">
        <v>0</v>
      </c>
      <c r="S85" s="69">
        <v>0</v>
      </c>
      <c r="T85" s="69">
        <v>48.06</v>
      </c>
      <c r="U85" s="69">
        <v>0</v>
      </c>
      <c r="V85" s="69">
        <v>1304.8399999999999</v>
      </c>
      <c r="W85" s="69">
        <v>0</v>
      </c>
      <c r="X85" s="69">
        <v>1399.26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H85" s="4">
        <f t="shared" si="3"/>
        <v>78307.189999999973</v>
      </c>
    </row>
    <row r="86" spans="1:66" s="4" customFormat="1"/>
    <row r="87" spans="1:66" s="4" customFormat="1">
      <c r="AH87" s="44" t="s">
        <v>591</v>
      </c>
    </row>
    <row r="88" spans="1:66">
      <c r="B88" s="3" t="s">
        <v>525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66">
      <c r="B89" s="3" t="s">
        <v>635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66">
      <c r="B90" s="41" t="s">
        <v>7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66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66" s="36" customFormat="1">
      <c r="F92" s="28"/>
      <c r="G92" s="28"/>
      <c r="H92" s="28" t="s">
        <v>282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66" s="36" customFormat="1">
      <c r="F93" s="28" t="s">
        <v>31</v>
      </c>
      <c r="G93" s="28"/>
      <c r="H93" s="28" t="s">
        <v>283</v>
      </c>
      <c r="I93" s="28"/>
      <c r="J93" s="28"/>
      <c r="K93" s="28"/>
      <c r="L93" s="28"/>
      <c r="M93" s="28"/>
      <c r="N93" s="28"/>
      <c r="O93" s="28"/>
      <c r="P93" s="28"/>
      <c r="Q93" s="28"/>
      <c r="R93" s="28" t="s">
        <v>29</v>
      </c>
      <c r="S93" s="28"/>
      <c r="T93" s="28" t="s">
        <v>289</v>
      </c>
      <c r="U93" s="28"/>
      <c r="V93" s="28"/>
      <c r="W93" s="28"/>
      <c r="X93" s="28"/>
      <c r="Y93" s="28"/>
      <c r="Z93" s="28" t="s">
        <v>294</v>
      </c>
      <c r="AA93" s="28"/>
      <c r="AB93" s="28"/>
      <c r="AC93" s="28"/>
      <c r="AD93" s="28"/>
      <c r="AE93" s="28"/>
      <c r="AF93" s="28" t="s">
        <v>0</v>
      </c>
      <c r="AG93" s="28"/>
      <c r="AH93" s="28"/>
    </row>
    <row r="94" spans="1:66" s="36" customFormat="1" ht="12" customHeight="1">
      <c r="F94" s="28" t="s">
        <v>0</v>
      </c>
      <c r="G94" s="28"/>
      <c r="H94" s="28" t="s">
        <v>284</v>
      </c>
      <c r="I94" s="28"/>
      <c r="J94" s="28" t="s">
        <v>556</v>
      </c>
      <c r="K94" s="28"/>
      <c r="L94" s="28" t="s">
        <v>348</v>
      </c>
      <c r="M94" s="28"/>
      <c r="N94" s="28"/>
      <c r="O94" s="28"/>
      <c r="P94" s="28" t="s">
        <v>286</v>
      </c>
      <c r="Q94" s="28"/>
      <c r="R94" s="28" t="s">
        <v>288</v>
      </c>
      <c r="S94" s="28"/>
      <c r="T94" s="28" t="s">
        <v>290</v>
      </c>
      <c r="U94" s="28"/>
      <c r="V94" s="28" t="s">
        <v>292</v>
      </c>
      <c r="W94" s="28"/>
      <c r="X94" s="28"/>
      <c r="Y94" s="28"/>
      <c r="Z94" s="28" t="s">
        <v>295</v>
      </c>
      <c r="AA94" s="28"/>
      <c r="AB94" s="28"/>
      <c r="AC94" s="28"/>
      <c r="AD94" s="28"/>
      <c r="AE94" s="28"/>
      <c r="AF94" s="28" t="s">
        <v>296</v>
      </c>
      <c r="AG94" s="28"/>
      <c r="AH94" s="28"/>
    </row>
    <row r="95" spans="1:66" s="36" customFormat="1" ht="12" customHeight="1">
      <c r="A95" s="36" t="s">
        <v>578</v>
      </c>
      <c r="B95" s="37"/>
      <c r="C95" s="45"/>
      <c r="D95" s="37" t="s">
        <v>6</v>
      </c>
      <c r="E95" s="45"/>
      <c r="F95" s="53" t="s">
        <v>281</v>
      </c>
      <c r="G95" s="50"/>
      <c r="H95" s="53" t="s">
        <v>285</v>
      </c>
      <c r="I95" s="50"/>
      <c r="J95" s="53" t="s">
        <v>557</v>
      </c>
      <c r="K95" s="50"/>
      <c r="L95" s="53" t="s">
        <v>349</v>
      </c>
      <c r="M95" s="50"/>
      <c r="N95" s="53" t="s">
        <v>558</v>
      </c>
      <c r="O95" s="50"/>
      <c r="P95" s="53" t="s">
        <v>287</v>
      </c>
      <c r="Q95" s="50"/>
      <c r="R95" s="53" t="s">
        <v>560</v>
      </c>
      <c r="S95" s="50"/>
      <c r="T95" s="53" t="s">
        <v>291</v>
      </c>
      <c r="U95" s="50"/>
      <c r="V95" s="53" t="s">
        <v>293</v>
      </c>
      <c r="W95" s="50"/>
      <c r="X95" s="53" t="s">
        <v>1</v>
      </c>
      <c r="Y95" s="50"/>
      <c r="Z95" s="53" t="s">
        <v>32</v>
      </c>
      <c r="AA95" s="50"/>
      <c r="AB95" s="53" t="s">
        <v>509</v>
      </c>
      <c r="AC95" s="50"/>
      <c r="AD95" s="53" t="s">
        <v>510</v>
      </c>
      <c r="AE95" s="50"/>
      <c r="AF95" s="53" t="s">
        <v>297</v>
      </c>
      <c r="AG95" s="50"/>
      <c r="AH95" s="40" t="s">
        <v>28</v>
      </c>
    </row>
    <row r="96" spans="1:66" s="4" customFormat="1">
      <c r="A96" s="4">
        <v>52</v>
      </c>
      <c r="B96" s="4" t="s">
        <v>456</v>
      </c>
      <c r="D96" s="4" t="s">
        <v>19</v>
      </c>
      <c r="F96" s="2">
        <v>1032530.74</v>
      </c>
      <c r="G96" s="2"/>
      <c r="H96" s="2">
        <v>1180424.9099999999</v>
      </c>
      <c r="I96" s="2"/>
      <c r="J96" s="2">
        <v>0</v>
      </c>
      <c r="K96" s="2"/>
      <c r="L96" s="2">
        <v>339396.54</v>
      </c>
      <c r="M96" s="2"/>
      <c r="N96" s="2">
        <v>0</v>
      </c>
      <c r="O96" s="2"/>
      <c r="P96" s="2">
        <v>6111.34</v>
      </c>
      <c r="Q96" s="2"/>
      <c r="R96" s="2">
        <v>0</v>
      </c>
      <c r="S96" s="2"/>
      <c r="T96" s="2">
        <v>65576.100000000006</v>
      </c>
      <c r="U96" s="2"/>
      <c r="V96" s="2">
        <v>71.319999999999993</v>
      </c>
      <c r="W96" s="2"/>
      <c r="X96" s="2">
        <v>14759.12</v>
      </c>
      <c r="Y96" s="2"/>
      <c r="Z96" s="2">
        <v>0</v>
      </c>
      <c r="AA96" s="2"/>
      <c r="AB96" s="2">
        <v>0</v>
      </c>
      <c r="AC96" s="2"/>
      <c r="AD96" s="2">
        <v>0</v>
      </c>
      <c r="AE96" s="2"/>
      <c r="AF96" s="2">
        <v>0</v>
      </c>
      <c r="AG96" s="7"/>
      <c r="AH96" s="7">
        <f t="shared" ref="AH96:AH161" si="4">SUM(F96:AF96)</f>
        <v>2638870.0699999998</v>
      </c>
    </row>
    <row r="97" spans="1:66" s="7" customFormat="1">
      <c r="A97" s="7">
        <v>39</v>
      </c>
      <c r="B97" s="7" t="s">
        <v>567</v>
      </c>
      <c r="D97" s="7" t="s">
        <v>51</v>
      </c>
      <c r="F97" s="1">
        <v>0</v>
      </c>
      <c r="G97" s="1"/>
      <c r="H97" s="1">
        <v>516779.38</v>
      </c>
      <c r="I97" s="1"/>
      <c r="J97" s="1">
        <v>0</v>
      </c>
      <c r="K97" s="1"/>
      <c r="L97" s="1">
        <v>23960</v>
      </c>
      <c r="M97" s="1"/>
      <c r="N97" s="1">
        <v>0</v>
      </c>
      <c r="O97" s="1"/>
      <c r="P97" s="1">
        <v>8076.38</v>
      </c>
      <c r="Q97" s="1"/>
      <c r="R97" s="1">
        <v>0</v>
      </c>
      <c r="S97" s="1"/>
      <c r="T97" s="1">
        <v>3212.1</v>
      </c>
      <c r="U97" s="1"/>
      <c r="V97" s="1">
        <v>1505.26</v>
      </c>
      <c r="W97" s="1"/>
      <c r="X97" s="1">
        <v>21551.83</v>
      </c>
      <c r="Y97" s="1"/>
      <c r="Z97" s="1">
        <v>0</v>
      </c>
      <c r="AA97" s="1"/>
      <c r="AB97" s="1">
        <v>0</v>
      </c>
      <c r="AC97" s="1"/>
      <c r="AD97" s="1">
        <v>0</v>
      </c>
      <c r="AE97" s="1"/>
      <c r="AF97" s="1">
        <v>0</v>
      </c>
      <c r="AH97" s="4">
        <f t="shared" si="4"/>
        <v>575084.94999999995</v>
      </c>
    </row>
    <row r="98" spans="1:66" s="4" customFormat="1">
      <c r="A98" s="4">
        <v>40</v>
      </c>
      <c r="B98" s="4" t="s">
        <v>134</v>
      </c>
      <c r="D98" s="4" t="s">
        <v>51</v>
      </c>
      <c r="F98" s="1">
        <v>0</v>
      </c>
      <c r="G98" s="1"/>
      <c r="H98" s="1">
        <v>329617.71999999997</v>
      </c>
      <c r="I98" s="1"/>
      <c r="J98" s="1">
        <v>0</v>
      </c>
      <c r="K98" s="1"/>
      <c r="L98" s="1">
        <v>1950</v>
      </c>
      <c r="M98" s="1"/>
      <c r="N98" s="1">
        <v>0</v>
      </c>
      <c r="O98" s="1"/>
      <c r="P98" s="1">
        <v>17190.55</v>
      </c>
      <c r="Q98" s="1"/>
      <c r="R98" s="1">
        <v>0</v>
      </c>
      <c r="S98" s="1"/>
      <c r="T98" s="1">
        <v>10952.67</v>
      </c>
      <c r="U98" s="1"/>
      <c r="V98" s="1">
        <v>6980.4</v>
      </c>
      <c r="W98" s="1"/>
      <c r="X98" s="1">
        <v>785.53</v>
      </c>
      <c r="Y98" s="1"/>
      <c r="Z98" s="1">
        <v>0</v>
      </c>
      <c r="AA98" s="1"/>
      <c r="AB98" s="1">
        <v>0</v>
      </c>
      <c r="AC98" s="1"/>
      <c r="AD98" s="1">
        <v>0</v>
      </c>
      <c r="AE98" s="1"/>
      <c r="AF98" s="1">
        <v>0</v>
      </c>
      <c r="AH98" s="4">
        <f t="shared" si="4"/>
        <v>367476.87</v>
      </c>
    </row>
    <row r="99" spans="1:66" s="4" customFormat="1">
      <c r="A99" s="4">
        <v>155</v>
      </c>
      <c r="B99" s="4" t="s">
        <v>429</v>
      </c>
      <c r="D99" s="4" t="s">
        <v>20</v>
      </c>
      <c r="F99" s="1">
        <v>931960</v>
      </c>
      <c r="G99" s="1">
        <v>0</v>
      </c>
      <c r="H99" s="1">
        <v>818576</v>
      </c>
      <c r="I99" s="1">
        <v>0</v>
      </c>
      <c r="J99" s="1">
        <v>0</v>
      </c>
      <c r="K99" s="1">
        <v>0</v>
      </c>
      <c r="L99" s="1">
        <v>143693</v>
      </c>
      <c r="M99" s="1">
        <v>0</v>
      </c>
      <c r="N99" s="1">
        <v>0</v>
      </c>
      <c r="O99" s="1">
        <v>0</v>
      </c>
      <c r="P99" s="1">
        <v>67099</v>
      </c>
      <c r="Q99" s="1">
        <v>0</v>
      </c>
      <c r="R99" s="1">
        <v>0</v>
      </c>
      <c r="S99" s="1">
        <v>0</v>
      </c>
      <c r="T99" s="1">
        <v>4237</v>
      </c>
      <c r="U99" s="1">
        <v>0</v>
      </c>
      <c r="V99" s="1">
        <v>13658</v>
      </c>
      <c r="W99" s="1">
        <v>0</v>
      </c>
      <c r="X99" s="1">
        <v>5184</v>
      </c>
      <c r="Y99" s="1">
        <v>0</v>
      </c>
      <c r="Z99" s="1">
        <v>0</v>
      </c>
      <c r="AA99" s="1">
        <v>0</v>
      </c>
      <c r="AB99" s="1">
        <v>8964</v>
      </c>
      <c r="AC99" s="1">
        <v>0</v>
      </c>
      <c r="AD99" s="1">
        <v>0</v>
      </c>
      <c r="AE99" s="1">
        <v>0</v>
      </c>
      <c r="AF99" s="1">
        <v>0</v>
      </c>
      <c r="AH99" s="4">
        <f t="shared" si="4"/>
        <v>1993371</v>
      </c>
    </row>
    <row r="100" spans="1:66" s="4" customFormat="1">
      <c r="A100" s="4">
        <v>142</v>
      </c>
      <c r="B100" s="4" t="s">
        <v>135</v>
      </c>
      <c r="D100" s="4" t="s">
        <v>57</v>
      </c>
      <c r="F100" s="1">
        <v>1593564</v>
      </c>
      <c r="G100" s="1">
        <v>0</v>
      </c>
      <c r="H100" s="1">
        <v>1895631</v>
      </c>
      <c r="I100" s="1">
        <v>0</v>
      </c>
      <c r="J100" s="1">
        <v>0</v>
      </c>
      <c r="K100" s="1">
        <v>0</v>
      </c>
      <c r="L100" s="1">
        <v>338375</v>
      </c>
      <c r="M100" s="1">
        <v>0</v>
      </c>
      <c r="N100" s="1">
        <v>0</v>
      </c>
      <c r="O100" s="1">
        <v>0</v>
      </c>
      <c r="P100" s="1">
        <v>94552</v>
      </c>
      <c r="Q100" s="1">
        <v>0</v>
      </c>
      <c r="R100" s="1">
        <v>0</v>
      </c>
      <c r="S100" s="1">
        <v>0</v>
      </c>
      <c r="T100" s="1">
        <v>25814</v>
      </c>
      <c r="U100" s="1">
        <v>0</v>
      </c>
      <c r="V100" s="1">
        <v>27291</v>
      </c>
      <c r="W100" s="1">
        <v>0</v>
      </c>
      <c r="X100" s="1">
        <v>5317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H100" s="4">
        <f t="shared" si="4"/>
        <v>3980544</v>
      </c>
    </row>
    <row r="101" spans="1:66" s="4" customFormat="1">
      <c r="A101" s="4">
        <v>53</v>
      </c>
      <c r="B101" s="4" t="s">
        <v>18</v>
      </c>
      <c r="D101" s="4" t="s">
        <v>19</v>
      </c>
      <c r="F101" s="1">
        <v>2328438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2228528</v>
      </c>
      <c r="M101" s="1">
        <v>0</v>
      </c>
      <c r="N101" s="1">
        <v>0</v>
      </c>
      <c r="O101" s="1">
        <v>0</v>
      </c>
      <c r="P101" s="1">
        <v>112491</v>
      </c>
      <c r="Q101" s="1">
        <v>0</v>
      </c>
      <c r="R101" s="1">
        <v>0</v>
      </c>
      <c r="S101" s="1">
        <v>0</v>
      </c>
      <c r="T101" s="1">
        <v>680</v>
      </c>
      <c r="U101" s="1">
        <v>0</v>
      </c>
      <c r="V101" s="1">
        <v>67198</v>
      </c>
      <c r="W101" s="1">
        <v>0</v>
      </c>
      <c r="X101" s="1">
        <v>29221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H101" s="4">
        <f t="shared" si="4"/>
        <v>4766556</v>
      </c>
    </row>
    <row r="102" spans="1:66" s="4" customFormat="1">
      <c r="A102" s="4">
        <v>84</v>
      </c>
      <c r="B102" s="4" t="s">
        <v>136</v>
      </c>
      <c r="D102" s="4" t="s">
        <v>42</v>
      </c>
      <c r="F102" s="1">
        <v>0</v>
      </c>
      <c r="G102" s="1"/>
      <c r="H102" s="1">
        <v>229938.88</v>
      </c>
      <c r="I102" s="1"/>
      <c r="J102" s="1">
        <v>0</v>
      </c>
      <c r="K102" s="1"/>
      <c r="L102" s="1">
        <v>0</v>
      </c>
      <c r="M102" s="1"/>
      <c r="N102" s="1">
        <v>0</v>
      </c>
      <c r="O102" s="1"/>
      <c r="P102" s="1">
        <v>6511.81</v>
      </c>
      <c r="Q102" s="1"/>
      <c r="R102" s="1">
        <v>0</v>
      </c>
      <c r="S102" s="1"/>
      <c r="T102" s="1">
        <v>8165</v>
      </c>
      <c r="U102" s="1"/>
      <c r="V102" s="1">
        <v>570.55999999999995</v>
      </c>
      <c r="W102" s="1"/>
      <c r="X102" s="1">
        <v>10326.549999999999</v>
      </c>
      <c r="Y102" s="1"/>
      <c r="Z102" s="1">
        <v>0</v>
      </c>
      <c r="AA102" s="1"/>
      <c r="AB102" s="1">
        <v>0</v>
      </c>
      <c r="AC102" s="1"/>
      <c r="AD102" s="1">
        <v>0</v>
      </c>
      <c r="AE102" s="1"/>
      <c r="AF102" s="1">
        <v>0</v>
      </c>
      <c r="AH102" s="4">
        <f t="shared" si="4"/>
        <v>255512.8</v>
      </c>
    </row>
    <row r="103" spans="1:66" s="4" customFormat="1">
      <c r="B103" s="4" t="s">
        <v>637</v>
      </c>
      <c r="D103" s="4" t="s">
        <v>89</v>
      </c>
      <c r="F103" s="1">
        <v>3000</v>
      </c>
      <c r="G103" s="1">
        <v>0</v>
      </c>
      <c r="H103" s="1">
        <v>599630</v>
      </c>
      <c r="I103" s="1">
        <v>0</v>
      </c>
      <c r="J103" s="1">
        <v>0</v>
      </c>
      <c r="K103" s="1">
        <v>0</v>
      </c>
      <c r="L103" s="1">
        <v>1170</v>
      </c>
      <c r="M103" s="1">
        <v>0</v>
      </c>
      <c r="N103" s="1">
        <v>0</v>
      </c>
      <c r="O103" s="1">
        <v>0</v>
      </c>
      <c r="P103" s="1">
        <v>30982</v>
      </c>
      <c r="Q103" s="1">
        <v>0</v>
      </c>
      <c r="R103" s="1">
        <v>0</v>
      </c>
      <c r="S103" s="1">
        <v>0</v>
      </c>
      <c r="T103" s="1">
        <v>27996</v>
      </c>
      <c r="U103" s="1">
        <v>0</v>
      </c>
      <c r="V103" s="1">
        <v>1178</v>
      </c>
      <c r="W103" s="1">
        <v>0</v>
      </c>
      <c r="X103" s="1">
        <v>2788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H103" s="4">
        <f t="shared" si="4"/>
        <v>666744</v>
      </c>
    </row>
    <row r="104" spans="1:66" s="4" customFormat="1">
      <c r="A104" s="4">
        <v>70</v>
      </c>
      <c r="B104" s="4" t="s">
        <v>437</v>
      </c>
      <c r="D104" s="4" t="s">
        <v>67</v>
      </c>
      <c r="F104" s="1">
        <v>932336</v>
      </c>
      <c r="G104" s="1">
        <v>0</v>
      </c>
      <c r="H104" s="1">
        <v>2169425</v>
      </c>
      <c r="I104" s="1">
        <v>0</v>
      </c>
      <c r="J104" s="1">
        <v>0</v>
      </c>
      <c r="K104" s="1">
        <v>0</v>
      </c>
      <c r="L104" s="1">
        <v>11269</v>
      </c>
      <c r="M104" s="1">
        <v>0</v>
      </c>
      <c r="N104" s="1">
        <v>0</v>
      </c>
      <c r="O104" s="1">
        <v>0</v>
      </c>
      <c r="P104" s="1">
        <v>124838</v>
      </c>
      <c r="Q104" s="1">
        <v>0</v>
      </c>
      <c r="R104" s="1">
        <v>0</v>
      </c>
      <c r="S104" s="1">
        <v>0</v>
      </c>
      <c r="T104" s="1">
        <v>4029</v>
      </c>
      <c r="U104" s="1">
        <v>0</v>
      </c>
      <c r="V104" s="1">
        <v>1669</v>
      </c>
      <c r="W104" s="1">
        <v>0</v>
      </c>
      <c r="X104" s="1">
        <v>29860</v>
      </c>
      <c r="Y104" s="1">
        <v>0</v>
      </c>
      <c r="Z104" s="1">
        <v>0</v>
      </c>
      <c r="AA104" s="1">
        <v>0</v>
      </c>
      <c r="AB104" s="1">
        <v>72331</v>
      </c>
      <c r="AC104" s="1">
        <v>0</v>
      </c>
      <c r="AD104" s="1">
        <v>0</v>
      </c>
      <c r="AE104" s="1">
        <v>0</v>
      </c>
      <c r="AF104" s="1">
        <v>0</v>
      </c>
      <c r="AH104" s="4">
        <f t="shared" si="4"/>
        <v>3345757</v>
      </c>
    </row>
    <row r="105" spans="1:66" s="4" customFormat="1">
      <c r="A105" s="4">
        <v>123</v>
      </c>
      <c r="B105" s="4" t="s">
        <v>137</v>
      </c>
      <c r="D105" s="4" t="s">
        <v>15</v>
      </c>
      <c r="F105" s="1">
        <v>123153</v>
      </c>
      <c r="G105" s="1">
        <v>0</v>
      </c>
      <c r="H105" s="1">
        <v>217366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1166</v>
      </c>
      <c r="Q105" s="1">
        <v>0</v>
      </c>
      <c r="R105" s="1">
        <v>0</v>
      </c>
      <c r="S105" s="1">
        <v>0</v>
      </c>
      <c r="T105" s="1">
        <v>1644</v>
      </c>
      <c r="U105" s="1">
        <v>0</v>
      </c>
      <c r="V105" s="1">
        <v>2678</v>
      </c>
      <c r="W105" s="1">
        <v>0</v>
      </c>
      <c r="X105" s="1">
        <v>5046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H105" s="4">
        <f t="shared" si="4"/>
        <v>351053</v>
      </c>
    </row>
    <row r="106" spans="1:66" s="4" customFormat="1">
      <c r="A106" s="4">
        <v>93</v>
      </c>
      <c r="B106" s="4" t="s">
        <v>597</v>
      </c>
      <c r="D106" s="4" t="s">
        <v>139</v>
      </c>
      <c r="F106" s="1">
        <v>0</v>
      </c>
      <c r="G106" s="1"/>
      <c r="H106" s="1">
        <v>1909526.17</v>
      </c>
      <c r="I106" s="1"/>
      <c r="J106" s="1">
        <v>0</v>
      </c>
      <c r="K106" s="1"/>
      <c r="L106" s="1">
        <v>6800</v>
      </c>
      <c r="M106" s="1"/>
      <c r="N106" s="1">
        <v>0</v>
      </c>
      <c r="O106" s="1"/>
      <c r="P106" s="1">
        <v>72195.25</v>
      </c>
      <c r="Q106" s="1"/>
      <c r="R106" s="1">
        <v>0</v>
      </c>
      <c r="S106" s="1"/>
      <c r="T106" s="1">
        <v>12053.29</v>
      </c>
      <c r="U106" s="1"/>
      <c r="V106" s="1">
        <v>13661.23</v>
      </c>
      <c r="W106" s="1"/>
      <c r="X106" s="1">
        <v>212953.12</v>
      </c>
      <c r="Y106" s="1"/>
      <c r="Z106" s="1">
        <v>0</v>
      </c>
      <c r="AA106" s="1"/>
      <c r="AB106" s="1">
        <v>240285</v>
      </c>
      <c r="AC106" s="1"/>
      <c r="AD106" s="1">
        <v>0</v>
      </c>
      <c r="AE106" s="1"/>
      <c r="AF106" s="1">
        <v>0</v>
      </c>
      <c r="AH106" s="4">
        <f t="shared" si="4"/>
        <v>2467474.06</v>
      </c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4" customFormat="1" hidden="1">
      <c r="A107" s="4">
        <v>93</v>
      </c>
      <c r="B107" s="4" t="s">
        <v>365</v>
      </c>
      <c r="D107" s="4" t="s">
        <v>53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H107" s="4">
        <f t="shared" si="4"/>
        <v>0</v>
      </c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4" customFormat="1">
      <c r="A108" s="4">
        <v>97</v>
      </c>
      <c r="B108" s="4" t="s">
        <v>140</v>
      </c>
      <c r="D108" s="4" t="s">
        <v>61</v>
      </c>
      <c r="F108" s="1">
        <v>0</v>
      </c>
      <c r="G108" s="1"/>
      <c r="H108" s="1">
        <v>84542.73</v>
      </c>
      <c r="I108" s="1"/>
      <c r="J108" s="1">
        <v>0</v>
      </c>
      <c r="K108" s="1"/>
      <c r="L108" s="1">
        <v>3800</v>
      </c>
      <c r="M108" s="1"/>
      <c r="N108" s="1">
        <v>0</v>
      </c>
      <c r="O108" s="1"/>
      <c r="P108" s="1">
        <v>2422.6999999999998</v>
      </c>
      <c r="Q108" s="1"/>
      <c r="R108" s="1">
        <v>0</v>
      </c>
      <c r="S108" s="1"/>
      <c r="T108" s="1">
        <v>13901.43</v>
      </c>
      <c r="U108" s="1"/>
      <c r="V108" s="1">
        <v>60.41</v>
      </c>
      <c r="W108" s="1"/>
      <c r="X108" s="1">
        <v>1135</v>
      </c>
      <c r="Y108" s="1"/>
      <c r="Z108" s="1">
        <v>0</v>
      </c>
      <c r="AA108" s="1"/>
      <c r="AB108" s="1">
        <v>0</v>
      </c>
      <c r="AC108" s="1"/>
      <c r="AD108" s="1">
        <v>0</v>
      </c>
      <c r="AE108" s="1"/>
      <c r="AF108" s="1">
        <v>0</v>
      </c>
      <c r="AH108" s="4">
        <f t="shared" si="4"/>
        <v>105862.26999999999</v>
      </c>
    </row>
    <row r="109" spans="1:66" s="4" customFormat="1">
      <c r="A109" s="4">
        <v>159</v>
      </c>
      <c r="B109" s="4" t="s">
        <v>141</v>
      </c>
      <c r="D109" s="4" t="s">
        <v>50</v>
      </c>
      <c r="F109" s="1">
        <v>0</v>
      </c>
      <c r="G109" s="1">
        <v>0</v>
      </c>
      <c r="H109" s="1">
        <v>88735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3569</v>
      </c>
      <c r="Q109" s="1">
        <v>0</v>
      </c>
      <c r="R109" s="1">
        <v>0</v>
      </c>
      <c r="S109" s="1">
        <v>0</v>
      </c>
      <c r="T109" s="1">
        <v>7065</v>
      </c>
      <c r="U109" s="1">
        <v>0</v>
      </c>
      <c r="V109" s="1">
        <v>338</v>
      </c>
      <c r="W109" s="1">
        <v>0</v>
      </c>
      <c r="X109" s="1">
        <v>1166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H109" s="4">
        <f t="shared" si="4"/>
        <v>100873</v>
      </c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4" customFormat="1">
      <c r="A110" s="4">
        <v>240</v>
      </c>
      <c r="B110" s="4" t="s">
        <v>142</v>
      </c>
      <c r="D110" s="4" t="s">
        <v>54</v>
      </c>
      <c r="F110" s="1">
        <v>1000327.5</v>
      </c>
      <c r="G110" s="1"/>
      <c r="H110" s="1">
        <v>968716.52</v>
      </c>
      <c r="I110" s="1"/>
      <c r="J110" s="1">
        <v>0</v>
      </c>
      <c r="K110" s="1"/>
      <c r="L110" s="1">
        <v>136400.34</v>
      </c>
      <c r="M110" s="1"/>
      <c r="N110" s="1">
        <v>0</v>
      </c>
      <c r="O110" s="1"/>
      <c r="P110" s="1">
        <v>42422.13</v>
      </c>
      <c r="Q110" s="1"/>
      <c r="R110" s="1">
        <v>0</v>
      </c>
      <c r="S110" s="1"/>
      <c r="T110" s="1">
        <v>24994.29</v>
      </c>
      <c r="U110" s="1"/>
      <c r="V110" s="1">
        <v>2179.34</v>
      </c>
      <c r="W110" s="1"/>
      <c r="X110" s="1">
        <v>189.22</v>
      </c>
      <c r="Y110" s="1"/>
      <c r="Z110" s="1">
        <v>0</v>
      </c>
      <c r="AA110" s="1"/>
      <c r="AB110" s="1">
        <v>213000</v>
      </c>
      <c r="AC110" s="1"/>
      <c r="AD110" s="1">
        <v>0</v>
      </c>
      <c r="AE110" s="1"/>
      <c r="AF110" s="1">
        <v>0</v>
      </c>
      <c r="AH110" s="4">
        <f t="shared" si="4"/>
        <v>2388229.34</v>
      </c>
    </row>
    <row r="111" spans="1:66" s="4" customFormat="1">
      <c r="A111" s="4">
        <v>48</v>
      </c>
      <c r="B111" s="4" t="s">
        <v>143</v>
      </c>
      <c r="D111" s="4" t="s">
        <v>52</v>
      </c>
      <c r="F111" s="1">
        <v>0</v>
      </c>
      <c r="G111" s="1"/>
      <c r="H111" s="1">
        <v>486105.71</v>
      </c>
      <c r="I111" s="1"/>
      <c r="J111" s="1">
        <v>0</v>
      </c>
      <c r="K111" s="1"/>
      <c r="L111" s="1">
        <v>0</v>
      </c>
      <c r="M111" s="1"/>
      <c r="N111" s="1">
        <v>0</v>
      </c>
      <c r="O111" s="1"/>
      <c r="P111" s="1">
        <v>25364.32</v>
      </c>
      <c r="Q111" s="1"/>
      <c r="R111" s="1">
        <v>35</v>
      </c>
      <c r="S111" s="1"/>
      <c r="T111" s="1">
        <v>10821.19</v>
      </c>
      <c r="U111" s="1"/>
      <c r="V111" s="1">
        <v>27038.34</v>
      </c>
      <c r="W111" s="1"/>
      <c r="X111" s="1">
        <v>3389.05</v>
      </c>
      <c r="Y111" s="1"/>
      <c r="Z111" s="1">
        <v>0</v>
      </c>
      <c r="AA111" s="1"/>
      <c r="AB111" s="1">
        <v>0</v>
      </c>
      <c r="AC111" s="1"/>
      <c r="AD111" s="1">
        <v>0</v>
      </c>
      <c r="AE111" s="1"/>
      <c r="AF111" s="1">
        <v>0</v>
      </c>
      <c r="AH111" s="4">
        <f t="shared" si="4"/>
        <v>552753.6100000001</v>
      </c>
    </row>
    <row r="112" spans="1:66" s="4" customFormat="1">
      <c r="A112" s="4">
        <v>190</v>
      </c>
      <c r="B112" s="4" t="s">
        <v>144</v>
      </c>
      <c r="D112" s="4" t="s">
        <v>145</v>
      </c>
      <c r="F112" s="1">
        <v>351901</v>
      </c>
      <c r="G112" s="1">
        <v>0</v>
      </c>
      <c r="H112" s="1">
        <v>735947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28263</v>
      </c>
      <c r="Q112" s="1">
        <v>0</v>
      </c>
      <c r="R112" s="1">
        <v>0</v>
      </c>
      <c r="S112" s="1">
        <v>0</v>
      </c>
      <c r="T112" s="1">
        <v>53927</v>
      </c>
      <c r="U112" s="1">
        <v>0</v>
      </c>
      <c r="V112" s="1">
        <v>2496</v>
      </c>
      <c r="W112" s="1">
        <v>0</v>
      </c>
      <c r="X112" s="1">
        <v>29020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H112" s="4">
        <f t="shared" si="4"/>
        <v>1201554</v>
      </c>
    </row>
    <row r="113" spans="1:66" s="4" customFormat="1">
      <c r="A113" s="4">
        <v>90</v>
      </c>
      <c r="B113" s="4" t="s">
        <v>146</v>
      </c>
      <c r="D113" s="4" t="s">
        <v>17</v>
      </c>
      <c r="F113" s="1">
        <v>2499268</v>
      </c>
      <c r="G113" s="1">
        <v>0</v>
      </c>
      <c r="H113" s="1">
        <v>2515844</v>
      </c>
      <c r="I113" s="1">
        <v>0</v>
      </c>
      <c r="J113" s="1">
        <v>0</v>
      </c>
      <c r="K113" s="1">
        <v>0</v>
      </c>
      <c r="L113" s="1">
        <v>503438</v>
      </c>
      <c r="M113" s="1">
        <v>0</v>
      </c>
      <c r="N113" s="1">
        <v>0</v>
      </c>
      <c r="O113" s="1">
        <v>0</v>
      </c>
      <c r="P113" s="1">
        <v>180624</v>
      </c>
      <c r="Q113" s="1">
        <v>0</v>
      </c>
      <c r="R113" s="1">
        <v>2038</v>
      </c>
      <c r="S113" s="1">
        <v>0</v>
      </c>
      <c r="T113" s="1">
        <v>23562</v>
      </c>
      <c r="U113" s="1">
        <v>0</v>
      </c>
      <c r="V113" s="1">
        <v>17860</v>
      </c>
      <c r="W113" s="1">
        <v>0</v>
      </c>
      <c r="X113" s="1">
        <v>18088</v>
      </c>
      <c r="Y113" s="1">
        <v>0</v>
      </c>
      <c r="Z113" s="1">
        <v>0</v>
      </c>
      <c r="AA113" s="1">
        <v>0</v>
      </c>
      <c r="AB113" s="1">
        <v>687686</v>
      </c>
      <c r="AC113" s="1">
        <v>0</v>
      </c>
      <c r="AD113" s="1">
        <v>0</v>
      </c>
      <c r="AE113" s="1">
        <v>0</v>
      </c>
      <c r="AF113" s="1">
        <v>0</v>
      </c>
      <c r="AH113" s="4">
        <f t="shared" si="4"/>
        <v>6448408</v>
      </c>
    </row>
    <row r="114" spans="1:66" s="4" customFormat="1">
      <c r="A114" s="4">
        <v>170</v>
      </c>
      <c r="B114" s="4" t="s">
        <v>147</v>
      </c>
      <c r="D114" s="4" t="s">
        <v>55</v>
      </c>
      <c r="F114" s="1">
        <v>0</v>
      </c>
      <c r="G114" s="1"/>
      <c r="H114" s="1">
        <v>649057.59</v>
      </c>
      <c r="I114" s="1"/>
      <c r="J114" s="1">
        <v>0</v>
      </c>
      <c r="K114" s="1"/>
      <c r="L114" s="1">
        <v>0</v>
      </c>
      <c r="M114" s="1"/>
      <c r="N114" s="1">
        <v>0</v>
      </c>
      <c r="O114" s="1"/>
      <c r="P114" s="1">
        <v>16417.330000000002</v>
      </c>
      <c r="Q114" s="1"/>
      <c r="R114" s="1">
        <v>0</v>
      </c>
      <c r="S114" s="1"/>
      <c r="T114" s="1">
        <v>5798</v>
      </c>
      <c r="U114" s="1"/>
      <c r="V114" s="1">
        <v>9232.68</v>
      </c>
      <c r="W114" s="1"/>
      <c r="X114" s="1">
        <v>791.43</v>
      </c>
      <c r="Y114" s="1"/>
      <c r="Z114" s="1">
        <v>0</v>
      </c>
      <c r="AA114" s="1"/>
      <c r="AB114" s="1">
        <v>0</v>
      </c>
      <c r="AC114" s="1"/>
      <c r="AD114" s="1">
        <v>0</v>
      </c>
      <c r="AE114" s="1"/>
      <c r="AF114" s="1">
        <v>0</v>
      </c>
      <c r="AH114" s="4">
        <f t="shared" si="4"/>
        <v>681297.03</v>
      </c>
    </row>
    <row r="115" spans="1:66" s="4" customFormat="1">
      <c r="A115" s="4">
        <v>170</v>
      </c>
      <c r="B115" s="4" t="s">
        <v>639</v>
      </c>
      <c r="D115" s="4" t="s">
        <v>56</v>
      </c>
      <c r="F115" s="1">
        <v>0</v>
      </c>
      <c r="G115" s="1"/>
      <c r="H115" s="1">
        <v>0</v>
      </c>
      <c r="I115" s="1"/>
      <c r="J115" s="1">
        <v>0</v>
      </c>
      <c r="K115" s="1"/>
      <c r="L115" s="1">
        <v>631385.97</v>
      </c>
      <c r="M115" s="1"/>
      <c r="N115" s="1">
        <v>0</v>
      </c>
      <c r="O115" s="1"/>
      <c r="P115" s="1">
        <v>8760.66</v>
      </c>
      <c r="Q115" s="1"/>
      <c r="R115" s="1">
        <v>0</v>
      </c>
      <c r="S115" s="1"/>
      <c r="T115" s="1">
        <v>14205.77</v>
      </c>
      <c r="U115" s="1"/>
      <c r="V115" s="1">
        <v>9447.58</v>
      </c>
      <c r="W115" s="1"/>
      <c r="X115" s="1">
        <v>10753.82</v>
      </c>
      <c r="Y115" s="1"/>
      <c r="Z115" s="1">
        <v>0</v>
      </c>
      <c r="AA115" s="1"/>
      <c r="AB115" s="1">
        <v>0</v>
      </c>
      <c r="AC115" s="1"/>
      <c r="AD115" s="1">
        <v>0</v>
      </c>
      <c r="AE115" s="1"/>
      <c r="AF115" s="1">
        <v>0</v>
      </c>
      <c r="AH115" s="4">
        <f t="shared" ref="AH115" si="5">SUM(F115:AF115)</f>
        <v>674553.79999999993</v>
      </c>
    </row>
    <row r="116" spans="1:66" s="4" customFormat="1">
      <c r="A116" s="4">
        <v>224</v>
      </c>
      <c r="B116" s="4" t="s">
        <v>623</v>
      </c>
      <c r="D116" s="4" t="s">
        <v>26</v>
      </c>
      <c r="F116" s="1">
        <v>0</v>
      </c>
      <c r="G116" s="1"/>
      <c r="H116" s="1">
        <v>99099.98</v>
      </c>
      <c r="I116" s="1"/>
      <c r="J116" s="1">
        <v>0</v>
      </c>
      <c r="K116" s="1"/>
      <c r="L116" s="1">
        <v>0</v>
      </c>
      <c r="M116" s="1"/>
      <c r="N116" s="1">
        <v>0</v>
      </c>
      <c r="O116" s="1"/>
      <c r="P116" s="1">
        <v>4066.8</v>
      </c>
      <c r="Q116" s="1"/>
      <c r="R116" s="1">
        <v>0</v>
      </c>
      <c r="S116" s="1"/>
      <c r="T116" s="1">
        <v>5591.58</v>
      </c>
      <c r="U116" s="1"/>
      <c r="V116" s="1">
        <v>119.65</v>
      </c>
      <c r="W116" s="1"/>
      <c r="X116" s="1">
        <v>2815.83</v>
      </c>
      <c r="Y116" s="1"/>
      <c r="Z116" s="1">
        <v>0</v>
      </c>
      <c r="AA116" s="1"/>
      <c r="AB116" s="1">
        <v>0</v>
      </c>
      <c r="AC116" s="1"/>
      <c r="AD116" s="1">
        <v>0</v>
      </c>
      <c r="AE116" s="1"/>
      <c r="AF116" s="1">
        <v>0</v>
      </c>
      <c r="AH116" s="4">
        <f t="shared" si="4"/>
        <v>111693.84</v>
      </c>
    </row>
    <row r="117" spans="1:66" s="4" customFormat="1">
      <c r="A117" s="4">
        <v>143</v>
      </c>
      <c r="B117" s="4" t="s">
        <v>148</v>
      </c>
      <c r="D117" s="4" t="s">
        <v>57</v>
      </c>
      <c r="F117" s="1">
        <v>0</v>
      </c>
      <c r="G117" s="1"/>
      <c r="H117" s="1">
        <v>483519.4</v>
      </c>
      <c r="I117" s="1"/>
      <c r="J117" s="1">
        <v>0</v>
      </c>
      <c r="K117" s="1"/>
      <c r="L117" s="1">
        <v>7700</v>
      </c>
      <c r="M117" s="1"/>
      <c r="N117" s="1">
        <v>0</v>
      </c>
      <c r="O117" s="1"/>
      <c r="P117" s="1">
        <v>13821.38</v>
      </c>
      <c r="Q117" s="1"/>
      <c r="R117" s="1">
        <v>0</v>
      </c>
      <c r="S117" s="1"/>
      <c r="T117" s="1">
        <v>5010.4399999999996</v>
      </c>
      <c r="U117" s="1"/>
      <c r="V117" s="1">
        <v>4162.07</v>
      </c>
      <c r="W117" s="1"/>
      <c r="X117" s="1">
        <v>1767.09</v>
      </c>
      <c r="Y117" s="1"/>
      <c r="Z117" s="1">
        <v>0</v>
      </c>
      <c r="AA117" s="1"/>
      <c r="AB117" s="1">
        <v>0</v>
      </c>
      <c r="AC117" s="1"/>
      <c r="AD117" s="1">
        <v>0</v>
      </c>
      <c r="AE117" s="1"/>
      <c r="AF117" s="1">
        <v>0</v>
      </c>
      <c r="AH117" s="4">
        <f t="shared" si="4"/>
        <v>515980.38000000006</v>
      </c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4" customFormat="1">
      <c r="A118" s="4">
        <v>11</v>
      </c>
      <c r="B118" s="4" t="s">
        <v>304</v>
      </c>
      <c r="D118" s="4" t="s">
        <v>43</v>
      </c>
      <c r="F118" s="1">
        <v>0</v>
      </c>
      <c r="G118" s="1"/>
      <c r="H118" s="1">
        <v>140283.43</v>
      </c>
      <c r="I118" s="1"/>
      <c r="J118" s="1">
        <v>0</v>
      </c>
      <c r="K118" s="1"/>
      <c r="L118" s="1">
        <v>10404.620000000001</v>
      </c>
      <c r="M118" s="1"/>
      <c r="N118" s="1">
        <v>0</v>
      </c>
      <c r="O118" s="1"/>
      <c r="P118" s="1">
        <v>12101.84</v>
      </c>
      <c r="Q118" s="1"/>
      <c r="R118" s="1">
        <v>0</v>
      </c>
      <c r="S118" s="1"/>
      <c r="T118" s="1">
        <v>7801.23</v>
      </c>
      <c r="U118" s="1"/>
      <c r="V118" s="1">
        <v>5337.72</v>
      </c>
      <c r="W118" s="1"/>
      <c r="X118" s="1">
        <v>1422.62</v>
      </c>
      <c r="Y118" s="1"/>
      <c r="Z118" s="1">
        <v>0</v>
      </c>
      <c r="AA118" s="1"/>
      <c r="AB118" s="1">
        <v>0</v>
      </c>
      <c r="AC118" s="1"/>
      <c r="AD118" s="1">
        <v>0</v>
      </c>
      <c r="AE118" s="1"/>
      <c r="AF118" s="1">
        <v>0</v>
      </c>
      <c r="AH118" s="4">
        <f t="shared" si="4"/>
        <v>177351.46</v>
      </c>
    </row>
    <row r="119" spans="1:66" s="4" customFormat="1">
      <c r="A119" s="4">
        <v>77</v>
      </c>
      <c r="B119" s="4" t="s">
        <v>149</v>
      </c>
      <c r="D119" s="4" t="s">
        <v>92</v>
      </c>
      <c r="F119" s="1">
        <v>801846</v>
      </c>
      <c r="G119" s="1">
        <v>0</v>
      </c>
      <c r="H119" s="1">
        <v>1320926</v>
      </c>
      <c r="I119" s="1">
        <v>0</v>
      </c>
      <c r="J119" s="1">
        <v>0</v>
      </c>
      <c r="K119" s="1">
        <v>0</v>
      </c>
      <c r="L119" s="1">
        <v>197150</v>
      </c>
      <c r="M119" s="1">
        <v>0</v>
      </c>
      <c r="N119" s="1">
        <v>0</v>
      </c>
      <c r="O119" s="1">
        <v>0</v>
      </c>
      <c r="P119" s="1">
        <v>104333</v>
      </c>
      <c r="Q119" s="1">
        <v>0</v>
      </c>
      <c r="R119" s="1">
        <v>8142</v>
      </c>
      <c r="S119" s="1">
        <v>0</v>
      </c>
      <c r="T119" s="1">
        <v>29283</v>
      </c>
      <c r="U119" s="1">
        <v>0</v>
      </c>
      <c r="V119" s="1">
        <v>1815</v>
      </c>
      <c r="W119" s="1">
        <v>0</v>
      </c>
      <c r="X119" s="1">
        <f>13883+5181</f>
        <v>19064</v>
      </c>
      <c r="Y119" s="1">
        <v>0</v>
      </c>
      <c r="Z119" s="1">
        <v>0</v>
      </c>
      <c r="AA119" s="1">
        <v>0</v>
      </c>
      <c r="AB119" s="1">
        <v>40455</v>
      </c>
      <c r="AC119" s="1">
        <v>0</v>
      </c>
      <c r="AD119" s="1">
        <v>0</v>
      </c>
      <c r="AE119" s="1">
        <v>0</v>
      </c>
      <c r="AF119" s="1">
        <v>0</v>
      </c>
      <c r="AH119" s="4">
        <f t="shared" si="4"/>
        <v>2523014</v>
      </c>
    </row>
    <row r="120" spans="1:66" s="4" customFormat="1" hidden="1">
      <c r="A120" s="4">
        <v>132</v>
      </c>
      <c r="B120" s="4" t="s">
        <v>150</v>
      </c>
      <c r="D120" s="4" t="s">
        <v>41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H120" s="4">
        <f t="shared" si="4"/>
        <v>0</v>
      </c>
    </row>
    <row r="121" spans="1:66" s="4" customFormat="1">
      <c r="A121" s="4">
        <v>91</v>
      </c>
      <c r="B121" s="4" t="s">
        <v>598</v>
      </c>
      <c r="D121" s="4" t="s">
        <v>152</v>
      </c>
      <c r="F121" s="1">
        <v>3439914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4083354</v>
      </c>
      <c r="M121" s="1">
        <v>0</v>
      </c>
      <c r="N121" s="1">
        <v>0</v>
      </c>
      <c r="O121" s="1">
        <v>0</v>
      </c>
      <c r="P121" s="1">
        <v>191570</v>
      </c>
      <c r="Q121" s="1">
        <v>0</v>
      </c>
      <c r="R121" s="1">
        <v>0</v>
      </c>
      <c r="S121" s="1">
        <v>0</v>
      </c>
      <c r="T121" s="1">
        <v>8370</v>
      </c>
      <c r="U121" s="1">
        <v>0</v>
      </c>
      <c r="V121" s="1">
        <v>83144</v>
      </c>
      <c r="W121" s="1">
        <v>0</v>
      </c>
      <c r="X121" s="1">
        <f>54086+2</f>
        <v>54088</v>
      </c>
      <c r="Y121" s="1">
        <v>0</v>
      </c>
      <c r="Z121" s="1">
        <v>0</v>
      </c>
      <c r="AA121" s="1">
        <v>0</v>
      </c>
      <c r="AB121" s="1">
        <v>1000</v>
      </c>
      <c r="AC121" s="1">
        <v>0</v>
      </c>
      <c r="AD121" s="1">
        <v>0</v>
      </c>
      <c r="AE121" s="1">
        <v>0</v>
      </c>
      <c r="AF121" s="1">
        <v>0</v>
      </c>
      <c r="AH121" s="4">
        <f t="shared" si="4"/>
        <v>7861440</v>
      </c>
    </row>
    <row r="122" spans="1:66" s="4" customFormat="1">
      <c r="A122" s="4">
        <v>59</v>
      </c>
      <c r="B122" s="4" t="s">
        <v>153</v>
      </c>
      <c r="D122" s="4" t="s">
        <v>81</v>
      </c>
      <c r="F122" s="1">
        <v>0</v>
      </c>
      <c r="G122" s="1"/>
      <c r="H122" s="1">
        <v>724752.66</v>
      </c>
      <c r="I122" s="1"/>
      <c r="J122" s="1">
        <v>0</v>
      </c>
      <c r="K122" s="1"/>
      <c r="L122" s="1">
        <v>0</v>
      </c>
      <c r="M122" s="1"/>
      <c r="N122" s="1">
        <v>0</v>
      </c>
      <c r="O122" s="1"/>
      <c r="P122" s="1">
        <v>14967.11</v>
      </c>
      <c r="Q122" s="1"/>
      <c r="R122" s="1">
        <v>0</v>
      </c>
      <c r="S122" s="1"/>
      <c r="T122" s="1">
        <v>112802.23</v>
      </c>
      <c r="U122" s="1"/>
      <c r="V122" s="1">
        <v>1113</v>
      </c>
      <c r="W122" s="1"/>
      <c r="X122" s="1">
        <v>4644.8900000000003</v>
      </c>
      <c r="Y122" s="1"/>
      <c r="Z122" s="1">
        <v>0</v>
      </c>
      <c r="AA122" s="1"/>
      <c r="AB122" s="1">
        <v>0</v>
      </c>
      <c r="AC122" s="1"/>
      <c r="AD122" s="1">
        <v>0</v>
      </c>
      <c r="AE122" s="1"/>
      <c r="AF122" s="1">
        <v>150</v>
      </c>
      <c r="AH122" s="4">
        <f t="shared" si="4"/>
        <v>858429.89</v>
      </c>
    </row>
    <row r="123" spans="1:66" s="4" customFormat="1">
      <c r="A123" s="4">
        <v>92</v>
      </c>
      <c r="B123" s="4" t="s">
        <v>599</v>
      </c>
      <c r="D123" s="4" t="s">
        <v>154</v>
      </c>
      <c r="F123" s="1">
        <v>0</v>
      </c>
      <c r="G123" s="1">
        <v>0</v>
      </c>
      <c r="H123" s="1">
        <v>1128756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39939</v>
      </c>
      <c r="Q123" s="1">
        <v>0</v>
      </c>
      <c r="R123" s="1">
        <v>0</v>
      </c>
      <c r="S123" s="1">
        <v>0</v>
      </c>
      <c r="T123" s="1">
        <v>6858</v>
      </c>
      <c r="U123" s="1">
        <v>0</v>
      </c>
      <c r="V123" s="1">
        <v>33727</v>
      </c>
      <c r="W123" s="1">
        <v>0</v>
      </c>
      <c r="X123" s="1">
        <v>4502</v>
      </c>
      <c r="Y123" s="1">
        <v>0</v>
      </c>
      <c r="Z123" s="1">
        <v>3607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H123" s="4">
        <f t="shared" si="4"/>
        <v>1217389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66" s="4" customFormat="1">
      <c r="A124" s="4">
        <v>12</v>
      </c>
      <c r="B124" s="4" t="s">
        <v>155</v>
      </c>
      <c r="D124" s="4" t="s">
        <v>43</v>
      </c>
      <c r="F124" s="1">
        <v>243534.85</v>
      </c>
      <c r="G124" s="1"/>
      <c r="H124" s="1">
        <v>313676.92</v>
      </c>
      <c r="I124" s="1"/>
      <c r="J124" s="1">
        <v>0</v>
      </c>
      <c r="K124" s="1"/>
      <c r="L124" s="1">
        <v>46162.96</v>
      </c>
      <c r="M124" s="1"/>
      <c r="N124" s="1">
        <v>0</v>
      </c>
      <c r="O124" s="1"/>
      <c r="P124" s="1">
        <v>9811.99</v>
      </c>
      <c r="Q124" s="1"/>
      <c r="R124" s="1">
        <v>0</v>
      </c>
      <c r="S124" s="1"/>
      <c r="T124" s="1">
        <v>2662.79</v>
      </c>
      <c r="U124" s="1"/>
      <c r="V124" s="1">
        <v>885.17</v>
      </c>
      <c r="W124" s="1"/>
      <c r="X124" s="1">
        <v>595.02</v>
      </c>
      <c r="Y124" s="1"/>
      <c r="Z124" s="1">
        <v>0</v>
      </c>
      <c r="AA124" s="1"/>
      <c r="AB124" s="1">
        <v>140353.94</v>
      </c>
      <c r="AC124" s="1"/>
      <c r="AD124" s="1">
        <v>0</v>
      </c>
      <c r="AE124" s="1"/>
      <c r="AF124" s="1">
        <v>0</v>
      </c>
      <c r="AH124" s="4">
        <f t="shared" si="4"/>
        <v>757683.64000000013</v>
      </c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</row>
    <row r="125" spans="1:66" s="4" customFormat="1">
      <c r="A125" s="4">
        <v>98</v>
      </c>
      <c r="B125" s="4" t="s">
        <v>156</v>
      </c>
      <c r="D125" s="4" t="s">
        <v>61</v>
      </c>
      <c r="F125" s="1">
        <v>0</v>
      </c>
      <c r="G125" s="1">
        <v>0</v>
      </c>
      <c r="H125" s="1">
        <v>61132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2081</v>
      </c>
      <c r="Q125" s="1">
        <v>0</v>
      </c>
      <c r="R125" s="1">
        <v>0</v>
      </c>
      <c r="S125" s="1">
        <v>0</v>
      </c>
      <c r="T125" s="1">
        <v>525</v>
      </c>
      <c r="U125" s="1">
        <v>0</v>
      </c>
      <c r="V125" s="1">
        <v>19</v>
      </c>
      <c r="W125" s="1">
        <v>0</v>
      </c>
      <c r="X125" s="1">
        <v>1000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H125" s="4">
        <f t="shared" si="4"/>
        <v>64757</v>
      </c>
    </row>
    <row r="126" spans="1:66" s="4" customFormat="1">
      <c r="A126" s="4">
        <v>181</v>
      </c>
      <c r="B126" s="4" t="s">
        <v>157</v>
      </c>
      <c r="D126" s="4" t="s">
        <v>158</v>
      </c>
      <c r="F126" s="1">
        <v>0</v>
      </c>
      <c r="G126" s="1">
        <v>0</v>
      </c>
      <c r="H126" s="1">
        <v>357048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18370</v>
      </c>
      <c r="Q126" s="1">
        <v>0</v>
      </c>
      <c r="R126" s="1">
        <v>0</v>
      </c>
      <c r="S126" s="1">
        <v>0</v>
      </c>
      <c r="T126" s="1">
        <v>3838</v>
      </c>
      <c r="U126" s="1">
        <v>0</v>
      </c>
      <c r="V126" s="1">
        <v>1025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30000</v>
      </c>
      <c r="AC126" s="1">
        <v>0</v>
      </c>
      <c r="AD126" s="1">
        <v>0</v>
      </c>
      <c r="AE126" s="1">
        <v>0</v>
      </c>
      <c r="AF126" s="1">
        <v>0</v>
      </c>
      <c r="AH126" s="4">
        <f t="shared" si="4"/>
        <v>410281</v>
      </c>
    </row>
    <row r="127" spans="1:66" s="4" customFormat="1">
      <c r="A127" s="4">
        <v>13</v>
      </c>
      <c r="B127" s="4" t="s">
        <v>305</v>
      </c>
      <c r="D127" s="4" t="s">
        <v>43</v>
      </c>
      <c r="F127" s="1">
        <v>0</v>
      </c>
      <c r="G127" s="1"/>
      <c r="H127" s="1">
        <v>243225.11</v>
      </c>
      <c r="I127" s="1"/>
      <c r="J127" s="1">
        <v>0</v>
      </c>
      <c r="K127" s="1"/>
      <c r="L127" s="1">
        <v>58878.87</v>
      </c>
      <c r="M127" s="1"/>
      <c r="N127" s="1">
        <v>0</v>
      </c>
      <c r="O127" s="1"/>
      <c r="P127" s="1">
        <v>18215.689999999999</v>
      </c>
      <c r="Q127" s="1"/>
      <c r="R127" s="1">
        <v>0</v>
      </c>
      <c r="S127" s="1"/>
      <c r="T127" s="1">
        <v>76886.39</v>
      </c>
      <c r="U127" s="1"/>
      <c r="V127" s="1">
        <v>214.62</v>
      </c>
      <c r="W127" s="1"/>
      <c r="X127" s="1">
        <v>1803.39</v>
      </c>
      <c r="Y127" s="1"/>
      <c r="Z127" s="1">
        <v>10804.65</v>
      </c>
      <c r="AA127" s="1"/>
      <c r="AB127" s="1">
        <v>0</v>
      </c>
      <c r="AC127" s="1"/>
      <c r="AD127" s="1">
        <v>0</v>
      </c>
      <c r="AE127" s="1"/>
      <c r="AF127" s="1">
        <v>0</v>
      </c>
      <c r="AH127" s="4">
        <f t="shared" si="4"/>
        <v>410028.72000000003</v>
      </c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4" customFormat="1">
      <c r="A128" s="4">
        <v>239</v>
      </c>
      <c r="B128" s="4" t="s">
        <v>159</v>
      </c>
      <c r="D128" s="4" t="s">
        <v>160</v>
      </c>
      <c r="F128" s="1">
        <v>59308</v>
      </c>
      <c r="G128" s="1">
        <v>0</v>
      </c>
      <c r="H128" s="1">
        <v>329722</v>
      </c>
      <c r="I128" s="1">
        <v>0</v>
      </c>
      <c r="J128" s="1">
        <v>0</v>
      </c>
      <c r="K128" s="1">
        <v>0</v>
      </c>
      <c r="L128" s="1">
        <v>17842</v>
      </c>
      <c r="M128" s="1">
        <v>0</v>
      </c>
      <c r="N128" s="1">
        <v>0</v>
      </c>
      <c r="O128" s="1">
        <v>0</v>
      </c>
      <c r="P128" s="1">
        <v>8225</v>
      </c>
      <c r="Q128" s="1">
        <v>0</v>
      </c>
      <c r="R128" s="1">
        <v>0</v>
      </c>
      <c r="S128" s="1">
        <v>0</v>
      </c>
      <c r="T128" s="1">
        <v>45026</v>
      </c>
      <c r="U128" s="1">
        <v>0</v>
      </c>
      <c r="V128" s="1">
        <v>37737</v>
      </c>
      <c r="W128" s="1">
        <v>0</v>
      </c>
      <c r="X128" s="1">
        <v>40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H128" s="4">
        <f t="shared" si="4"/>
        <v>497900</v>
      </c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4" customFormat="1">
      <c r="A129" s="4">
        <v>144</v>
      </c>
      <c r="B129" s="4" t="s">
        <v>458</v>
      </c>
      <c r="D129" s="4" t="s">
        <v>57</v>
      </c>
      <c r="F129" s="1">
        <v>152021.1</v>
      </c>
      <c r="G129" s="1"/>
      <c r="H129" s="1">
        <v>281211.49</v>
      </c>
      <c r="I129" s="1"/>
      <c r="J129" s="1">
        <v>0</v>
      </c>
      <c r="K129" s="1"/>
      <c r="L129" s="1">
        <v>30590.62</v>
      </c>
      <c r="M129" s="1"/>
      <c r="N129" s="1">
        <v>0</v>
      </c>
      <c r="O129" s="1"/>
      <c r="P129" s="1">
        <v>11574.97</v>
      </c>
      <c r="Q129" s="1"/>
      <c r="R129" s="1">
        <v>0</v>
      </c>
      <c r="S129" s="1"/>
      <c r="T129" s="1">
        <v>26420.98</v>
      </c>
      <c r="U129" s="1"/>
      <c r="V129" s="1">
        <v>6511.81</v>
      </c>
      <c r="W129" s="1"/>
      <c r="X129" s="1">
        <v>0</v>
      </c>
      <c r="Y129" s="1"/>
      <c r="Z129" s="1">
        <v>0</v>
      </c>
      <c r="AA129" s="1"/>
      <c r="AB129" s="1">
        <v>0</v>
      </c>
      <c r="AC129" s="1"/>
      <c r="AD129" s="1">
        <v>0</v>
      </c>
      <c r="AE129" s="1"/>
      <c r="AF129" s="1">
        <v>0</v>
      </c>
      <c r="AH129" s="4">
        <f t="shared" si="4"/>
        <v>508330.96999999991</v>
      </c>
    </row>
    <row r="130" spans="1:66" s="4" customFormat="1">
      <c r="A130" s="4">
        <v>107</v>
      </c>
      <c r="B130" s="4" t="s">
        <v>161</v>
      </c>
      <c r="D130" s="4" t="s">
        <v>58</v>
      </c>
      <c r="F130" s="1">
        <v>1073532.4099999999</v>
      </c>
      <c r="G130" s="1"/>
      <c r="H130" s="1">
        <v>0</v>
      </c>
      <c r="I130" s="1"/>
      <c r="J130" s="1">
        <v>0</v>
      </c>
      <c r="K130" s="1"/>
      <c r="L130" s="1">
        <v>0</v>
      </c>
      <c r="M130" s="1"/>
      <c r="N130" s="1">
        <v>0</v>
      </c>
      <c r="O130" s="1"/>
      <c r="P130" s="1">
        <v>61612.54</v>
      </c>
      <c r="Q130" s="1"/>
      <c r="R130" s="1">
        <v>0</v>
      </c>
      <c r="S130" s="1"/>
      <c r="T130" s="1">
        <v>62423.33</v>
      </c>
      <c r="U130" s="1"/>
      <c r="V130" s="1">
        <v>106653.01</v>
      </c>
      <c r="W130" s="1"/>
      <c r="X130" s="1">
        <v>212.59</v>
      </c>
      <c r="Y130" s="1"/>
      <c r="Z130" s="1">
        <v>0</v>
      </c>
      <c r="AA130" s="1"/>
      <c r="AB130" s="1">
        <v>0</v>
      </c>
      <c r="AC130" s="1"/>
      <c r="AD130" s="1">
        <v>0</v>
      </c>
      <c r="AE130" s="1"/>
      <c r="AF130" s="1">
        <v>0</v>
      </c>
      <c r="AH130" s="4">
        <f t="shared" si="4"/>
        <v>1304433.8800000001</v>
      </c>
    </row>
    <row r="131" spans="1:66" s="4" customFormat="1">
      <c r="A131" s="4">
        <v>103</v>
      </c>
      <c r="B131" s="4" t="s">
        <v>162</v>
      </c>
      <c r="D131" s="4" t="s">
        <v>60</v>
      </c>
      <c r="F131" s="1">
        <v>94361.77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178.9</v>
      </c>
      <c r="Q131" s="1">
        <v>0</v>
      </c>
      <c r="R131" s="1">
        <v>0</v>
      </c>
      <c r="S131" s="1">
        <v>0</v>
      </c>
      <c r="T131" s="1">
        <v>185</v>
      </c>
      <c r="U131" s="1">
        <v>0</v>
      </c>
      <c r="V131" s="1">
        <v>3453.71</v>
      </c>
      <c r="W131" s="1">
        <v>0</v>
      </c>
      <c r="X131" s="1">
        <v>1376.36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H131" s="4">
        <f t="shared" si="4"/>
        <v>99555.74</v>
      </c>
    </row>
    <row r="132" spans="1:66" s="4" customFormat="1">
      <c r="A132" s="4">
        <v>109</v>
      </c>
      <c r="B132" s="4" t="s">
        <v>600</v>
      </c>
      <c r="D132" s="4" t="s">
        <v>163</v>
      </c>
      <c r="F132" s="1">
        <v>0</v>
      </c>
      <c r="G132" s="1"/>
      <c r="H132" s="1">
        <v>970698.15</v>
      </c>
      <c r="I132" s="1"/>
      <c r="J132" s="1">
        <v>0</v>
      </c>
      <c r="K132" s="1"/>
      <c r="L132" s="1">
        <v>0</v>
      </c>
      <c r="M132" s="1"/>
      <c r="N132" s="1">
        <v>0</v>
      </c>
      <c r="O132" s="1"/>
      <c r="P132" s="1">
        <v>26173.94</v>
      </c>
      <c r="Q132" s="1"/>
      <c r="R132" s="1">
        <v>0</v>
      </c>
      <c r="S132" s="1"/>
      <c r="T132" s="1">
        <v>152814.1</v>
      </c>
      <c r="U132" s="1"/>
      <c r="V132" s="1">
        <v>4428.4399999999996</v>
      </c>
      <c r="W132" s="1"/>
      <c r="X132" s="1">
        <v>20380.75</v>
      </c>
      <c r="Y132" s="1"/>
      <c r="Z132" s="1">
        <v>2673.25</v>
      </c>
      <c r="AA132" s="1"/>
      <c r="AB132" s="1">
        <v>225000</v>
      </c>
      <c r="AC132" s="1"/>
      <c r="AD132" s="1">
        <v>8782</v>
      </c>
      <c r="AE132" s="1"/>
      <c r="AF132" s="1">
        <v>0</v>
      </c>
      <c r="AH132" s="4">
        <f t="shared" si="4"/>
        <v>1410950.63</v>
      </c>
    </row>
    <row r="133" spans="1:66" s="4" customFormat="1">
      <c r="A133" s="4">
        <v>133</v>
      </c>
      <c r="B133" s="4" t="s">
        <v>306</v>
      </c>
      <c r="D133" s="4" t="s">
        <v>41</v>
      </c>
      <c r="F133" s="1">
        <v>0</v>
      </c>
      <c r="G133" s="1"/>
      <c r="H133" s="1">
        <v>171662.95</v>
      </c>
      <c r="I133" s="1"/>
      <c r="J133" s="1">
        <v>0</v>
      </c>
      <c r="K133" s="1"/>
      <c r="L133" s="1">
        <v>0</v>
      </c>
      <c r="M133" s="1"/>
      <c r="N133" s="1">
        <v>0</v>
      </c>
      <c r="O133" s="1"/>
      <c r="P133" s="1">
        <v>1845.58</v>
      </c>
      <c r="Q133" s="1"/>
      <c r="R133" s="1">
        <v>0</v>
      </c>
      <c r="S133" s="1"/>
      <c r="T133" s="1">
        <v>654.28</v>
      </c>
      <c r="U133" s="1"/>
      <c r="V133" s="1">
        <v>521.97</v>
      </c>
      <c r="W133" s="1"/>
      <c r="X133" s="1">
        <v>684.02</v>
      </c>
      <c r="Y133" s="1"/>
      <c r="Z133" s="1">
        <v>0</v>
      </c>
      <c r="AA133" s="1"/>
      <c r="AB133" s="1">
        <v>0</v>
      </c>
      <c r="AC133" s="1"/>
      <c r="AD133" s="1">
        <v>0</v>
      </c>
      <c r="AE133" s="1"/>
      <c r="AF133" s="1">
        <v>0</v>
      </c>
      <c r="AH133" s="4">
        <f t="shared" si="4"/>
        <v>175368.8</v>
      </c>
    </row>
    <row r="134" spans="1:66" s="4" customFormat="1">
      <c r="A134" s="4">
        <v>225</v>
      </c>
      <c r="B134" s="4" t="s">
        <v>459</v>
      </c>
      <c r="D134" s="4" t="s">
        <v>56</v>
      </c>
      <c r="F134" s="1">
        <v>0</v>
      </c>
      <c r="G134" s="1"/>
      <c r="H134" s="1">
        <v>631385.97</v>
      </c>
      <c r="I134" s="1"/>
      <c r="J134" s="1">
        <v>0</v>
      </c>
      <c r="K134" s="1"/>
      <c r="L134" s="1">
        <v>0</v>
      </c>
      <c r="M134" s="1"/>
      <c r="N134" s="1">
        <v>0</v>
      </c>
      <c r="O134" s="1"/>
      <c r="P134" s="1">
        <v>13236.43</v>
      </c>
      <c r="Q134" s="1"/>
      <c r="R134" s="1">
        <v>4700</v>
      </c>
      <c r="S134" s="1"/>
      <c r="T134" s="1">
        <v>20544.419999999998</v>
      </c>
      <c r="U134" s="1"/>
      <c r="V134" s="1">
        <v>4716.2</v>
      </c>
      <c r="W134" s="1"/>
      <c r="X134" s="1">
        <v>3111.61</v>
      </c>
      <c r="Y134" s="1"/>
      <c r="Z134" s="1">
        <v>0</v>
      </c>
      <c r="AA134" s="1"/>
      <c r="AB134" s="1">
        <v>55236.04</v>
      </c>
      <c r="AC134" s="1"/>
      <c r="AD134" s="1">
        <v>0</v>
      </c>
      <c r="AE134" s="1"/>
      <c r="AF134" s="1">
        <v>0</v>
      </c>
      <c r="AH134" s="4">
        <f t="shared" si="4"/>
        <v>732930.67</v>
      </c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4" customFormat="1">
      <c r="A135" s="4">
        <v>218</v>
      </c>
      <c r="B135" s="4" t="s">
        <v>165</v>
      </c>
      <c r="D135" s="4" t="s">
        <v>22</v>
      </c>
      <c r="F135" s="1">
        <v>355633.59</v>
      </c>
      <c r="G135" s="1"/>
      <c r="H135" s="1">
        <v>300324.45</v>
      </c>
      <c r="I135" s="1"/>
      <c r="J135" s="1">
        <v>0</v>
      </c>
      <c r="K135" s="1"/>
      <c r="L135" s="1">
        <v>0</v>
      </c>
      <c r="M135" s="1"/>
      <c r="N135" s="1">
        <v>0</v>
      </c>
      <c r="O135" s="1"/>
      <c r="P135" s="1">
        <v>29850.92</v>
      </c>
      <c r="Q135" s="1"/>
      <c r="R135" s="1">
        <v>0</v>
      </c>
      <c r="S135" s="1"/>
      <c r="T135" s="1">
        <v>12937.07</v>
      </c>
      <c r="U135" s="1"/>
      <c r="V135" s="1">
        <v>722.84</v>
      </c>
      <c r="W135" s="1"/>
      <c r="X135" s="1">
        <v>7083.51</v>
      </c>
      <c r="Y135" s="1"/>
      <c r="Z135" s="1">
        <v>0</v>
      </c>
      <c r="AA135" s="1"/>
      <c r="AB135" s="1">
        <v>37443.29</v>
      </c>
      <c r="AC135" s="1"/>
      <c r="AD135" s="1">
        <v>4400</v>
      </c>
      <c r="AE135" s="1"/>
      <c r="AF135" s="1">
        <v>0</v>
      </c>
      <c r="AH135" s="4">
        <f t="shared" si="4"/>
        <v>748395.67</v>
      </c>
    </row>
    <row r="136" spans="1:66" s="4" customFormat="1">
      <c r="A136" s="4">
        <v>66</v>
      </c>
      <c r="B136" s="4" t="s">
        <v>166</v>
      </c>
      <c r="D136" s="4" t="s">
        <v>167</v>
      </c>
      <c r="F136" s="1">
        <v>220144.43</v>
      </c>
      <c r="G136" s="1"/>
      <c r="H136" s="1">
        <v>286104</v>
      </c>
      <c r="I136" s="1"/>
      <c r="J136" s="1">
        <v>0</v>
      </c>
      <c r="K136" s="1"/>
      <c r="L136" s="1">
        <v>29143.33</v>
      </c>
      <c r="M136" s="1"/>
      <c r="N136" s="1">
        <v>0</v>
      </c>
      <c r="O136" s="1"/>
      <c r="P136" s="1">
        <v>11554.2</v>
      </c>
      <c r="Q136" s="1"/>
      <c r="R136" s="1">
        <v>0</v>
      </c>
      <c r="S136" s="1"/>
      <c r="T136" s="1">
        <v>13935.23</v>
      </c>
      <c r="U136" s="1"/>
      <c r="V136" s="1">
        <v>273.93</v>
      </c>
      <c r="W136" s="1"/>
      <c r="X136" s="1">
        <v>2483</v>
      </c>
      <c r="Y136" s="1"/>
      <c r="Z136" s="1">
        <v>0</v>
      </c>
      <c r="AA136" s="1"/>
      <c r="AB136" s="1">
        <v>0</v>
      </c>
      <c r="AC136" s="1"/>
      <c r="AD136" s="1">
        <v>0</v>
      </c>
      <c r="AE136" s="1"/>
      <c r="AF136" s="1">
        <v>0</v>
      </c>
      <c r="AH136" s="4">
        <f t="shared" si="4"/>
        <v>563638.12</v>
      </c>
    </row>
    <row r="137" spans="1:66" s="4" customFormat="1" hidden="1">
      <c r="A137" s="4">
        <v>148</v>
      </c>
      <c r="B137" s="4" t="s">
        <v>37</v>
      </c>
      <c r="D137" s="4" t="s">
        <v>12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H137" s="4">
        <f t="shared" si="4"/>
        <v>0</v>
      </c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4" customFormat="1" hidden="1">
      <c r="A138" s="4">
        <v>182</v>
      </c>
      <c r="B138" s="4" t="s">
        <v>168</v>
      </c>
      <c r="D138" s="4" t="s">
        <v>158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H138" s="4">
        <f t="shared" si="4"/>
        <v>0</v>
      </c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4" customFormat="1">
      <c r="A139" s="4">
        <v>164</v>
      </c>
      <c r="B139" s="4" t="s">
        <v>339</v>
      </c>
      <c r="D139" s="4" t="s">
        <v>53</v>
      </c>
      <c r="F139" s="1">
        <v>0</v>
      </c>
      <c r="G139" s="1"/>
      <c r="H139" s="1">
        <v>210198.91</v>
      </c>
      <c r="I139" s="1"/>
      <c r="J139" s="1">
        <v>0</v>
      </c>
      <c r="K139" s="1"/>
      <c r="L139" s="1">
        <v>0</v>
      </c>
      <c r="M139" s="1"/>
      <c r="N139" s="1">
        <v>0</v>
      </c>
      <c r="O139" s="1"/>
      <c r="P139" s="1">
        <v>4634.4799999999996</v>
      </c>
      <c r="Q139" s="1"/>
      <c r="R139" s="1">
        <v>0</v>
      </c>
      <c r="S139" s="1"/>
      <c r="T139" s="1">
        <v>1618.52</v>
      </c>
      <c r="U139" s="1"/>
      <c r="V139" s="1">
        <v>14044.85</v>
      </c>
      <c r="W139" s="1"/>
      <c r="X139" s="1">
        <v>1021.22</v>
      </c>
      <c r="Y139" s="1"/>
      <c r="Z139" s="1">
        <v>0</v>
      </c>
      <c r="AA139" s="1"/>
      <c r="AB139" s="1">
        <v>0</v>
      </c>
      <c r="AC139" s="1"/>
      <c r="AD139" s="1">
        <v>0</v>
      </c>
      <c r="AE139" s="1"/>
      <c r="AF139" s="1">
        <v>0</v>
      </c>
      <c r="AH139" s="4">
        <f t="shared" si="4"/>
        <v>231517.98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1:66" s="4" customFormat="1">
      <c r="A140" s="4">
        <v>115</v>
      </c>
      <c r="B140" s="4" t="s">
        <v>169</v>
      </c>
      <c r="D140" s="4" t="s">
        <v>170</v>
      </c>
      <c r="F140" s="1">
        <v>0</v>
      </c>
      <c r="G140" s="1"/>
      <c r="H140" s="1">
        <v>372485.13</v>
      </c>
      <c r="I140" s="1"/>
      <c r="J140" s="1">
        <v>0</v>
      </c>
      <c r="K140" s="1"/>
      <c r="L140" s="1">
        <v>0</v>
      </c>
      <c r="M140" s="1"/>
      <c r="N140" s="1">
        <v>0</v>
      </c>
      <c r="O140" s="1"/>
      <c r="P140" s="1">
        <v>16120.45</v>
      </c>
      <c r="Q140" s="1"/>
      <c r="R140" s="1">
        <v>0</v>
      </c>
      <c r="S140" s="1"/>
      <c r="T140" s="1">
        <v>11908.34</v>
      </c>
      <c r="U140" s="1"/>
      <c r="V140" s="1">
        <v>11798.6</v>
      </c>
      <c r="W140" s="1"/>
      <c r="X140" s="1">
        <v>5550.6</v>
      </c>
      <c r="Y140" s="1"/>
      <c r="Z140" s="1">
        <v>1800.2</v>
      </c>
      <c r="AA140" s="1"/>
      <c r="AB140" s="1">
        <v>0</v>
      </c>
      <c r="AC140" s="1"/>
      <c r="AD140" s="1">
        <v>0</v>
      </c>
      <c r="AE140" s="1"/>
      <c r="AF140" s="1">
        <v>0</v>
      </c>
      <c r="AH140" s="4">
        <f t="shared" si="4"/>
        <v>419663.32</v>
      </c>
    </row>
    <row r="141" spans="1:66" s="4" customFormat="1">
      <c r="A141" s="4">
        <v>173</v>
      </c>
      <c r="B141" s="4" t="s">
        <v>338</v>
      </c>
      <c r="D141" s="4" t="s">
        <v>59</v>
      </c>
      <c r="F141" s="1">
        <v>0</v>
      </c>
      <c r="G141" s="1"/>
      <c r="H141" s="1">
        <v>402275.42</v>
      </c>
      <c r="I141" s="1"/>
      <c r="J141" s="1">
        <v>0</v>
      </c>
      <c r="K141" s="1"/>
      <c r="L141" s="1">
        <v>0</v>
      </c>
      <c r="M141" s="1"/>
      <c r="N141" s="1">
        <v>0</v>
      </c>
      <c r="O141" s="1"/>
      <c r="P141" s="1">
        <v>18111.5</v>
      </c>
      <c r="Q141" s="1"/>
      <c r="R141" s="1">
        <v>0</v>
      </c>
      <c r="S141" s="1"/>
      <c r="T141" s="1">
        <v>2019.2</v>
      </c>
      <c r="U141" s="1"/>
      <c r="V141" s="1">
        <v>15462.94</v>
      </c>
      <c r="W141" s="1"/>
      <c r="X141" s="1">
        <v>13674.92</v>
      </c>
      <c r="Y141" s="1"/>
      <c r="Z141" s="1">
        <v>0</v>
      </c>
      <c r="AA141" s="1"/>
      <c r="AB141" s="1">
        <v>0</v>
      </c>
      <c r="AC141" s="1"/>
      <c r="AD141" s="1">
        <v>0</v>
      </c>
      <c r="AE141" s="1"/>
      <c r="AF141" s="1">
        <v>0</v>
      </c>
      <c r="AH141" s="4">
        <f t="shared" si="4"/>
        <v>451543.98</v>
      </c>
    </row>
    <row r="142" spans="1:66" s="4" customFormat="1">
      <c r="A142" s="4">
        <v>205</v>
      </c>
      <c r="B142" s="4" t="s">
        <v>171</v>
      </c>
      <c r="D142" s="4" t="s">
        <v>45</v>
      </c>
      <c r="F142" s="1">
        <v>529597.65</v>
      </c>
      <c r="G142" s="1">
        <v>0</v>
      </c>
      <c r="H142" s="1">
        <v>30000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10379.549999999999</v>
      </c>
      <c r="Q142" s="1">
        <v>0</v>
      </c>
      <c r="R142" s="1">
        <v>0</v>
      </c>
      <c r="S142" s="1">
        <v>0</v>
      </c>
      <c r="T142" s="1">
        <v>26403.25</v>
      </c>
      <c r="U142" s="1">
        <v>0</v>
      </c>
      <c r="V142" s="1">
        <v>46783.01</v>
      </c>
      <c r="W142" s="1">
        <v>0</v>
      </c>
      <c r="X142" s="1">
        <v>26808.11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H142" s="4">
        <f t="shared" si="4"/>
        <v>669971.57000000007</v>
      </c>
    </row>
    <row r="143" spans="1:66" s="4" customFormat="1">
      <c r="A143" s="4">
        <v>191</v>
      </c>
      <c r="B143" s="4" t="s">
        <v>172</v>
      </c>
      <c r="D143" s="4" t="s">
        <v>173</v>
      </c>
      <c r="F143" s="1">
        <v>0</v>
      </c>
      <c r="G143" s="1"/>
      <c r="H143" s="1">
        <v>1236862.6599999999</v>
      </c>
      <c r="I143" s="1"/>
      <c r="J143" s="1">
        <v>0</v>
      </c>
      <c r="K143" s="1"/>
      <c r="L143" s="1">
        <v>2825</v>
      </c>
      <c r="M143" s="1"/>
      <c r="N143" s="1">
        <v>0</v>
      </c>
      <c r="O143" s="1"/>
      <c r="P143" s="1">
        <v>38225.089999999997</v>
      </c>
      <c r="Q143" s="1"/>
      <c r="R143" s="1">
        <v>0</v>
      </c>
      <c r="S143" s="1"/>
      <c r="T143" s="1">
        <v>190</v>
      </c>
      <c r="U143" s="1"/>
      <c r="V143" s="1">
        <v>17415.330000000002</v>
      </c>
      <c r="W143" s="1"/>
      <c r="X143" s="1">
        <v>2105.79</v>
      </c>
      <c r="Y143" s="1"/>
      <c r="Z143" s="1">
        <v>0</v>
      </c>
      <c r="AA143" s="1"/>
      <c r="AB143" s="1">
        <v>0</v>
      </c>
      <c r="AC143" s="1"/>
      <c r="AD143" s="1">
        <v>0</v>
      </c>
      <c r="AE143" s="1"/>
      <c r="AF143" s="1">
        <v>0</v>
      </c>
      <c r="AH143" s="4">
        <f t="shared" si="4"/>
        <v>1297623.8700000001</v>
      </c>
    </row>
    <row r="144" spans="1:66" s="4" customFormat="1">
      <c r="A144" s="4">
        <v>14</v>
      </c>
      <c r="B144" s="4" t="s">
        <v>174</v>
      </c>
      <c r="D144" s="4" t="s">
        <v>43</v>
      </c>
      <c r="F144" s="1">
        <v>103798.35</v>
      </c>
      <c r="G144" s="1"/>
      <c r="H144" s="1">
        <v>206681.18</v>
      </c>
      <c r="I144" s="1"/>
      <c r="J144" s="1">
        <v>0</v>
      </c>
      <c r="K144" s="1"/>
      <c r="L144" s="1">
        <v>25642.92</v>
      </c>
      <c r="M144" s="1"/>
      <c r="N144" s="1">
        <v>0</v>
      </c>
      <c r="O144" s="1"/>
      <c r="P144" s="1">
        <v>6625.1</v>
      </c>
      <c r="Q144" s="1"/>
      <c r="R144" s="1">
        <v>0</v>
      </c>
      <c r="S144" s="1"/>
      <c r="T144" s="1">
        <v>20357.990000000002</v>
      </c>
      <c r="U144" s="1"/>
      <c r="V144" s="1">
        <v>21.42</v>
      </c>
      <c r="W144" s="1"/>
      <c r="X144" s="1">
        <v>4476.2299999999996</v>
      </c>
      <c r="Y144" s="1"/>
      <c r="Z144" s="1">
        <v>0</v>
      </c>
      <c r="AA144" s="1"/>
      <c r="AB144" s="1">
        <v>0</v>
      </c>
      <c r="AC144" s="1"/>
      <c r="AD144" s="1">
        <v>0</v>
      </c>
      <c r="AE144" s="1"/>
      <c r="AF144" s="1">
        <v>0</v>
      </c>
      <c r="AH144" s="4">
        <f t="shared" si="4"/>
        <v>367603.18999999994</v>
      </c>
    </row>
    <row r="145" spans="1:66" s="4" customFormat="1">
      <c r="A145" s="4">
        <v>226</v>
      </c>
      <c r="B145" s="4" t="s">
        <v>175</v>
      </c>
      <c r="D145" s="4" t="s">
        <v>56</v>
      </c>
      <c r="F145" s="1">
        <v>0</v>
      </c>
      <c r="G145" s="1"/>
      <c r="H145" s="1">
        <v>399394.46</v>
      </c>
      <c r="I145" s="1"/>
      <c r="J145" s="1">
        <v>0</v>
      </c>
      <c r="K145" s="1"/>
      <c r="L145" s="1">
        <v>0</v>
      </c>
      <c r="M145" s="1"/>
      <c r="N145" s="1">
        <v>0</v>
      </c>
      <c r="O145" s="1"/>
      <c r="P145" s="1">
        <v>13597.92</v>
      </c>
      <c r="Q145" s="1"/>
      <c r="R145" s="1">
        <v>0</v>
      </c>
      <c r="S145" s="1"/>
      <c r="T145" s="1">
        <v>1849.95</v>
      </c>
      <c r="U145" s="1"/>
      <c r="V145" s="1">
        <v>1416.72</v>
      </c>
      <c r="W145" s="1"/>
      <c r="X145" s="1">
        <v>0</v>
      </c>
      <c r="Y145" s="1"/>
      <c r="Z145" s="1">
        <v>0</v>
      </c>
      <c r="AA145" s="1"/>
      <c r="AB145" s="1">
        <v>0</v>
      </c>
      <c r="AC145" s="1"/>
      <c r="AD145" s="1">
        <v>0</v>
      </c>
      <c r="AE145" s="1"/>
      <c r="AF145" s="1">
        <v>0</v>
      </c>
      <c r="AH145" s="4">
        <f t="shared" si="4"/>
        <v>416259.05</v>
      </c>
    </row>
    <row r="146" spans="1:66" s="4" customFormat="1">
      <c r="A146" s="4">
        <v>124</v>
      </c>
      <c r="B146" s="4" t="s">
        <v>176</v>
      </c>
      <c r="D146" s="4" t="s">
        <v>15</v>
      </c>
      <c r="F146" s="1">
        <v>292799.83</v>
      </c>
      <c r="G146" s="1"/>
      <c r="H146" s="1">
        <v>412266.6</v>
      </c>
      <c r="I146" s="1"/>
      <c r="J146" s="1">
        <v>0</v>
      </c>
      <c r="K146" s="1"/>
      <c r="L146" s="1">
        <v>47928.95</v>
      </c>
      <c r="M146" s="1"/>
      <c r="N146" s="1">
        <v>0</v>
      </c>
      <c r="O146" s="1"/>
      <c r="P146" s="1">
        <v>14862.34</v>
      </c>
      <c r="Q146" s="1"/>
      <c r="R146" s="1">
        <v>0</v>
      </c>
      <c r="S146" s="1"/>
      <c r="T146" s="1">
        <v>16077</v>
      </c>
      <c r="U146" s="1"/>
      <c r="V146" s="1">
        <v>3805.13</v>
      </c>
      <c r="W146" s="1"/>
      <c r="X146" s="1">
        <v>3177.3</v>
      </c>
      <c r="Y146" s="1"/>
      <c r="Z146" s="1">
        <v>0</v>
      </c>
      <c r="AA146" s="1"/>
      <c r="AB146" s="1">
        <v>100000</v>
      </c>
      <c r="AC146" s="1"/>
      <c r="AD146" s="1">
        <v>9400</v>
      </c>
      <c r="AE146" s="1"/>
      <c r="AF146" s="1">
        <v>0</v>
      </c>
      <c r="AH146" s="4">
        <f t="shared" si="4"/>
        <v>900317.14999999991</v>
      </c>
    </row>
    <row r="147" spans="1:66" s="4" customFormat="1">
      <c r="A147" s="4">
        <v>54</v>
      </c>
      <c r="B147" s="15" t="s">
        <v>438</v>
      </c>
      <c r="C147" s="15"/>
      <c r="D147" s="15" t="s">
        <v>19</v>
      </c>
      <c r="E147" s="15"/>
      <c r="F147" s="1">
        <v>1939485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2137814</v>
      </c>
      <c r="M147" s="1">
        <v>0</v>
      </c>
      <c r="N147" s="1">
        <v>0</v>
      </c>
      <c r="O147" s="1">
        <v>0</v>
      </c>
      <c r="P147" s="1">
        <v>153964</v>
      </c>
      <c r="Q147" s="1">
        <v>0</v>
      </c>
      <c r="R147" s="1">
        <v>0</v>
      </c>
      <c r="S147" s="1">
        <v>0</v>
      </c>
      <c r="T147" s="1">
        <v>11887</v>
      </c>
      <c r="U147" s="1">
        <v>0</v>
      </c>
      <c r="V147" s="1">
        <v>21402</v>
      </c>
      <c r="W147" s="1">
        <v>0</v>
      </c>
      <c r="X147" s="1">
        <v>9109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5"/>
      <c r="AH147" s="4">
        <f t="shared" si="4"/>
        <v>4273661</v>
      </c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</row>
    <row r="148" spans="1:66" s="4" customFormat="1" hidden="1">
      <c r="A148" s="4">
        <v>25</v>
      </c>
      <c r="B148" s="4" t="s">
        <v>9</v>
      </c>
      <c r="D148" s="4" t="s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H148" s="4">
        <f t="shared" si="4"/>
        <v>0</v>
      </c>
    </row>
    <row r="149" spans="1:66" s="4" customFormat="1">
      <c r="A149" s="4">
        <v>241</v>
      </c>
      <c r="B149" s="4" t="s">
        <v>177</v>
      </c>
      <c r="D149" s="4" t="s">
        <v>54</v>
      </c>
      <c r="F149" s="1">
        <v>697947.79</v>
      </c>
      <c r="G149" s="1"/>
      <c r="H149" s="1">
        <v>651309.9</v>
      </c>
      <c r="I149" s="1"/>
      <c r="J149" s="1">
        <v>0</v>
      </c>
      <c r="K149" s="1"/>
      <c r="L149" s="1">
        <v>93283.67</v>
      </c>
      <c r="M149" s="1"/>
      <c r="N149" s="1">
        <v>0</v>
      </c>
      <c r="O149" s="1"/>
      <c r="P149" s="1">
        <v>35753.82</v>
      </c>
      <c r="Q149" s="1"/>
      <c r="R149" s="1">
        <v>0</v>
      </c>
      <c r="S149" s="1"/>
      <c r="T149" s="1">
        <v>44052.56</v>
      </c>
      <c r="U149" s="1"/>
      <c r="V149" s="1">
        <v>59432.04</v>
      </c>
      <c r="W149" s="1"/>
      <c r="X149" s="1">
        <v>6</v>
      </c>
      <c r="Y149" s="1"/>
      <c r="Z149" s="1">
        <v>3738.79</v>
      </c>
      <c r="AA149" s="1"/>
      <c r="AB149" s="1">
        <v>0</v>
      </c>
      <c r="AC149" s="1"/>
      <c r="AD149" s="1">
        <v>19105.02</v>
      </c>
      <c r="AE149" s="1"/>
      <c r="AF149" s="1">
        <v>0</v>
      </c>
      <c r="AH149" s="4">
        <f t="shared" si="4"/>
        <v>1604629.59</v>
      </c>
    </row>
    <row r="150" spans="1:66" s="4" customFormat="1">
      <c r="A150" s="4">
        <v>41</v>
      </c>
      <c r="B150" s="4" t="s">
        <v>307</v>
      </c>
      <c r="D150" s="4" t="s">
        <v>51</v>
      </c>
      <c r="F150" s="1">
        <v>0</v>
      </c>
      <c r="G150" s="1"/>
      <c r="H150" s="1">
        <v>250399.95</v>
      </c>
      <c r="I150" s="1"/>
      <c r="J150" s="1">
        <v>0</v>
      </c>
      <c r="K150" s="1"/>
      <c r="L150" s="1">
        <v>30000</v>
      </c>
      <c r="M150" s="1"/>
      <c r="N150" s="1">
        <v>0</v>
      </c>
      <c r="O150" s="1"/>
      <c r="P150" s="1">
        <v>6854.4</v>
      </c>
      <c r="Q150" s="1"/>
      <c r="R150" s="1">
        <v>0</v>
      </c>
      <c r="S150" s="1"/>
      <c r="T150" s="1">
        <v>15975.93</v>
      </c>
      <c r="U150" s="1"/>
      <c r="V150" s="1">
        <v>1478.47</v>
      </c>
      <c r="W150" s="1"/>
      <c r="X150" s="1">
        <v>289.47000000000003</v>
      </c>
      <c r="Y150" s="1"/>
      <c r="Z150" s="1">
        <v>0</v>
      </c>
      <c r="AA150" s="1"/>
      <c r="AB150" s="1">
        <v>58067.19</v>
      </c>
      <c r="AC150" s="1"/>
      <c r="AD150" s="1">
        <v>0</v>
      </c>
      <c r="AE150" s="1"/>
      <c r="AF150" s="1">
        <v>0</v>
      </c>
      <c r="AH150" s="4">
        <f t="shared" si="4"/>
        <v>363065.41</v>
      </c>
    </row>
    <row r="151" spans="1:66" s="4" customFormat="1">
      <c r="A151" s="4">
        <v>42</v>
      </c>
      <c r="B151" s="4" t="s">
        <v>178</v>
      </c>
      <c r="D151" s="4" t="s">
        <v>51</v>
      </c>
      <c r="F151" s="1">
        <v>0</v>
      </c>
      <c r="G151" s="1"/>
      <c r="H151" s="1">
        <v>414326.43</v>
      </c>
      <c r="I151" s="1"/>
      <c r="J151" s="1">
        <v>0</v>
      </c>
      <c r="K151" s="1"/>
      <c r="L151" s="1">
        <v>194978.67</v>
      </c>
      <c r="M151" s="1"/>
      <c r="N151" s="1">
        <v>0</v>
      </c>
      <c r="O151" s="1"/>
      <c r="P151" s="1">
        <v>7192</v>
      </c>
      <c r="Q151" s="1"/>
      <c r="R151" s="1">
        <v>0</v>
      </c>
      <c r="S151" s="1"/>
      <c r="T151" s="1">
        <v>8198.4500000000007</v>
      </c>
      <c r="U151" s="1"/>
      <c r="V151" s="1">
        <v>5543.06</v>
      </c>
      <c r="W151" s="1"/>
      <c r="X151" s="1">
        <v>32983.949999999997</v>
      </c>
      <c r="Y151" s="1"/>
      <c r="Z151" s="1">
        <v>0</v>
      </c>
      <c r="AA151" s="1"/>
      <c r="AB151" s="1">
        <v>1081259.04</v>
      </c>
      <c r="AC151" s="1"/>
      <c r="AD151" s="1">
        <v>0</v>
      </c>
      <c r="AE151" s="1"/>
      <c r="AF151" s="1">
        <v>0</v>
      </c>
      <c r="AH151" s="4">
        <f t="shared" si="4"/>
        <v>1744481.6</v>
      </c>
    </row>
    <row r="152" spans="1:66" s="4" customFormat="1">
      <c r="A152" s="4">
        <v>104</v>
      </c>
      <c r="B152" s="4" t="s">
        <v>179</v>
      </c>
      <c r="D152" s="4" t="s">
        <v>60</v>
      </c>
      <c r="F152" s="1">
        <v>0</v>
      </c>
      <c r="G152" s="1"/>
      <c r="H152" s="1">
        <v>137106.48000000001</v>
      </c>
      <c r="I152" s="1"/>
      <c r="J152" s="1">
        <v>0</v>
      </c>
      <c r="K152" s="1"/>
      <c r="L152" s="1">
        <v>8386</v>
      </c>
      <c r="M152" s="1"/>
      <c r="N152" s="1">
        <v>0</v>
      </c>
      <c r="O152" s="1"/>
      <c r="P152" s="1">
        <v>4781.8500000000004</v>
      </c>
      <c r="Q152" s="1"/>
      <c r="R152" s="1">
        <v>135.6</v>
      </c>
      <c r="S152" s="1"/>
      <c r="T152" s="1">
        <v>13648.31</v>
      </c>
      <c r="U152" s="1"/>
      <c r="V152" s="1">
        <v>15.12</v>
      </c>
      <c r="W152" s="1"/>
      <c r="X152" s="1">
        <v>375.01</v>
      </c>
      <c r="Y152" s="1"/>
      <c r="Z152" s="1">
        <v>0</v>
      </c>
      <c r="AA152" s="1"/>
      <c r="AB152" s="1">
        <v>0</v>
      </c>
      <c r="AC152" s="1"/>
      <c r="AD152" s="1">
        <v>0</v>
      </c>
      <c r="AE152" s="1"/>
      <c r="AF152" s="1">
        <v>0</v>
      </c>
      <c r="AH152" s="4">
        <f t="shared" si="4"/>
        <v>164448.37000000002</v>
      </c>
    </row>
    <row r="153" spans="1:66" s="4" customFormat="1">
      <c r="A153" s="4">
        <v>134</v>
      </c>
      <c r="B153" s="4" t="s">
        <v>572</v>
      </c>
      <c r="D153" s="4" t="s">
        <v>41</v>
      </c>
      <c r="F153" s="1">
        <v>434</v>
      </c>
      <c r="G153" s="1">
        <v>0</v>
      </c>
      <c r="H153" s="1">
        <v>2365134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95096</v>
      </c>
      <c r="Q153" s="1">
        <v>0</v>
      </c>
      <c r="R153" s="1">
        <v>5210</v>
      </c>
      <c r="S153" s="1">
        <v>0</v>
      </c>
      <c r="T153" s="1">
        <v>9390</v>
      </c>
      <c r="U153" s="1">
        <v>0</v>
      </c>
      <c r="V153" s="1">
        <v>609</v>
      </c>
      <c r="W153" s="1">
        <v>0</v>
      </c>
      <c r="X153" s="1">
        <v>39066</v>
      </c>
      <c r="Y153" s="1">
        <v>0</v>
      </c>
      <c r="Z153" s="1">
        <v>0</v>
      </c>
      <c r="AA153" s="1">
        <v>0</v>
      </c>
      <c r="AB153" s="1">
        <v>415</v>
      </c>
      <c r="AC153" s="1">
        <v>0</v>
      </c>
      <c r="AD153" s="1">
        <v>0</v>
      </c>
      <c r="AE153" s="1">
        <v>0</v>
      </c>
      <c r="AF153" s="1">
        <v>0</v>
      </c>
      <c r="AH153" s="4">
        <f t="shared" si="4"/>
        <v>2515354</v>
      </c>
    </row>
    <row r="154" spans="1:66" s="4" customFormat="1">
      <c r="A154" s="4">
        <v>5</v>
      </c>
      <c r="B154" s="4" t="s">
        <v>180</v>
      </c>
      <c r="D154" s="4" t="s">
        <v>97</v>
      </c>
      <c r="F154" s="1">
        <v>0</v>
      </c>
      <c r="G154" s="1">
        <v>0</v>
      </c>
      <c r="H154" s="1">
        <v>2794346</v>
      </c>
      <c r="I154" s="1">
        <v>0</v>
      </c>
      <c r="J154" s="1">
        <v>0</v>
      </c>
      <c r="K154" s="1">
        <v>0</v>
      </c>
      <c r="L154" s="1">
        <v>45500</v>
      </c>
      <c r="M154" s="1">
        <v>0</v>
      </c>
      <c r="N154" s="1">
        <v>0</v>
      </c>
      <c r="O154" s="1">
        <v>0</v>
      </c>
      <c r="P154" s="1">
        <v>53499</v>
      </c>
      <c r="Q154" s="1">
        <v>0</v>
      </c>
      <c r="R154" s="1">
        <v>6582</v>
      </c>
      <c r="S154" s="1">
        <v>0</v>
      </c>
      <c r="T154" s="1">
        <v>48091</v>
      </c>
      <c r="U154" s="1">
        <v>0</v>
      </c>
      <c r="V154" s="1">
        <v>10924</v>
      </c>
      <c r="W154" s="1">
        <v>0</v>
      </c>
      <c r="X154" s="1">
        <v>183452</v>
      </c>
      <c r="Y154" s="1">
        <v>0</v>
      </c>
      <c r="Z154" s="1">
        <v>0</v>
      </c>
      <c r="AA154" s="1">
        <v>0</v>
      </c>
      <c r="AB154" s="1">
        <v>17314</v>
      </c>
      <c r="AC154" s="1">
        <v>0</v>
      </c>
      <c r="AD154" s="1">
        <v>0</v>
      </c>
      <c r="AE154" s="1">
        <v>0</v>
      </c>
      <c r="AF154" s="1">
        <v>0</v>
      </c>
      <c r="AH154" s="4">
        <f t="shared" si="4"/>
        <v>3159708</v>
      </c>
    </row>
    <row r="155" spans="1:66" s="4" customFormat="1">
      <c r="A155" s="4">
        <v>139</v>
      </c>
      <c r="B155" s="4" t="s">
        <v>573</v>
      </c>
      <c r="D155" s="4" t="s">
        <v>87</v>
      </c>
      <c r="F155" s="1">
        <v>0</v>
      </c>
      <c r="G155" s="1">
        <v>0</v>
      </c>
      <c r="H155" s="1">
        <v>1129301</v>
      </c>
      <c r="I155" s="1">
        <v>0</v>
      </c>
      <c r="J155" s="1">
        <v>0</v>
      </c>
      <c r="K155" s="1">
        <v>0</v>
      </c>
      <c r="L155" s="1">
        <v>20260</v>
      </c>
      <c r="M155" s="1">
        <v>0</v>
      </c>
      <c r="N155" s="1">
        <v>0</v>
      </c>
      <c r="O155" s="1">
        <v>0</v>
      </c>
      <c r="P155" s="1">
        <v>19747</v>
      </c>
      <c r="Q155" s="1">
        <v>0</v>
      </c>
      <c r="R155" s="1">
        <v>0</v>
      </c>
      <c r="S155" s="1">
        <v>0</v>
      </c>
      <c r="T155" s="1">
        <v>5653</v>
      </c>
      <c r="U155" s="1">
        <v>0</v>
      </c>
      <c r="V155" s="1">
        <v>11361</v>
      </c>
      <c r="W155" s="1">
        <v>0</v>
      </c>
      <c r="X155" s="1">
        <v>29064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H155" s="4">
        <f t="shared" si="4"/>
        <v>1215386</v>
      </c>
    </row>
    <row r="156" spans="1:66" s="4" customFormat="1">
      <c r="A156" s="4">
        <v>108</v>
      </c>
      <c r="B156" s="4" t="s">
        <v>574</v>
      </c>
      <c r="D156" s="4" t="s">
        <v>181</v>
      </c>
      <c r="F156" s="1">
        <v>0</v>
      </c>
      <c r="G156" s="1">
        <v>0</v>
      </c>
      <c r="H156" s="1">
        <v>762113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38941</v>
      </c>
      <c r="Q156" s="1">
        <v>0</v>
      </c>
      <c r="R156" s="1">
        <v>0</v>
      </c>
      <c r="S156" s="1">
        <v>0</v>
      </c>
      <c r="T156" s="1">
        <v>245</v>
      </c>
      <c r="U156" s="1">
        <v>0</v>
      </c>
      <c r="V156" s="1">
        <v>15007</v>
      </c>
      <c r="W156" s="1">
        <v>0</v>
      </c>
      <c r="X156" s="1">
        <v>32859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H156" s="4">
        <f t="shared" si="4"/>
        <v>849165</v>
      </c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</row>
    <row r="157" spans="1:66" s="4" customFormat="1">
      <c r="A157" s="4">
        <v>149</v>
      </c>
      <c r="B157" s="4" t="s">
        <v>11</v>
      </c>
      <c r="D157" s="4" t="s">
        <v>12</v>
      </c>
      <c r="F157" s="1">
        <v>381022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462168</v>
      </c>
      <c r="M157" s="1">
        <v>0</v>
      </c>
      <c r="N157" s="1">
        <v>0</v>
      </c>
      <c r="O157" s="1">
        <v>0</v>
      </c>
      <c r="P157" s="1">
        <v>22028</v>
      </c>
      <c r="Q157" s="1">
        <v>0</v>
      </c>
      <c r="R157" s="1">
        <v>0</v>
      </c>
      <c r="S157" s="1">
        <v>0</v>
      </c>
      <c r="T157" s="1">
        <v>8387</v>
      </c>
      <c r="U157" s="1">
        <v>0</v>
      </c>
      <c r="V157" s="1">
        <v>9756</v>
      </c>
      <c r="W157" s="1">
        <v>0</v>
      </c>
      <c r="X157" s="1">
        <v>1365</v>
      </c>
      <c r="Y157" s="1">
        <v>0</v>
      </c>
      <c r="Z157" s="1">
        <v>0</v>
      </c>
      <c r="AA157" s="1">
        <v>0</v>
      </c>
      <c r="AB157" s="1">
        <v>78200</v>
      </c>
      <c r="AC157" s="1">
        <v>0</v>
      </c>
      <c r="AD157" s="1">
        <v>0</v>
      </c>
      <c r="AE157" s="1">
        <v>0</v>
      </c>
      <c r="AF157" s="1">
        <v>0</v>
      </c>
      <c r="AH157" s="4">
        <f t="shared" si="4"/>
        <v>962926</v>
      </c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</row>
    <row r="158" spans="1:66" s="4" customFormat="1">
      <c r="A158" s="4">
        <v>145</v>
      </c>
      <c r="B158" s="4" t="s">
        <v>182</v>
      </c>
      <c r="D158" s="4" t="s">
        <v>57</v>
      </c>
      <c r="F158" s="1">
        <v>4002048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4450569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146331</v>
      </c>
      <c r="S158" s="1">
        <v>0</v>
      </c>
      <c r="T158" s="1">
        <f>92724+1131</f>
        <v>93855</v>
      </c>
      <c r="U158" s="1">
        <v>0</v>
      </c>
      <c r="V158" s="1">
        <v>32641</v>
      </c>
      <c r="W158" s="1">
        <v>0</v>
      </c>
      <c r="X158" s="1">
        <v>37334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3414279</v>
      </c>
      <c r="AH158" s="4">
        <f t="shared" si="4"/>
        <v>12177057</v>
      </c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</row>
    <row r="159" spans="1:66" s="4" customFormat="1">
      <c r="A159" s="4">
        <v>7</v>
      </c>
      <c r="B159" s="4" t="s">
        <v>183</v>
      </c>
      <c r="D159" s="4" t="s">
        <v>83</v>
      </c>
      <c r="F159" s="1">
        <v>762</v>
      </c>
      <c r="G159" s="1">
        <v>0</v>
      </c>
      <c r="H159" s="1">
        <v>527707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14647</v>
      </c>
      <c r="Q159" s="1">
        <v>0</v>
      </c>
      <c r="R159" s="1">
        <v>379</v>
      </c>
      <c r="S159" s="1">
        <v>0</v>
      </c>
      <c r="T159" s="1">
        <v>54363</v>
      </c>
      <c r="U159" s="1">
        <v>0</v>
      </c>
      <c r="V159" s="1">
        <v>947</v>
      </c>
      <c r="W159" s="1">
        <v>0</v>
      </c>
      <c r="X159" s="1">
        <v>4471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H159" s="4">
        <f t="shared" si="4"/>
        <v>603276</v>
      </c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</row>
    <row r="160" spans="1:66" s="4" customFormat="1">
      <c r="A160" s="4">
        <v>210</v>
      </c>
      <c r="B160" s="4" t="s">
        <v>308</v>
      </c>
      <c r="D160" s="4" t="s">
        <v>25</v>
      </c>
      <c r="F160" s="1">
        <v>0</v>
      </c>
      <c r="G160" s="1"/>
      <c r="H160" s="1">
        <v>491489.74</v>
      </c>
      <c r="I160" s="1"/>
      <c r="J160" s="1">
        <v>0</v>
      </c>
      <c r="K160" s="1"/>
      <c r="L160" s="1">
        <v>0</v>
      </c>
      <c r="M160" s="1"/>
      <c r="N160" s="1">
        <v>0</v>
      </c>
      <c r="O160" s="1"/>
      <c r="P160" s="1">
        <v>21503.51</v>
      </c>
      <c r="Q160" s="1"/>
      <c r="R160" s="1">
        <v>10556.69</v>
      </c>
      <c r="S160" s="1"/>
      <c r="T160" s="1">
        <v>7154.28</v>
      </c>
      <c r="U160" s="1"/>
      <c r="V160" s="1">
        <v>1141.8900000000001</v>
      </c>
      <c r="W160" s="1"/>
      <c r="X160" s="1">
        <v>7948.77</v>
      </c>
      <c r="Y160" s="1"/>
      <c r="Z160" s="1">
        <v>15</v>
      </c>
      <c r="AA160" s="1"/>
      <c r="AB160" s="1">
        <v>0</v>
      </c>
      <c r="AC160" s="1"/>
      <c r="AD160" s="1">
        <v>0</v>
      </c>
      <c r="AE160" s="1"/>
      <c r="AF160" s="1">
        <v>0</v>
      </c>
      <c r="AH160" s="4">
        <f t="shared" si="4"/>
        <v>539809.88</v>
      </c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</row>
    <row r="161" spans="1:66" s="4" customFormat="1">
      <c r="A161" s="4">
        <v>125</v>
      </c>
      <c r="B161" s="4" t="s">
        <v>184</v>
      </c>
      <c r="D161" s="4" t="s">
        <v>15</v>
      </c>
      <c r="F161" s="1">
        <v>281986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606355</v>
      </c>
      <c r="M161" s="1">
        <v>0</v>
      </c>
      <c r="N161" s="1">
        <v>0</v>
      </c>
      <c r="O161" s="1">
        <v>0</v>
      </c>
      <c r="P161" s="1">
        <v>34865</v>
      </c>
      <c r="Q161" s="1">
        <v>0</v>
      </c>
      <c r="R161" s="1">
        <v>0</v>
      </c>
      <c r="S161" s="1">
        <v>0</v>
      </c>
      <c r="T161" s="1">
        <v>16095</v>
      </c>
      <c r="U161" s="1">
        <v>0</v>
      </c>
      <c r="V161" s="1">
        <v>16869</v>
      </c>
      <c r="W161" s="1">
        <v>0</v>
      </c>
      <c r="X161" s="1">
        <v>948</v>
      </c>
      <c r="Y161" s="1">
        <v>0</v>
      </c>
      <c r="Z161" s="1">
        <v>0</v>
      </c>
      <c r="AA161" s="1">
        <v>0</v>
      </c>
      <c r="AB161" s="1">
        <v>90000</v>
      </c>
      <c r="AC161" s="1">
        <v>0</v>
      </c>
      <c r="AD161" s="1">
        <v>0</v>
      </c>
      <c r="AE161" s="1">
        <v>0</v>
      </c>
      <c r="AF161" s="1">
        <v>0</v>
      </c>
      <c r="AH161" s="4">
        <f t="shared" si="4"/>
        <v>1047118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</row>
    <row r="162" spans="1:66" s="4" customFormat="1">
      <c r="A162" s="4">
        <v>197</v>
      </c>
      <c r="B162" s="4" t="s">
        <v>601</v>
      </c>
      <c r="D162" s="4" t="s">
        <v>185</v>
      </c>
      <c r="F162" s="1">
        <v>3425084</v>
      </c>
      <c r="G162" s="1">
        <v>0</v>
      </c>
      <c r="H162" s="1">
        <v>3389515</v>
      </c>
      <c r="I162" s="1">
        <v>0</v>
      </c>
      <c r="J162" s="1">
        <v>0</v>
      </c>
      <c r="K162" s="1">
        <v>0</v>
      </c>
      <c r="L162" s="1">
        <v>432507</v>
      </c>
      <c r="M162" s="1">
        <v>0</v>
      </c>
      <c r="N162" s="1">
        <v>0</v>
      </c>
      <c r="O162" s="1">
        <v>0</v>
      </c>
      <c r="P162" s="1">
        <v>242167</v>
      </c>
      <c r="Q162" s="1">
        <v>0</v>
      </c>
      <c r="R162" s="1">
        <v>0</v>
      </c>
      <c r="S162" s="1">
        <v>0</v>
      </c>
      <c r="T162" s="1">
        <v>19324</v>
      </c>
      <c r="U162" s="1">
        <v>0</v>
      </c>
      <c r="V162" s="1">
        <v>75729</v>
      </c>
      <c r="W162" s="1">
        <v>0</v>
      </c>
      <c r="X162" s="1">
        <f>190324+2570</f>
        <v>192894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H162" s="4">
        <f t="shared" ref="AH162:AH164" si="6">SUM(F162:AF162)</f>
        <v>7777220</v>
      </c>
    </row>
    <row r="163" spans="1:66" s="4" customFormat="1">
      <c r="A163" s="4">
        <v>195</v>
      </c>
      <c r="B163" s="4" t="s">
        <v>186</v>
      </c>
      <c r="D163" s="4" t="s">
        <v>102</v>
      </c>
      <c r="F163" s="1">
        <v>0</v>
      </c>
      <c r="G163" s="1"/>
      <c r="H163" s="1">
        <v>46559.48</v>
      </c>
      <c r="I163" s="1"/>
      <c r="J163" s="1">
        <v>0</v>
      </c>
      <c r="K163" s="1"/>
      <c r="L163" s="1">
        <v>0</v>
      </c>
      <c r="M163" s="1"/>
      <c r="N163" s="1">
        <v>0</v>
      </c>
      <c r="O163" s="1"/>
      <c r="P163" s="1">
        <v>1541.25</v>
      </c>
      <c r="Q163" s="1"/>
      <c r="R163" s="1">
        <v>0</v>
      </c>
      <c r="S163" s="1"/>
      <c r="T163" s="1">
        <v>0</v>
      </c>
      <c r="U163" s="1"/>
      <c r="V163" s="1">
        <v>10124.950000000001</v>
      </c>
      <c r="W163" s="1"/>
      <c r="X163" s="1">
        <v>0</v>
      </c>
      <c r="Y163" s="1"/>
      <c r="Z163" s="1">
        <v>0</v>
      </c>
      <c r="AA163" s="1"/>
      <c r="AB163" s="1">
        <v>0</v>
      </c>
      <c r="AC163" s="1"/>
      <c r="AD163" s="1">
        <v>0</v>
      </c>
      <c r="AE163" s="1"/>
      <c r="AF163" s="1">
        <v>0</v>
      </c>
      <c r="AH163" s="4">
        <f t="shared" si="6"/>
        <v>58225.680000000008</v>
      </c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</row>
    <row r="164" spans="1:66" s="4" customFormat="1">
      <c r="A164" s="4">
        <v>154</v>
      </c>
      <c r="B164" s="4" t="s">
        <v>187</v>
      </c>
      <c r="D164" s="4" t="s">
        <v>188</v>
      </c>
      <c r="F164" s="1">
        <v>0</v>
      </c>
      <c r="G164" s="1">
        <v>0</v>
      </c>
      <c r="H164" s="1">
        <v>1858632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54085</v>
      </c>
      <c r="Q164" s="1">
        <v>0</v>
      </c>
      <c r="R164" s="1">
        <v>0</v>
      </c>
      <c r="S164" s="1">
        <v>0</v>
      </c>
      <c r="T164" s="1">
        <v>77387</v>
      </c>
      <c r="U164" s="1">
        <v>0</v>
      </c>
      <c r="V164" s="1">
        <f>12034+7892</f>
        <v>19926</v>
      </c>
      <c r="W164" s="1">
        <v>0</v>
      </c>
      <c r="X164" s="1">
        <v>23909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H164" s="4">
        <f t="shared" si="6"/>
        <v>2033939</v>
      </c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</row>
    <row r="165" spans="1:66" s="4" customFormat="1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66" s="4" customFormat="1">
      <c r="AH166" s="44" t="s">
        <v>591</v>
      </c>
    </row>
    <row r="167" spans="1:66">
      <c r="B167" s="3" t="s">
        <v>525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66">
      <c r="B168" s="3" t="s">
        <v>635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66">
      <c r="B169" s="41" t="s">
        <v>7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66"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66" s="36" customFormat="1">
      <c r="F171" s="28"/>
      <c r="G171" s="28"/>
      <c r="H171" s="28" t="s">
        <v>282</v>
      </c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</row>
    <row r="172" spans="1:66" s="36" customFormat="1">
      <c r="F172" s="28" t="s">
        <v>31</v>
      </c>
      <c r="G172" s="28"/>
      <c r="H172" s="28" t="s">
        <v>283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 t="s">
        <v>29</v>
      </c>
      <c r="S172" s="28"/>
      <c r="T172" s="28" t="s">
        <v>289</v>
      </c>
      <c r="U172" s="28"/>
      <c r="V172" s="28"/>
      <c r="W172" s="28"/>
      <c r="X172" s="28"/>
      <c r="Y172" s="28"/>
      <c r="Z172" s="28" t="s">
        <v>294</v>
      </c>
      <c r="AA172" s="28"/>
      <c r="AB172" s="28"/>
      <c r="AC172" s="28"/>
      <c r="AD172" s="28"/>
      <c r="AE172" s="28"/>
      <c r="AF172" s="28" t="s">
        <v>0</v>
      </c>
      <c r="AG172" s="28"/>
      <c r="AH172" s="28"/>
    </row>
    <row r="173" spans="1:66" s="36" customFormat="1" ht="12" customHeight="1">
      <c r="F173" s="28" t="s">
        <v>0</v>
      </c>
      <c r="G173" s="28"/>
      <c r="H173" s="28" t="s">
        <v>284</v>
      </c>
      <c r="I173" s="28"/>
      <c r="J173" s="28" t="s">
        <v>556</v>
      </c>
      <c r="K173" s="28"/>
      <c r="L173" s="28" t="s">
        <v>348</v>
      </c>
      <c r="M173" s="28"/>
      <c r="N173" s="28"/>
      <c r="O173" s="28"/>
      <c r="P173" s="28" t="s">
        <v>286</v>
      </c>
      <c r="Q173" s="28"/>
      <c r="R173" s="28" t="s">
        <v>288</v>
      </c>
      <c r="S173" s="28"/>
      <c r="T173" s="28" t="s">
        <v>290</v>
      </c>
      <c r="U173" s="28"/>
      <c r="V173" s="28" t="s">
        <v>292</v>
      </c>
      <c r="W173" s="28"/>
      <c r="X173" s="28"/>
      <c r="Y173" s="28"/>
      <c r="Z173" s="28" t="s">
        <v>295</v>
      </c>
      <c r="AA173" s="28"/>
      <c r="AB173" s="28"/>
      <c r="AC173" s="28"/>
      <c r="AD173" s="28"/>
      <c r="AE173" s="28"/>
      <c r="AF173" s="28" t="s">
        <v>296</v>
      </c>
      <c r="AG173" s="28"/>
      <c r="AH173" s="28"/>
    </row>
    <row r="174" spans="1:66" s="36" customFormat="1" ht="12" customHeight="1">
      <c r="A174" s="36" t="s">
        <v>578</v>
      </c>
      <c r="B174" s="37"/>
      <c r="C174" s="45"/>
      <c r="D174" s="37" t="s">
        <v>6</v>
      </c>
      <c r="E174" s="45"/>
      <c r="F174" s="53" t="s">
        <v>281</v>
      </c>
      <c r="G174" s="50"/>
      <c r="H174" s="53" t="s">
        <v>285</v>
      </c>
      <c r="I174" s="50"/>
      <c r="J174" s="53" t="s">
        <v>557</v>
      </c>
      <c r="K174" s="50"/>
      <c r="L174" s="53" t="s">
        <v>349</v>
      </c>
      <c r="M174" s="50"/>
      <c r="N174" s="53" t="s">
        <v>558</v>
      </c>
      <c r="O174" s="50"/>
      <c r="P174" s="53" t="s">
        <v>287</v>
      </c>
      <c r="Q174" s="50"/>
      <c r="R174" s="53" t="s">
        <v>560</v>
      </c>
      <c r="S174" s="50"/>
      <c r="T174" s="53" t="s">
        <v>291</v>
      </c>
      <c r="U174" s="50"/>
      <c r="V174" s="53" t="s">
        <v>293</v>
      </c>
      <c r="W174" s="50"/>
      <c r="X174" s="53" t="s">
        <v>1</v>
      </c>
      <c r="Y174" s="50"/>
      <c r="Z174" s="53" t="s">
        <v>32</v>
      </c>
      <c r="AA174" s="50"/>
      <c r="AB174" s="53" t="s">
        <v>509</v>
      </c>
      <c r="AC174" s="50"/>
      <c r="AD174" s="53" t="s">
        <v>510</v>
      </c>
      <c r="AE174" s="50"/>
      <c r="AF174" s="53" t="s">
        <v>297</v>
      </c>
      <c r="AG174" s="50"/>
      <c r="AH174" s="40" t="s">
        <v>28</v>
      </c>
    </row>
    <row r="175" spans="1:66" s="7" customFormat="1">
      <c r="A175" s="7">
        <v>21</v>
      </c>
      <c r="B175" s="7" t="s">
        <v>430</v>
      </c>
      <c r="D175" s="7" t="s">
        <v>13</v>
      </c>
      <c r="F175" s="2">
        <v>0</v>
      </c>
      <c r="G175" s="2"/>
      <c r="H175" s="2">
        <v>883220.51</v>
      </c>
      <c r="I175" s="2"/>
      <c r="J175" s="2">
        <v>0</v>
      </c>
      <c r="K175" s="2"/>
      <c r="L175" s="2">
        <v>0</v>
      </c>
      <c r="M175" s="2"/>
      <c r="N175" s="2">
        <v>0</v>
      </c>
      <c r="O175" s="2"/>
      <c r="P175" s="2">
        <v>29255.41</v>
      </c>
      <c r="Q175" s="2"/>
      <c r="R175" s="2">
        <v>0</v>
      </c>
      <c r="S175" s="2"/>
      <c r="T175" s="2">
        <v>39174.300000000003</v>
      </c>
      <c r="U175" s="2"/>
      <c r="V175" s="2">
        <v>26425.37</v>
      </c>
      <c r="W175" s="2"/>
      <c r="X175" s="2">
        <v>40113.53</v>
      </c>
      <c r="Y175" s="2"/>
      <c r="Z175" s="2">
        <v>0</v>
      </c>
      <c r="AA175" s="2"/>
      <c r="AB175" s="2">
        <v>76183.460000000006</v>
      </c>
      <c r="AC175" s="2"/>
      <c r="AD175" s="2">
        <v>0</v>
      </c>
      <c r="AE175" s="2"/>
      <c r="AF175" s="2">
        <v>0</v>
      </c>
      <c r="AH175" s="7">
        <f t="shared" ref="AH175:AH206" si="7">SUM(F175:AF175)</f>
        <v>1094372.58</v>
      </c>
    </row>
    <row r="176" spans="1:66" s="7" customFormat="1">
      <c r="A176" s="4">
        <v>198</v>
      </c>
      <c r="B176" s="4" t="s">
        <v>189</v>
      </c>
      <c r="C176" s="4"/>
      <c r="D176" s="4" t="s">
        <v>185</v>
      </c>
      <c r="E176" s="4"/>
      <c r="F176" s="1">
        <v>0</v>
      </c>
      <c r="G176" s="1"/>
      <c r="H176" s="1">
        <v>430245.81</v>
      </c>
      <c r="I176" s="1"/>
      <c r="J176" s="1">
        <v>0</v>
      </c>
      <c r="K176" s="1"/>
      <c r="L176" s="1">
        <v>2176.3200000000002</v>
      </c>
      <c r="M176" s="1"/>
      <c r="N176" s="1">
        <v>0</v>
      </c>
      <c r="O176" s="1"/>
      <c r="P176" s="1">
        <v>21546.97</v>
      </c>
      <c r="Q176" s="1"/>
      <c r="R176" s="1">
        <v>0</v>
      </c>
      <c r="S176" s="1"/>
      <c r="T176" s="1">
        <v>32719.16</v>
      </c>
      <c r="U176" s="1"/>
      <c r="V176" s="1">
        <v>50004.06</v>
      </c>
      <c r="W176" s="1"/>
      <c r="X176" s="1">
        <v>4322.08</v>
      </c>
      <c r="Y176" s="1"/>
      <c r="Z176" s="1">
        <v>0</v>
      </c>
      <c r="AA176" s="1"/>
      <c r="AB176" s="1">
        <v>0</v>
      </c>
      <c r="AC176" s="1"/>
      <c r="AD176" s="1">
        <v>0</v>
      </c>
      <c r="AE176" s="1"/>
      <c r="AF176" s="1">
        <v>0</v>
      </c>
      <c r="AG176" s="4"/>
      <c r="AH176" s="4">
        <f t="shared" si="7"/>
        <v>541014.39999999991</v>
      </c>
    </row>
    <row r="177" spans="1:66" s="4" customFormat="1">
      <c r="A177" s="4">
        <v>242</v>
      </c>
      <c r="B177" s="4" t="s">
        <v>190</v>
      </c>
      <c r="D177" s="4" t="s">
        <v>54</v>
      </c>
      <c r="F177" s="1">
        <v>484457.4</v>
      </c>
      <c r="G177" s="1"/>
      <c r="H177" s="1">
        <v>494677.28</v>
      </c>
      <c r="I177" s="1"/>
      <c r="J177" s="1">
        <v>0</v>
      </c>
      <c r="K177" s="1"/>
      <c r="L177" s="1">
        <v>67653.75</v>
      </c>
      <c r="M177" s="1"/>
      <c r="N177" s="1">
        <v>0</v>
      </c>
      <c r="O177" s="1"/>
      <c r="P177" s="1">
        <v>17573.490000000002</v>
      </c>
      <c r="Q177" s="1"/>
      <c r="R177" s="1">
        <v>0</v>
      </c>
      <c r="S177" s="1"/>
      <c r="T177" s="1">
        <v>2039.62</v>
      </c>
      <c r="U177" s="1"/>
      <c r="V177" s="1">
        <v>10120.86</v>
      </c>
      <c r="W177" s="1"/>
      <c r="X177" s="1">
        <v>1542.08</v>
      </c>
      <c r="Y177" s="1"/>
      <c r="Z177" s="1">
        <v>0</v>
      </c>
      <c r="AA177" s="1"/>
      <c r="AB177" s="1">
        <v>350000</v>
      </c>
      <c r="AC177" s="1"/>
      <c r="AD177" s="1">
        <v>0</v>
      </c>
      <c r="AE177" s="1"/>
      <c r="AF177" s="1">
        <v>0</v>
      </c>
      <c r="AH177" s="4">
        <f t="shared" si="7"/>
        <v>1428064.4800000004</v>
      </c>
    </row>
    <row r="178" spans="1:66" s="4" customFormat="1">
      <c r="A178" s="4">
        <v>99</v>
      </c>
      <c r="B178" s="4" t="s">
        <v>191</v>
      </c>
      <c r="D178" s="4" t="s">
        <v>61</v>
      </c>
      <c r="F178" s="1">
        <v>0</v>
      </c>
      <c r="G178" s="1"/>
      <c r="H178" s="1">
        <v>423164.88</v>
      </c>
      <c r="I178" s="1"/>
      <c r="J178" s="1">
        <v>0</v>
      </c>
      <c r="K178" s="1"/>
      <c r="L178" s="1">
        <v>4039.52</v>
      </c>
      <c r="M178" s="1"/>
      <c r="N178" s="1">
        <v>0</v>
      </c>
      <c r="O178" s="1"/>
      <c r="P178" s="1">
        <v>20958.23</v>
      </c>
      <c r="Q178" s="1"/>
      <c r="R178" s="1">
        <v>0</v>
      </c>
      <c r="S178" s="1"/>
      <c r="T178" s="1">
        <v>7617.78</v>
      </c>
      <c r="U178" s="1"/>
      <c r="V178" s="1">
        <v>132388.97</v>
      </c>
      <c r="W178" s="1"/>
      <c r="X178" s="1">
        <v>3359.66</v>
      </c>
      <c r="Y178" s="1"/>
      <c r="Z178" s="1">
        <v>0</v>
      </c>
      <c r="AA178" s="1"/>
      <c r="AB178" s="1">
        <v>0</v>
      </c>
      <c r="AC178" s="1"/>
      <c r="AD178" s="1">
        <v>0</v>
      </c>
      <c r="AE178" s="1"/>
      <c r="AF178" s="1">
        <v>1690.71</v>
      </c>
      <c r="AH178" s="4">
        <f t="shared" si="7"/>
        <v>593219.75</v>
      </c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s="4" customFormat="1">
      <c r="A179" s="4">
        <v>237</v>
      </c>
      <c r="B179" s="4" t="s">
        <v>192</v>
      </c>
      <c r="D179" s="4" t="s">
        <v>193</v>
      </c>
      <c r="F179" s="1">
        <v>614812</v>
      </c>
      <c r="G179" s="1">
        <v>0</v>
      </c>
      <c r="H179" s="1">
        <v>600506</v>
      </c>
      <c r="I179" s="1">
        <v>0</v>
      </c>
      <c r="J179" s="1">
        <v>0</v>
      </c>
      <c r="K179" s="1">
        <v>0</v>
      </c>
      <c r="L179" s="1">
        <v>278629</v>
      </c>
      <c r="M179" s="1">
        <v>0</v>
      </c>
      <c r="N179" s="1">
        <v>0</v>
      </c>
      <c r="O179" s="1">
        <v>0</v>
      </c>
      <c r="P179" s="1">
        <v>67868</v>
      </c>
      <c r="Q179" s="1">
        <v>0</v>
      </c>
      <c r="R179" s="1">
        <v>0</v>
      </c>
      <c r="S179" s="1">
        <v>0</v>
      </c>
      <c r="T179" s="1">
        <v>15366</v>
      </c>
      <c r="U179" s="1">
        <v>0</v>
      </c>
      <c r="V179" s="1">
        <v>1533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H179" s="4">
        <f t="shared" si="7"/>
        <v>1578714</v>
      </c>
    </row>
    <row r="180" spans="1:66" s="4" customFormat="1">
      <c r="A180" s="4">
        <v>243</v>
      </c>
      <c r="B180" s="4" t="s">
        <v>194</v>
      </c>
      <c r="D180" s="4" t="s">
        <v>54</v>
      </c>
      <c r="F180" s="1">
        <v>0</v>
      </c>
      <c r="G180" s="1"/>
      <c r="H180" s="1">
        <v>995873.99</v>
      </c>
      <c r="I180" s="1"/>
      <c r="J180" s="1">
        <v>0</v>
      </c>
      <c r="K180" s="1"/>
      <c r="L180" s="1">
        <v>0</v>
      </c>
      <c r="M180" s="1"/>
      <c r="N180" s="1">
        <v>0</v>
      </c>
      <c r="O180" s="1"/>
      <c r="P180" s="1">
        <v>56734.720000000001</v>
      </c>
      <c r="Q180" s="1"/>
      <c r="R180" s="1">
        <v>0</v>
      </c>
      <c r="S180" s="1"/>
      <c r="T180" s="1">
        <v>14776.75</v>
      </c>
      <c r="U180" s="1"/>
      <c r="V180" s="1">
        <v>9392.08</v>
      </c>
      <c r="W180" s="1"/>
      <c r="X180" s="1">
        <v>2544.13</v>
      </c>
      <c r="Y180" s="1"/>
      <c r="Z180" s="1">
        <v>0</v>
      </c>
      <c r="AA180" s="1"/>
      <c r="AB180" s="1">
        <v>0</v>
      </c>
      <c r="AC180" s="1"/>
      <c r="AD180" s="1">
        <v>0</v>
      </c>
      <c r="AE180" s="1"/>
      <c r="AF180" s="1">
        <v>0</v>
      </c>
      <c r="AH180" s="4">
        <f t="shared" si="7"/>
        <v>1079321.67</v>
      </c>
    </row>
    <row r="181" spans="1:66" s="4" customFormat="1">
      <c r="A181" s="4">
        <v>211</v>
      </c>
      <c r="B181" s="4" t="s">
        <v>460</v>
      </c>
      <c r="D181" s="4" t="s">
        <v>25</v>
      </c>
      <c r="F181" s="1">
        <v>733831.85</v>
      </c>
      <c r="G181" s="1">
        <v>0</v>
      </c>
      <c r="H181" s="1">
        <v>1218457.04</v>
      </c>
      <c r="I181" s="1">
        <v>0</v>
      </c>
      <c r="J181" s="1">
        <v>0</v>
      </c>
      <c r="K181" s="1">
        <v>0</v>
      </c>
      <c r="L181" s="1">
        <v>130732.86</v>
      </c>
      <c r="M181" s="1">
        <v>0</v>
      </c>
      <c r="N181" s="1">
        <v>0</v>
      </c>
      <c r="O181" s="1">
        <v>0</v>
      </c>
      <c r="P181" s="1">
        <v>50783.59</v>
      </c>
      <c r="Q181" s="1">
        <v>0</v>
      </c>
      <c r="R181" s="1">
        <v>0</v>
      </c>
      <c r="S181" s="1">
        <v>0</v>
      </c>
      <c r="T181" s="1">
        <v>446305.44</v>
      </c>
      <c r="U181" s="1">
        <v>0</v>
      </c>
      <c r="V181" s="1">
        <v>1292.71</v>
      </c>
      <c r="W181" s="1">
        <v>0</v>
      </c>
      <c r="X181" s="1">
        <v>52372.87</v>
      </c>
      <c r="Y181" s="1">
        <v>0</v>
      </c>
      <c r="Z181" s="1">
        <v>3106.45</v>
      </c>
      <c r="AA181" s="1">
        <v>0</v>
      </c>
      <c r="AB181" s="1">
        <v>38069.230000000003</v>
      </c>
      <c r="AC181" s="1">
        <v>0</v>
      </c>
      <c r="AD181" s="1">
        <v>0</v>
      </c>
      <c r="AE181" s="1">
        <v>0</v>
      </c>
      <c r="AF181" s="1">
        <v>0</v>
      </c>
      <c r="AH181" s="4">
        <f t="shared" si="7"/>
        <v>2674952.0400000005</v>
      </c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</row>
    <row r="182" spans="1:66" s="4" customFormat="1">
      <c r="A182" s="4">
        <v>94</v>
      </c>
      <c r="B182" s="4" t="s">
        <v>340</v>
      </c>
      <c r="D182" s="4" t="s">
        <v>139</v>
      </c>
      <c r="F182" s="1">
        <v>0</v>
      </c>
      <c r="G182" s="1"/>
      <c r="H182" s="1">
        <v>238520.22</v>
      </c>
      <c r="I182" s="1"/>
      <c r="J182" s="1">
        <v>0</v>
      </c>
      <c r="K182" s="1"/>
      <c r="L182" s="1">
        <v>0</v>
      </c>
      <c r="M182" s="1"/>
      <c r="N182" s="1">
        <v>0</v>
      </c>
      <c r="O182" s="1"/>
      <c r="P182" s="1">
        <v>8631.3700000000008</v>
      </c>
      <c r="Q182" s="1"/>
      <c r="R182" s="1">
        <v>0</v>
      </c>
      <c r="S182" s="1"/>
      <c r="T182" s="1">
        <v>28030.09</v>
      </c>
      <c r="U182" s="1"/>
      <c r="V182" s="1">
        <v>8282.9500000000007</v>
      </c>
      <c r="W182" s="1"/>
      <c r="X182" s="1">
        <v>407.94</v>
      </c>
      <c r="Y182" s="1"/>
      <c r="Z182" s="1">
        <v>0</v>
      </c>
      <c r="AA182" s="1"/>
      <c r="AB182" s="1">
        <v>0</v>
      </c>
      <c r="AC182" s="1"/>
      <c r="AD182" s="1">
        <v>0</v>
      </c>
      <c r="AE182" s="1"/>
      <c r="AF182" s="1">
        <v>0</v>
      </c>
      <c r="AH182" s="4">
        <f t="shared" si="7"/>
        <v>283872.57</v>
      </c>
    </row>
    <row r="183" spans="1:66" s="4" customFormat="1">
      <c r="A183" s="4">
        <v>227</v>
      </c>
      <c r="B183" s="4" t="s">
        <v>440</v>
      </c>
      <c r="D183" s="4" t="s">
        <v>56</v>
      </c>
      <c r="F183" s="1">
        <v>0</v>
      </c>
      <c r="G183" s="1">
        <v>0</v>
      </c>
      <c r="H183" s="1">
        <v>822515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22674</v>
      </c>
      <c r="Q183" s="1">
        <v>0</v>
      </c>
      <c r="R183" s="1">
        <v>49328</v>
      </c>
      <c r="S183" s="1">
        <v>0</v>
      </c>
      <c r="T183" s="1">
        <v>26315</v>
      </c>
      <c r="U183" s="1">
        <v>0</v>
      </c>
      <c r="V183" s="1">
        <v>5765</v>
      </c>
      <c r="W183" s="1">
        <v>0</v>
      </c>
      <c r="X183" s="1">
        <f>16+12605</f>
        <v>12621</v>
      </c>
      <c r="Y183" s="1">
        <v>0</v>
      </c>
      <c r="Z183" s="1">
        <v>0</v>
      </c>
      <c r="AA183" s="1">
        <v>0</v>
      </c>
      <c r="AB183" s="1">
        <v>20557</v>
      </c>
      <c r="AC183" s="1">
        <v>0</v>
      </c>
      <c r="AD183" s="1">
        <v>0</v>
      </c>
      <c r="AE183" s="1">
        <v>0</v>
      </c>
      <c r="AF183" s="1">
        <v>0</v>
      </c>
      <c r="AH183" s="4">
        <f t="shared" si="7"/>
        <v>959775</v>
      </c>
    </row>
    <row r="184" spans="1:66" s="4" customFormat="1">
      <c r="A184" s="4">
        <v>29</v>
      </c>
      <c r="B184" s="4" t="s">
        <v>196</v>
      </c>
      <c r="D184" s="4" t="s">
        <v>62</v>
      </c>
      <c r="F184" s="1">
        <v>0</v>
      </c>
      <c r="G184" s="1"/>
      <c r="H184" s="1">
        <v>236790.31</v>
      </c>
      <c r="I184" s="1"/>
      <c r="J184" s="1">
        <v>0</v>
      </c>
      <c r="K184" s="1"/>
      <c r="L184" s="1">
        <v>7000</v>
      </c>
      <c r="M184" s="1"/>
      <c r="N184" s="1">
        <v>0</v>
      </c>
      <c r="O184" s="1"/>
      <c r="P184" s="1">
        <v>6437.78</v>
      </c>
      <c r="Q184" s="1"/>
      <c r="R184" s="1">
        <v>0</v>
      </c>
      <c r="S184" s="1"/>
      <c r="T184" s="1">
        <v>1346.83</v>
      </c>
      <c r="U184" s="1"/>
      <c r="V184" s="1">
        <v>19890.310000000001</v>
      </c>
      <c r="W184" s="1"/>
      <c r="X184" s="1">
        <v>5948.14</v>
      </c>
      <c r="Y184" s="1"/>
      <c r="Z184" s="1">
        <v>0</v>
      </c>
      <c r="AA184" s="1"/>
      <c r="AB184" s="1">
        <v>35000</v>
      </c>
      <c r="AC184" s="1"/>
      <c r="AD184" s="1">
        <v>0</v>
      </c>
      <c r="AE184" s="1"/>
      <c r="AF184" s="1">
        <v>0</v>
      </c>
      <c r="AH184" s="4">
        <f t="shared" si="7"/>
        <v>312413.37</v>
      </c>
    </row>
    <row r="185" spans="1:66" s="4" customFormat="1">
      <c r="A185" s="4">
        <v>156</v>
      </c>
      <c r="B185" s="4" t="s">
        <v>602</v>
      </c>
      <c r="D185" s="4" t="s">
        <v>20</v>
      </c>
      <c r="F185" s="1">
        <v>8293084</v>
      </c>
      <c r="G185" s="1">
        <v>0</v>
      </c>
      <c r="H185" s="1">
        <v>2960628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255566</v>
      </c>
      <c r="Q185" s="1">
        <v>0</v>
      </c>
      <c r="R185" s="1">
        <v>0</v>
      </c>
      <c r="S185" s="1">
        <v>0</v>
      </c>
      <c r="T185" s="1">
        <v>24282</v>
      </c>
      <c r="U185" s="1">
        <v>0</v>
      </c>
      <c r="V185" s="1">
        <v>47894</v>
      </c>
      <c r="W185" s="1">
        <v>0</v>
      </c>
      <c r="X185" s="1">
        <v>66443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H185" s="4">
        <f t="shared" si="7"/>
        <v>11647897</v>
      </c>
    </row>
    <row r="186" spans="1:66" s="4" customFormat="1">
      <c r="A186" s="4">
        <v>157</v>
      </c>
      <c r="B186" s="4" t="s">
        <v>490</v>
      </c>
      <c r="D186" s="4" t="s">
        <v>433</v>
      </c>
      <c r="F186" s="1">
        <v>0</v>
      </c>
      <c r="G186" s="1"/>
      <c r="H186" s="1">
        <v>664051.85</v>
      </c>
      <c r="I186" s="1"/>
      <c r="J186" s="1">
        <v>0</v>
      </c>
      <c r="K186" s="1"/>
      <c r="L186" s="1">
        <v>0</v>
      </c>
      <c r="M186" s="1"/>
      <c r="N186" s="1">
        <v>0</v>
      </c>
      <c r="O186" s="1"/>
      <c r="P186" s="1">
        <v>19414.599999999999</v>
      </c>
      <c r="Q186" s="1"/>
      <c r="R186" s="1">
        <v>0</v>
      </c>
      <c r="S186" s="1"/>
      <c r="T186" s="1">
        <v>2669.77</v>
      </c>
      <c r="U186" s="1"/>
      <c r="V186" s="1">
        <v>13992.81</v>
      </c>
      <c r="W186" s="1"/>
      <c r="X186" s="1">
        <v>24233.55</v>
      </c>
      <c r="Y186" s="1"/>
      <c r="Z186" s="1">
        <v>0</v>
      </c>
      <c r="AA186" s="1"/>
      <c r="AB186" s="1">
        <v>75000</v>
      </c>
      <c r="AC186" s="1"/>
      <c r="AD186" s="1">
        <v>0</v>
      </c>
      <c r="AE186" s="1"/>
      <c r="AF186" s="1">
        <v>0</v>
      </c>
      <c r="AH186" s="4">
        <f t="shared" si="7"/>
        <v>799362.58000000007</v>
      </c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</row>
    <row r="187" spans="1:66" s="4" customFormat="1">
      <c r="A187" s="4">
        <v>126</v>
      </c>
      <c r="B187" s="4" t="s">
        <v>14</v>
      </c>
      <c r="D187" s="4" t="s">
        <v>15</v>
      </c>
      <c r="F187" s="1">
        <v>2117798</v>
      </c>
      <c r="G187" s="1">
        <v>0</v>
      </c>
      <c r="H187" s="1">
        <v>1485238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97956</v>
      </c>
      <c r="Q187" s="1">
        <v>0</v>
      </c>
      <c r="R187" s="1">
        <v>10659</v>
      </c>
      <c r="S187" s="1">
        <v>0</v>
      </c>
      <c r="T187" s="1">
        <v>68711</v>
      </c>
      <c r="U187" s="1">
        <v>0</v>
      </c>
      <c r="V187" s="1">
        <v>2757</v>
      </c>
      <c r="W187" s="1">
        <v>0</v>
      </c>
      <c r="X187" s="1">
        <v>44160</v>
      </c>
      <c r="Y187" s="1">
        <v>0</v>
      </c>
      <c r="Z187" s="1">
        <v>0</v>
      </c>
      <c r="AA187" s="1">
        <v>0</v>
      </c>
      <c r="AB187" s="1">
        <v>139097</v>
      </c>
      <c r="AC187" s="1">
        <v>0</v>
      </c>
      <c r="AD187" s="1">
        <v>75000</v>
      </c>
      <c r="AE187" s="1">
        <v>0</v>
      </c>
      <c r="AF187" s="1">
        <v>0</v>
      </c>
      <c r="AH187" s="4">
        <f t="shared" si="7"/>
        <v>4041376</v>
      </c>
    </row>
    <row r="188" spans="1:66" s="4" customFormat="1">
      <c r="A188" s="4">
        <v>160</v>
      </c>
      <c r="B188" s="4" t="s">
        <v>603</v>
      </c>
      <c r="D188" s="4" t="s">
        <v>50</v>
      </c>
      <c r="F188" s="1">
        <v>257983.71</v>
      </c>
      <c r="G188" s="1"/>
      <c r="H188" s="1">
        <v>731804.89</v>
      </c>
      <c r="I188" s="1"/>
      <c r="J188" s="1">
        <v>0</v>
      </c>
      <c r="K188" s="1"/>
      <c r="L188" s="1">
        <v>0</v>
      </c>
      <c r="M188" s="1"/>
      <c r="N188" s="1">
        <v>0</v>
      </c>
      <c r="O188" s="1"/>
      <c r="P188" s="1">
        <v>13346.35</v>
      </c>
      <c r="Q188" s="1"/>
      <c r="R188" s="1">
        <v>0</v>
      </c>
      <c r="S188" s="1"/>
      <c r="T188" s="1">
        <v>4999.75</v>
      </c>
      <c r="U188" s="1"/>
      <c r="V188" s="1">
        <v>837.83</v>
      </c>
      <c r="W188" s="1"/>
      <c r="X188" s="1">
        <v>3008.92</v>
      </c>
      <c r="Y188" s="1"/>
      <c r="Z188" s="1">
        <v>0</v>
      </c>
      <c r="AA188" s="1"/>
      <c r="AB188" s="1">
        <v>130263.34</v>
      </c>
      <c r="AC188" s="1"/>
      <c r="AD188" s="1">
        <v>0</v>
      </c>
      <c r="AE188" s="1"/>
      <c r="AF188" s="1">
        <v>0</v>
      </c>
      <c r="AH188" s="4">
        <f t="shared" si="7"/>
        <v>1142244.79</v>
      </c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</row>
    <row r="189" spans="1:66" s="4" customFormat="1">
      <c r="A189" s="4">
        <v>26</v>
      </c>
      <c r="B189" s="4" t="s">
        <v>197</v>
      </c>
      <c r="D189" s="4" t="s">
        <v>10</v>
      </c>
      <c r="F189" s="1">
        <v>0</v>
      </c>
      <c r="G189" s="1">
        <v>0</v>
      </c>
      <c r="H189" s="1">
        <v>4225944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f>230610+7332</f>
        <v>237942</v>
      </c>
      <c r="Q189" s="1">
        <v>0</v>
      </c>
      <c r="R189" s="1">
        <v>0</v>
      </c>
      <c r="S189" s="1">
        <v>0</v>
      </c>
      <c r="T189" s="1">
        <f>5700+40234</f>
        <v>45934</v>
      </c>
      <c r="U189" s="1">
        <v>0</v>
      </c>
      <c r="V189" s="1">
        <v>9762</v>
      </c>
      <c r="W189" s="1">
        <v>0</v>
      </c>
      <c r="X189" s="1">
        <f>52501+560+4245</f>
        <v>57306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H189" s="4">
        <f t="shared" si="7"/>
        <v>4576888</v>
      </c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</row>
    <row r="190" spans="1:66" s="4" customFormat="1">
      <c r="A190" s="4">
        <v>67</v>
      </c>
      <c r="B190" s="4" t="s">
        <v>198</v>
      </c>
      <c r="D190" s="4" t="s">
        <v>167</v>
      </c>
      <c r="F190" s="1">
        <v>340766.94</v>
      </c>
      <c r="G190" s="1"/>
      <c r="H190" s="1">
        <v>318763.55</v>
      </c>
      <c r="I190" s="1"/>
      <c r="J190" s="1">
        <v>0</v>
      </c>
      <c r="K190" s="1"/>
      <c r="L190" s="1">
        <v>55117.74</v>
      </c>
      <c r="M190" s="1"/>
      <c r="N190" s="1">
        <v>0</v>
      </c>
      <c r="O190" s="1"/>
      <c r="P190" s="1">
        <v>18643.71</v>
      </c>
      <c r="Q190" s="1"/>
      <c r="R190" s="1">
        <v>4.95</v>
      </c>
      <c r="S190" s="1"/>
      <c r="T190" s="1">
        <v>5263.6</v>
      </c>
      <c r="U190" s="1"/>
      <c r="V190" s="1">
        <v>139153.07</v>
      </c>
      <c r="W190" s="1"/>
      <c r="X190" s="1">
        <v>924.96</v>
      </c>
      <c r="Y190" s="1"/>
      <c r="Z190" s="1">
        <v>974.45</v>
      </c>
      <c r="AA190" s="1"/>
      <c r="AB190" s="1">
        <v>0</v>
      </c>
      <c r="AC190" s="1"/>
      <c r="AD190" s="1">
        <v>0</v>
      </c>
      <c r="AE190" s="1"/>
      <c r="AF190" s="1">
        <v>13.75</v>
      </c>
      <c r="AH190" s="4">
        <f t="shared" si="7"/>
        <v>879626.71999999974</v>
      </c>
    </row>
    <row r="191" spans="1:66" s="4" customFormat="1">
      <c r="A191" s="4">
        <v>165</v>
      </c>
      <c r="B191" s="4" t="s">
        <v>199</v>
      </c>
      <c r="D191" s="4" t="s">
        <v>53</v>
      </c>
      <c r="F191" s="1">
        <v>0</v>
      </c>
      <c r="G191" s="1"/>
      <c r="H191" s="1">
        <v>323556.15000000002</v>
      </c>
      <c r="I191" s="1"/>
      <c r="J191" s="1">
        <v>0</v>
      </c>
      <c r="K191" s="1"/>
      <c r="L191" s="1">
        <v>0</v>
      </c>
      <c r="M191" s="1"/>
      <c r="N191" s="1">
        <v>0</v>
      </c>
      <c r="O191" s="1"/>
      <c r="P191" s="1">
        <v>10028.06</v>
      </c>
      <c r="Q191" s="1"/>
      <c r="R191" s="1">
        <v>0</v>
      </c>
      <c r="S191" s="1"/>
      <c r="T191" s="1">
        <v>1505</v>
      </c>
      <c r="U191" s="1"/>
      <c r="V191" s="1">
        <v>2027</v>
      </c>
      <c r="W191" s="1"/>
      <c r="X191" s="1">
        <v>1707.6</v>
      </c>
      <c r="Y191" s="1"/>
      <c r="Z191" s="1">
        <v>0</v>
      </c>
      <c r="AA191" s="1"/>
      <c r="AB191" s="1">
        <v>0</v>
      </c>
      <c r="AC191" s="1"/>
      <c r="AD191" s="1">
        <v>0</v>
      </c>
      <c r="AE191" s="1"/>
      <c r="AF191" s="1">
        <v>0</v>
      </c>
      <c r="AH191" s="4">
        <f t="shared" si="7"/>
        <v>338823.81</v>
      </c>
    </row>
    <row r="192" spans="1:66" s="4" customFormat="1">
      <c r="A192" s="4">
        <v>212</v>
      </c>
      <c r="B192" s="4" t="s">
        <v>200</v>
      </c>
      <c r="D192" s="4" t="s">
        <v>25</v>
      </c>
      <c r="F192" s="1">
        <v>7.72</v>
      </c>
      <c r="G192" s="1"/>
      <c r="H192" s="1">
        <v>647237.64</v>
      </c>
      <c r="I192" s="1"/>
      <c r="J192" s="1">
        <v>0</v>
      </c>
      <c r="K192" s="1"/>
      <c r="L192" s="1">
        <v>0</v>
      </c>
      <c r="M192" s="1"/>
      <c r="N192" s="1">
        <v>0</v>
      </c>
      <c r="O192" s="1"/>
      <c r="P192" s="1">
        <v>21820.55</v>
      </c>
      <c r="Q192" s="1"/>
      <c r="R192" s="1">
        <v>0</v>
      </c>
      <c r="S192" s="1"/>
      <c r="T192" s="1">
        <v>7933.36</v>
      </c>
      <c r="U192" s="1"/>
      <c r="V192" s="1">
        <v>216.59</v>
      </c>
      <c r="W192" s="1"/>
      <c r="X192" s="1">
        <v>2474.1799999999998</v>
      </c>
      <c r="Y192" s="1"/>
      <c r="Z192" s="1">
        <v>0</v>
      </c>
      <c r="AA192" s="1"/>
      <c r="AB192" s="1">
        <v>15000</v>
      </c>
      <c r="AC192" s="1"/>
      <c r="AD192" s="1">
        <v>0</v>
      </c>
      <c r="AE192" s="1"/>
      <c r="AF192" s="1">
        <v>0</v>
      </c>
      <c r="AH192" s="4">
        <f t="shared" si="7"/>
        <v>694690.04</v>
      </c>
    </row>
    <row r="193" spans="1:66" s="4" customFormat="1">
      <c r="A193" s="4">
        <v>259</v>
      </c>
      <c r="B193" s="4" t="s">
        <v>309</v>
      </c>
      <c r="D193" s="4" t="s">
        <v>63</v>
      </c>
      <c r="F193" s="1">
        <v>0</v>
      </c>
      <c r="G193" s="1"/>
      <c r="H193" s="1">
        <v>197871.99</v>
      </c>
      <c r="I193" s="1"/>
      <c r="J193" s="1">
        <v>0</v>
      </c>
      <c r="K193" s="1"/>
      <c r="L193" s="1">
        <v>0</v>
      </c>
      <c r="M193" s="1"/>
      <c r="N193" s="1">
        <v>0</v>
      </c>
      <c r="O193" s="1"/>
      <c r="P193" s="1">
        <v>6845.34</v>
      </c>
      <c r="Q193" s="1"/>
      <c r="R193" s="1">
        <v>0</v>
      </c>
      <c r="S193" s="1"/>
      <c r="T193" s="1">
        <v>8723.27</v>
      </c>
      <c r="U193" s="1"/>
      <c r="V193" s="1">
        <v>2934.6</v>
      </c>
      <c r="W193" s="1"/>
      <c r="X193" s="1">
        <v>907.96</v>
      </c>
      <c r="Y193" s="1"/>
      <c r="Z193" s="1">
        <v>0</v>
      </c>
      <c r="AA193" s="1"/>
      <c r="AB193" s="1">
        <v>0</v>
      </c>
      <c r="AC193" s="1"/>
      <c r="AD193" s="1">
        <v>0</v>
      </c>
      <c r="AE193" s="1"/>
      <c r="AF193" s="1">
        <v>0</v>
      </c>
      <c r="AH193" s="4">
        <f t="shared" si="7"/>
        <v>217283.15999999997</v>
      </c>
    </row>
    <row r="194" spans="1:66" s="4" customFormat="1">
      <c r="A194" s="4">
        <v>168</v>
      </c>
      <c r="B194" s="4" t="s">
        <v>508</v>
      </c>
      <c r="D194" s="4" t="s">
        <v>64</v>
      </c>
      <c r="F194" s="1">
        <v>0</v>
      </c>
      <c r="G194" s="1"/>
      <c r="H194" s="1">
        <v>431726.86</v>
      </c>
      <c r="I194" s="1"/>
      <c r="J194" s="1">
        <v>0</v>
      </c>
      <c r="K194" s="1"/>
      <c r="L194" s="1">
        <v>0</v>
      </c>
      <c r="M194" s="1"/>
      <c r="N194" s="1">
        <v>0</v>
      </c>
      <c r="O194" s="1"/>
      <c r="P194" s="1">
        <v>14634.7</v>
      </c>
      <c r="Q194" s="1"/>
      <c r="R194" s="1">
        <v>0</v>
      </c>
      <c r="S194" s="1"/>
      <c r="T194" s="1">
        <v>897.3</v>
      </c>
      <c r="U194" s="1"/>
      <c r="V194" s="1">
        <v>160.41</v>
      </c>
      <c r="W194" s="1"/>
      <c r="X194" s="1">
        <v>3476.54</v>
      </c>
      <c r="Y194" s="1"/>
      <c r="Z194" s="1">
        <v>0</v>
      </c>
      <c r="AA194" s="1"/>
      <c r="AB194" s="1">
        <v>0</v>
      </c>
      <c r="AC194" s="1"/>
      <c r="AD194" s="1">
        <v>0</v>
      </c>
      <c r="AE194" s="1"/>
      <c r="AF194" s="1">
        <v>0</v>
      </c>
      <c r="AH194" s="4">
        <f t="shared" si="7"/>
        <v>450895.80999999994</v>
      </c>
    </row>
    <row r="195" spans="1:66" s="4" customFormat="1">
      <c r="A195" s="4">
        <v>111</v>
      </c>
      <c r="B195" s="4" t="s">
        <v>202</v>
      </c>
      <c r="D195" s="4" t="s">
        <v>89</v>
      </c>
      <c r="F195" s="1">
        <v>92765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3281</v>
      </c>
      <c r="Q195" s="1">
        <v>0</v>
      </c>
      <c r="R195" s="1">
        <v>0</v>
      </c>
      <c r="S195" s="1">
        <v>0</v>
      </c>
      <c r="T195" s="1">
        <v>4119</v>
      </c>
      <c r="U195" s="1">
        <v>0</v>
      </c>
      <c r="V195" s="1">
        <v>2769</v>
      </c>
      <c r="W195" s="1">
        <v>0</v>
      </c>
      <c r="X195" s="1">
        <v>41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H195" s="4">
        <f t="shared" si="7"/>
        <v>102975</v>
      </c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</row>
    <row r="196" spans="1:66" s="4" customFormat="1">
      <c r="A196" s="4">
        <v>248</v>
      </c>
      <c r="B196" s="4" t="s">
        <v>203</v>
      </c>
      <c r="D196" s="4" t="s">
        <v>204</v>
      </c>
      <c r="F196" s="1">
        <v>0</v>
      </c>
      <c r="G196" s="1">
        <v>0</v>
      </c>
      <c r="H196" s="1">
        <v>206163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9962</v>
      </c>
      <c r="Q196" s="1">
        <v>0</v>
      </c>
      <c r="R196" s="1">
        <v>0</v>
      </c>
      <c r="S196" s="1">
        <v>0</v>
      </c>
      <c r="T196" s="1">
        <v>4522</v>
      </c>
      <c r="U196" s="1">
        <v>0</v>
      </c>
      <c r="V196" s="1">
        <v>4086</v>
      </c>
      <c r="W196" s="1">
        <v>0</v>
      </c>
      <c r="X196" s="1">
        <v>5545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H196" s="4">
        <f t="shared" si="7"/>
        <v>230278</v>
      </c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</row>
    <row r="197" spans="1:66" s="4" customFormat="1">
      <c r="A197" s="4">
        <v>127</v>
      </c>
      <c r="B197" s="4" t="s">
        <v>205</v>
      </c>
      <c r="D197" s="4" t="s">
        <v>15</v>
      </c>
      <c r="F197" s="1">
        <v>1804338</v>
      </c>
      <c r="G197" s="1">
        <v>0</v>
      </c>
      <c r="H197" s="1">
        <v>1271700</v>
      </c>
      <c r="I197" s="1">
        <v>0</v>
      </c>
      <c r="J197" s="1">
        <v>0</v>
      </c>
      <c r="K197" s="1">
        <v>0</v>
      </c>
      <c r="L197" s="1">
        <v>367125</v>
      </c>
      <c r="M197" s="1">
        <v>0</v>
      </c>
      <c r="N197" s="1">
        <v>0</v>
      </c>
      <c r="O197" s="1">
        <v>0</v>
      </c>
      <c r="P197" s="1">
        <v>99513</v>
      </c>
      <c r="Q197" s="1">
        <v>0</v>
      </c>
      <c r="R197" s="1">
        <v>9180</v>
      </c>
      <c r="S197" s="1">
        <v>0</v>
      </c>
      <c r="T197" s="1">
        <v>20716</v>
      </c>
      <c r="U197" s="1">
        <v>0</v>
      </c>
      <c r="V197" s="1">
        <v>227688</v>
      </c>
      <c r="W197" s="1">
        <v>0</v>
      </c>
      <c r="X197" s="1">
        <v>948</v>
      </c>
      <c r="Y197" s="1">
        <v>0</v>
      </c>
      <c r="Z197" s="1">
        <v>0</v>
      </c>
      <c r="AA197" s="1">
        <v>0</v>
      </c>
      <c r="AB197" s="1">
        <v>3223701</v>
      </c>
      <c r="AC197" s="1">
        <v>0</v>
      </c>
      <c r="AD197" s="1">
        <v>0</v>
      </c>
      <c r="AE197" s="1">
        <v>0</v>
      </c>
      <c r="AF197" s="1">
        <v>0</v>
      </c>
      <c r="AH197" s="4">
        <f t="shared" si="7"/>
        <v>7024909</v>
      </c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</row>
    <row r="198" spans="1:66" s="4" customFormat="1">
      <c r="A198" s="4">
        <v>175</v>
      </c>
      <c r="B198" s="4" t="s">
        <v>206</v>
      </c>
      <c r="D198" s="4" t="s">
        <v>68</v>
      </c>
      <c r="F198" s="1">
        <v>0</v>
      </c>
      <c r="G198" s="1"/>
      <c r="H198" s="1">
        <v>212734.67</v>
      </c>
      <c r="I198" s="1"/>
      <c r="J198" s="1">
        <v>0</v>
      </c>
      <c r="K198" s="1"/>
      <c r="L198" s="1">
        <v>0</v>
      </c>
      <c r="M198" s="1"/>
      <c r="N198" s="1">
        <v>0</v>
      </c>
      <c r="O198" s="1"/>
      <c r="P198" s="1">
        <v>8814.7800000000007</v>
      </c>
      <c r="Q198" s="1"/>
      <c r="R198" s="1">
        <v>0</v>
      </c>
      <c r="S198" s="1"/>
      <c r="T198" s="1">
        <v>6202.03</v>
      </c>
      <c r="U198" s="1"/>
      <c r="V198" s="1">
        <v>1356.32</v>
      </c>
      <c r="W198" s="1"/>
      <c r="X198" s="1">
        <v>6570.52</v>
      </c>
      <c r="Y198" s="1"/>
      <c r="Z198" s="1">
        <v>60708.12</v>
      </c>
      <c r="AA198" s="1"/>
      <c r="AB198" s="1">
        <v>0</v>
      </c>
      <c r="AC198" s="1"/>
      <c r="AD198" s="1">
        <v>0</v>
      </c>
      <c r="AE198" s="1"/>
      <c r="AF198" s="1">
        <v>0</v>
      </c>
      <c r="AH198" s="4">
        <f t="shared" si="7"/>
        <v>296386.44</v>
      </c>
    </row>
    <row r="199" spans="1:66" s="4" customFormat="1">
      <c r="A199" s="4">
        <v>150</v>
      </c>
      <c r="B199" s="4" t="s">
        <v>207</v>
      </c>
      <c r="D199" s="4" t="s">
        <v>12</v>
      </c>
      <c r="F199" s="1">
        <v>0</v>
      </c>
      <c r="G199" s="1"/>
      <c r="H199" s="1">
        <v>176064.03</v>
      </c>
      <c r="I199" s="1"/>
      <c r="J199" s="1">
        <v>0</v>
      </c>
      <c r="K199" s="1"/>
      <c r="L199" s="1">
        <v>0</v>
      </c>
      <c r="M199" s="1"/>
      <c r="N199" s="1">
        <v>0</v>
      </c>
      <c r="O199" s="1"/>
      <c r="P199" s="1">
        <v>3304.85</v>
      </c>
      <c r="Q199" s="1"/>
      <c r="R199" s="1">
        <v>0</v>
      </c>
      <c r="S199" s="1"/>
      <c r="T199" s="1">
        <v>3405.83</v>
      </c>
      <c r="U199" s="1"/>
      <c r="V199" s="1">
        <v>6309.73</v>
      </c>
      <c r="W199" s="1"/>
      <c r="X199" s="1">
        <v>211.37</v>
      </c>
      <c r="Y199" s="1"/>
      <c r="Z199" s="1">
        <v>0</v>
      </c>
      <c r="AA199" s="1"/>
      <c r="AB199" s="1">
        <v>0</v>
      </c>
      <c r="AC199" s="1"/>
      <c r="AD199" s="1">
        <v>0</v>
      </c>
      <c r="AE199" s="1"/>
      <c r="AF199" s="1">
        <v>36</v>
      </c>
      <c r="AH199" s="4">
        <f t="shared" si="7"/>
        <v>189331.81</v>
      </c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</row>
    <row r="200" spans="1:66" s="4" customFormat="1">
      <c r="A200" s="4">
        <v>122</v>
      </c>
      <c r="B200" s="4" t="s">
        <v>431</v>
      </c>
      <c r="D200" s="4" t="s">
        <v>16</v>
      </c>
      <c r="F200" s="1">
        <v>1060548</v>
      </c>
      <c r="G200" s="1">
        <v>0</v>
      </c>
      <c r="H200" s="1">
        <v>1264052</v>
      </c>
      <c r="I200" s="1">
        <v>0</v>
      </c>
      <c r="J200" s="1">
        <v>0</v>
      </c>
      <c r="K200" s="1">
        <v>0</v>
      </c>
      <c r="L200" s="1">
        <v>187278</v>
      </c>
      <c r="M200" s="1">
        <v>0</v>
      </c>
      <c r="N200" s="1">
        <v>0</v>
      </c>
      <c r="O200" s="1">
        <v>0</v>
      </c>
      <c r="P200" s="1">
        <v>34473</v>
      </c>
      <c r="Q200" s="1">
        <v>0</v>
      </c>
      <c r="R200" s="1">
        <v>0</v>
      </c>
      <c r="S200" s="1">
        <v>0</v>
      </c>
      <c r="T200" s="1">
        <v>44441</v>
      </c>
      <c r="U200" s="1">
        <v>0</v>
      </c>
      <c r="V200" s="1">
        <v>4129</v>
      </c>
      <c r="W200" s="1">
        <v>0</v>
      </c>
      <c r="X200" s="1">
        <v>16088</v>
      </c>
      <c r="Y200" s="1">
        <v>0</v>
      </c>
      <c r="Z200" s="1">
        <v>0</v>
      </c>
      <c r="AA200" s="1">
        <v>0</v>
      </c>
      <c r="AB200" s="1">
        <v>153500</v>
      </c>
      <c r="AC200" s="1">
        <v>0</v>
      </c>
      <c r="AD200" s="1">
        <v>0</v>
      </c>
      <c r="AE200" s="1">
        <v>0</v>
      </c>
      <c r="AF200" s="1">
        <v>0</v>
      </c>
      <c r="AH200" s="4">
        <f t="shared" si="7"/>
        <v>2764509</v>
      </c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</row>
    <row r="201" spans="1:66" s="4" customFormat="1">
      <c r="A201" s="4">
        <v>178</v>
      </c>
      <c r="B201" s="4" t="s">
        <v>604</v>
      </c>
      <c r="D201" s="4" t="s">
        <v>209</v>
      </c>
      <c r="F201" s="1">
        <v>1447254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2417097</v>
      </c>
      <c r="M201" s="1">
        <v>0</v>
      </c>
      <c r="N201" s="1">
        <v>18085</v>
      </c>
      <c r="O201" s="1">
        <v>0</v>
      </c>
      <c r="P201" s="1">
        <v>88778</v>
      </c>
      <c r="Q201" s="1">
        <v>0</v>
      </c>
      <c r="R201" s="1">
        <v>0</v>
      </c>
      <c r="S201" s="1">
        <v>0</v>
      </c>
      <c r="T201" s="1">
        <v>18876</v>
      </c>
      <c r="U201" s="1">
        <v>0</v>
      </c>
      <c r="V201" s="1">
        <v>65455</v>
      </c>
      <c r="W201" s="1">
        <v>0</v>
      </c>
      <c r="X201" s="1">
        <v>8990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H201" s="4">
        <f t="shared" si="7"/>
        <v>4064535</v>
      </c>
    </row>
    <row r="202" spans="1:66" s="4" customFormat="1">
      <c r="A202" s="4">
        <v>105</v>
      </c>
      <c r="B202" s="4" t="s">
        <v>310</v>
      </c>
      <c r="D202" s="4" t="s">
        <v>60</v>
      </c>
      <c r="F202" s="1">
        <v>148912</v>
      </c>
      <c r="G202" s="1">
        <v>0</v>
      </c>
      <c r="H202" s="1">
        <v>416833</v>
      </c>
      <c r="I202" s="1">
        <v>0</v>
      </c>
      <c r="J202" s="1">
        <v>0</v>
      </c>
      <c r="K202" s="1">
        <v>0</v>
      </c>
      <c r="L202" s="1">
        <v>82396</v>
      </c>
      <c r="M202" s="1">
        <v>0</v>
      </c>
      <c r="N202" s="1">
        <v>0</v>
      </c>
      <c r="O202" s="1">
        <v>0</v>
      </c>
      <c r="P202" s="1">
        <v>13975</v>
      </c>
      <c r="Q202" s="1">
        <v>0</v>
      </c>
      <c r="R202" s="1">
        <v>0</v>
      </c>
      <c r="S202" s="1">
        <v>0</v>
      </c>
      <c r="T202" s="1">
        <f>3378+38+334</f>
        <v>3750</v>
      </c>
      <c r="U202" s="1">
        <v>0</v>
      </c>
      <c r="V202" s="1">
        <v>7837</v>
      </c>
      <c r="W202" s="1">
        <v>0</v>
      </c>
      <c r="X202" s="1">
        <v>5361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H202" s="4">
        <f t="shared" si="7"/>
        <v>679064</v>
      </c>
    </row>
    <row r="203" spans="1:66" s="4" customFormat="1">
      <c r="A203" s="4">
        <v>16</v>
      </c>
      <c r="B203" s="4" t="s">
        <v>461</v>
      </c>
      <c r="D203" s="4" t="s">
        <v>210</v>
      </c>
      <c r="F203" s="1">
        <v>0</v>
      </c>
      <c r="G203" s="1"/>
      <c r="H203" s="1">
        <v>1678299.19</v>
      </c>
      <c r="I203" s="1"/>
      <c r="J203" s="1">
        <v>0</v>
      </c>
      <c r="K203" s="1"/>
      <c r="L203" s="1">
        <v>3591.15</v>
      </c>
      <c r="M203" s="1"/>
      <c r="N203" s="1">
        <v>0</v>
      </c>
      <c r="O203" s="1"/>
      <c r="P203" s="1">
        <v>29806.720000000001</v>
      </c>
      <c r="Q203" s="1"/>
      <c r="R203" s="1">
        <v>0</v>
      </c>
      <c r="S203" s="1"/>
      <c r="T203" s="1">
        <v>18899.41</v>
      </c>
      <c r="U203" s="1"/>
      <c r="V203" s="1">
        <v>3036.37</v>
      </c>
      <c r="W203" s="1"/>
      <c r="X203" s="1">
        <v>50833.61</v>
      </c>
      <c r="Y203" s="1"/>
      <c r="Z203" s="1">
        <v>0</v>
      </c>
      <c r="AA203" s="1"/>
      <c r="AB203" s="1">
        <v>0</v>
      </c>
      <c r="AC203" s="1"/>
      <c r="AD203" s="1">
        <v>0</v>
      </c>
      <c r="AE203" s="1"/>
      <c r="AF203" s="1">
        <v>0</v>
      </c>
      <c r="AH203" s="4">
        <f t="shared" si="7"/>
        <v>1784466.45</v>
      </c>
    </row>
    <row r="204" spans="1:66" s="4" customFormat="1" hidden="1">
      <c r="A204" s="4">
        <v>228</v>
      </c>
      <c r="B204" s="4" t="s">
        <v>441</v>
      </c>
      <c r="D204" s="4" t="s">
        <v>56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H204" s="4">
        <f t="shared" si="7"/>
        <v>0</v>
      </c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</row>
    <row r="205" spans="1:66" s="4" customFormat="1">
      <c r="A205" s="4">
        <v>33</v>
      </c>
      <c r="B205" s="4" t="s">
        <v>462</v>
      </c>
      <c r="D205" s="4" t="s">
        <v>114</v>
      </c>
      <c r="F205" s="1">
        <v>0</v>
      </c>
      <c r="G205" s="1"/>
      <c r="H205" s="1">
        <v>447391.47</v>
      </c>
      <c r="I205" s="1"/>
      <c r="J205" s="1">
        <v>0</v>
      </c>
      <c r="K205" s="1"/>
      <c r="L205" s="1">
        <v>0</v>
      </c>
      <c r="M205" s="1"/>
      <c r="N205" s="1">
        <v>0</v>
      </c>
      <c r="O205" s="1"/>
      <c r="P205" s="1">
        <v>11793.36</v>
      </c>
      <c r="Q205" s="1"/>
      <c r="R205" s="1">
        <v>0</v>
      </c>
      <c r="S205" s="1"/>
      <c r="T205" s="1">
        <v>425</v>
      </c>
      <c r="U205" s="1"/>
      <c r="V205" s="1">
        <v>123.02</v>
      </c>
      <c r="W205" s="1"/>
      <c r="X205" s="1">
        <v>1647.59</v>
      </c>
      <c r="Y205" s="1"/>
      <c r="Z205" s="1">
        <v>0</v>
      </c>
      <c r="AA205" s="1"/>
      <c r="AB205" s="1">
        <v>0</v>
      </c>
      <c r="AC205" s="1"/>
      <c r="AD205" s="1">
        <v>0</v>
      </c>
      <c r="AE205" s="1"/>
      <c r="AF205" s="1">
        <v>0</v>
      </c>
      <c r="AH205" s="4">
        <f t="shared" si="7"/>
        <v>461380.44</v>
      </c>
    </row>
    <row r="206" spans="1:66" s="4" customFormat="1">
      <c r="A206" s="4">
        <v>112</v>
      </c>
      <c r="B206" s="4" t="s">
        <v>341</v>
      </c>
      <c r="D206" s="4" t="s">
        <v>89</v>
      </c>
      <c r="F206" s="1">
        <v>199345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3555</v>
      </c>
      <c r="M206" s="1">
        <v>0</v>
      </c>
      <c r="N206" s="1">
        <v>0</v>
      </c>
      <c r="O206" s="1">
        <v>0</v>
      </c>
      <c r="P206" s="1">
        <f>4306+1969</f>
        <v>6275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2917</v>
      </c>
      <c r="W206" s="1">
        <v>0</v>
      </c>
      <c r="X206" s="1">
        <f>9305+1865</f>
        <v>11170</v>
      </c>
      <c r="Y206" s="1">
        <v>0</v>
      </c>
      <c r="Z206" s="1">
        <v>0</v>
      </c>
      <c r="AA206" s="1">
        <v>0</v>
      </c>
      <c r="AB206" s="1">
        <v>26709</v>
      </c>
      <c r="AC206" s="1">
        <v>0</v>
      </c>
      <c r="AD206" s="1">
        <v>0</v>
      </c>
      <c r="AE206" s="1">
        <v>0</v>
      </c>
      <c r="AF206" s="1">
        <v>0</v>
      </c>
      <c r="AH206" s="4">
        <f t="shared" si="7"/>
        <v>249971</v>
      </c>
    </row>
    <row r="207" spans="1:66" s="4" customFormat="1">
      <c r="A207" s="4">
        <v>60</v>
      </c>
      <c r="B207" s="4" t="s">
        <v>211</v>
      </c>
      <c r="D207" s="4" t="s">
        <v>81</v>
      </c>
      <c r="F207" s="1">
        <v>0</v>
      </c>
      <c r="G207" s="1"/>
      <c r="H207" s="1">
        <v>246724.34</v>
      </c>
      <c r="I207" s="1"/>
      <c r="J207" s="1">
        <v>0</v>
      </c>
      <c r="K207" s="1"/>
      <c r="L207" s="1">
        <v>0</v>
      </c>
      <c r="M207" s="1"/>
      <c r="N207" s="1">
        <v>0</v>
      </c>
      <c r="O207" s="1"/>
      <c r="P207" s="1">
        <v>4874.8599999999997</v>
      </c>
      <c r="Q207" s="1"/>
      <c r="R207" s="1">
        <v>0</v>
      </c>
      <c r="S207" s="1"/>
      <c r="T207" s="1">
        <v>4870.4799999999996</v>
      </c>
      <c r="U207" s="1"/>
      <c r="V207" s="1">
        <v>735.3</v>
      </c>
      <c r="W207" s="1"/>
      <c r="X207" s="1">
        <v>2734.02</v>
      </c>
      <c r="Y207" s="1"/>
      <c r="Z207" s="1">
        <v>0</v>
      </c>
      <c r="AA207" s="1"/>
      <c r="AB207" s="1">
        <v>0</v>
      </c>
      <c r="AC207" s="1"/>
      <c r="AD207" s="1">
        <v>0</v>
      </c>
      <c r="AE207" s="1"/>
      <c r="AF207" s="1">
        <v>0</v>
      </c>
      <c r="AH207" s="4">
        <f t="shared" ref="AH207:AH242" si="8">SUM(F207:AF207)</f>
        <v>259938.99999999997</v>
      </c>
    </row>
    <row r="208" spans="1:66" s="4" customFormat="1">
      <c r="A208" s="4">
        <v>186</v>
      </c>
      <c r="B208" s="4" t="s">
        <v>463</v>
      </c>
      <c r="D208" s="4" t="s">
        <v>66</v>
      </c>
      <c r="F208" s="1">
        <v>0</v>
      </c>
      <c r="G208" s="1"/>
      <c r="H208" s="1">
        <v>92452.47</v>
      </c>
      <c r="I208" s="1"/>
      <c r="J208" s="1">
        <v>0</v>
      </c>
      <c r="K208" s="1"/>
      <c r="L208" s="1">
        <v>0</v>
      </c>
      <c r="M208" s="1"/>
      <c r="N208" s="1">
        <v>0</v>
      </c>
      <c r="O208" s="1"/>
      <c r="P208" s="1">
        <v>1309.79</v>
      </c>
      <c r="Q208" s="1"/>
      <c r="R208" s="1">
        <v>0</v>
      </c>
      <c r="S208" s="1"/>
      <c r="T208" s="1">
        <v>1913.58</v>
      </c>
      <c r="U208" s="1"/>
      <c r="V208" s="1">
        <v>0</v>
      </c>
      <c r="W208" s="1"/>
      <c r="X208" s="1">
        <v>5944.13</v>
      </c>
      <c r="Y208" s="1"/>
      <c r="Z208" s="1">
        <v>185</v>
      </c>
      <c r="AA208" s="1"/>
      <c r="AB208" s="1">
        <v>0</v>
      </c>
      <c r="AC208" s="1"/>
      <c r="AD208" s="1">
        <v>0</v>
      </c>
      <c r="AE208" s="1"/>
      <c r="AF208" s="1">
        <v>0</v>
      </c>
      <c r="AH208" s="4">
        <f t="shared" si="8"/>
        <v>101804.97</v>
      </c>
    </row>
    <row r="209" spans="1:66" s="4" customFormat="1">
      <c r="A209" s="4">
        <v>235</v>
      </c>
      <c r="B209" s="4" t="s">
        <v>212</v>
      </c>
      <c r="D209" s="4" t="s">
        <v>26</v>
      </c>
      <c r="F209" s="1">
        <v>37088.31</v>
      </c>
      <c r="G209" s="1"/>
      <c r="H209" s="1">
        <v>226127.16</v>
      </c>
      <c r="I209" s="1"/>
      <c r="J209" s="1">
        <v>0</v>
      </c>
      <c r="K209" s="1"/>
      <c r="L209" s="1">
        <v>16314.9</v>
      </c>
      <c r="M209" s="1"/>
      <c r="N209" s="1">
        <v>0</v>
      </c>
      <c r="O209" s="1"/>
      <c r="P209" s="1">
        <v>9891.23</v>
      </c>
      <c r="Q209" s="1"/>
      <c r="R209" s="1">
        <v>0</v>
      </c>
      <c r="S209" s="1"/>
      <c r="T209" s="1">
        <v>6365.19</v>
      </c>
      <c r="U209" s="1"/>
      <c r="V209" s="1">
        <v>53.01</v>
      </c>
      <c r="W209" s="1"/>
      <c r="X209" s="1">
        <v>1312.1</v>
      </c>
      <c r="Y209" s="1"/>
      <c r="Z209" s="1">
        <v>0</v>
      </c>
      <c r="AA209" s="1"/>
      <c r="AB209" s="1">
        <v>26729.16</v>
      </c>
      <c r="AC209" s="1"/>
      <c r="AD209" s="1">
        <v>0</v>
      </c>
      <c r="AE209" s="1"/>
      <c r="AF209" s="1">
        <v>0</v>
      </c>
      <c r="AH209" s="4">
        <f t="shared" si="8"/>
        <v>323881.05999999994</v>
      </c>
    </row>
    <row r="210" spans="1:66" s="4" customFormat="1" hidden="1">
      <c r="A210" s="4">
        <v>229</v>
      </c>
      <c r="B210" s="4" t="s">
        <v>213</v>
      </c>
      <c r="D210" s="4" t="s">
        <v>56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H210" s="4">
        <f t="shared" si="8"/>
        <v>0</v>
      </c>
    </row>
    <row r="211" spans="1:66" s="4" customFormat="1">
      <c r="A211" s="4">
        <v>85</v>
      </c>
      <c r="B211" s="4" t="s">
        <v>216</v>
      </c>
      <c r="D211" s="4" t="s">
        <v>42</v>
      </c>
      <c r="F211" s="1">
        <v>0</v>
      </c>
      <c r="G211" s="1"/>
      <c r="H211" s="1">
        <v>92924.67</v>
      </c>
      <c r="I211" s="1"/>
      <c r="J211" s="1">
        <v>0</v>
      </c>
      <c r="K211" s="1"/>
      <c r="L211" s="1">
        <v>22682.69</v>
      </c>
      <c r="M211" s="1"/>
      <c r="N211" s="1">
        <v>0</v>
      </c>
      <c r="O211" s="1"/>
      <c r="P211" s="1">
        <v>3921.4</v>
      </c>
      <c r="Q211" s="1"/>
      <c r="R211" s="1">
        <v>0</v>
      </c>
      <c r="S211" s="1"/>
      <c r="T211" s="1">
        <v>1493.85</v>
      </c>
      <c r="U211" s="1"/>
      <c r="V211" s="1">
        <v>273.12</v>
      </c>
      <c r="W211" s="1"/>
      <c r="X211" s="1">
        <v>98.93</v>
      </c>
      <c r="Y211" s="1"/>
      <c r="Z211" s="1">
        <v>360.01</v>
      </c>
      <c r="AA211" s="1"/>
      <c r="AB211" s="1">
        <v>0</v>
      </c>
      <c r="AC211" s="1"/>
      <c r="AD211" s="1">
        <v>0</v>
      </c>
      <c r="AE211" s="1"/>
      <c r="AF211" s="1">
        <v>0</v>
      </c>
      <c r="AH211" s="4">
        <f t="shared" si="8"/>
        <v>121754.66999999998</v>
      </c>
    </row>
    <row r="212" spans="1:66" s="4" customFormat="1">
      <c r="A212" s="4">
        <v>250</v>
      </c>
      <c r="B212" s="4" t="s">
        <v>217</v>
      </c>
      <c r="D212" s="4" t="s">
        <v>65</v>
      </c>
      <c r="F212" s="1">
        <v>0</v>
      </c>
      <c r="G212" s="1"/>
      <c r="H212" s="1">
        <v>295802.74</v>
      </c>
      <c r="I212" s="1"/>
      <c r="J212" s="1">
        <v>0</v>
      </c>
      <c r="K212" s="1"/>
      <c r="L212" s="1">
        <v>0</v>
      </c>
      <c r="M212" s="1"/>
      <c r="N212" s="1">
        <v>0</v>
      </c>
      <c r="O212" s="1"/>
      <c r="P212" s="1">
        <v>7988.9</v>
      </c>
      <c r="Q212" s="1"/>
      <c r="R212" s="1">
        <v>0</v>
      </c>
      <c r="S212" s="1"/>
      <c r="T212" s="1">
        <v>17169.82</v>
      </c>
      <c r="U212" s="1"/>
      <c r="V212" s="1">
        <v>815.05</v>
      </c>
      <c r="W212" s="1"/>
      <c r="X212" s="1">
        <v>2188.29</v>
      </c>
      <c r="Y212" s="1"/>
      <c r="Z212" s="1">
        <v>0</v>
      </c>
      <c r="AA212" s="1"/>
      <c r="AB212" s="1">
        <v>0</v>
      </c>
      <c r="AC212" s="1"/>
      <c r="AD212" s="1">
        <v>0</v>
      </c>
      <c r="AE212" s="1"/>
      <c r="AF212" s="1">
        <v>0</v>
      </c>
      <c r="AH212" s="4">
        <f t="shared" si="8"/>
        <v>323964.79999999999</v>
      </c>
    </row>
    <row r="213" spans="1:66" s="4" customFormat="1">
      <c r="A213" s="4">
        <v>213</v>
      </c>
      <c r="B213" s="4" t="s">
        <v>218</v>
      </c>
      <c r="D213" s="4" t="s">
        <v>25</v>
      </c>
      <c r="F213" s="1">
        <v>169889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1240548</v>
      </c>
      <c r="M213" s="1">
        <v>0</v>
      </c>
      <c r="N213" s="1">
        <v>0</v>
      </c>
      <c r="O213" s="1">
        <v>0</v>
      </c>
      <c r="P213" s="1">
        <v>77893</v>
      </c>
      <c r="Q213" s="1">
        <v>0</v>
      </c>
      <c r="R213" s="1">
        <v>0</v>
      </c>
      <c r="S213" s="1">
        <v>0</v>
      </c>
      <c r="T213" s="1">
        <v>68627</v>
      </c>
      <c r="U213" s="1">
        <v>0</v>
      </c>
      <c r="V213" s="1">
        <v>786</v>
      </c>
      <c r="W213" s="1">
        <v>0</v>
      </c>
      <c r="X213" s="1">
        <v>11983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H213" s="4">
        <f t="shared" si="8"/>
        <v>1569726</v>
      </c>
    </row>
    <row r="214" spans="1:66" s="4" customFormat="1">
      <c r="B214" s="3" t="s">
        <v>619</v>
      </c>
      <c r="C214" s="3"/>
      <c r="D214" s="3" t="s">
        <v>56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f>316519+200617+234976</f>
        <v>752112</v>
      </c>
      <c r="M214" s="1">
        <v>0</v>
      </c>
      <c r="N214" s="1">
        <v>0</v>
      </c>
      <c r="O214" s="1">
        <v>0</v>
      </c>
      <c r="P214" s="1">
        <v>304765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35931</v>
      </c>
      <c r="W214" s="1">
        <v>0</v>
      </c>
      <c r="X214" s="1">
        <v>1632968</v>
      </c>
      <c r="Y214" s="1">
        <v>0</v>
      </c>
      <c r="Z214" s="1">
        <v>0</v>
      </c>
      <c r="AA214" s="1">
        <v>0</v>
      </c>
      <c r="AB214" s="1">
        <v>8005</v>
      </c>
      <c r="AC214" s="1">
        <v>0</v>
      </c>
      <c r="AD214" s="1">
        <v>0</v>
      </c>
      <c r="AE214" s="1">
        <v>0</v>
      </c>
      <c r="AF214" s="1">
        <v>0</v>
      </c>
      <c r="AH214" s="4">
        <f t="shared" si="8"/>
        <v>2733781</v>
      </c>
    </row>
    <row r="215" spans="1:66" s="4" customFormat="1">
      <c r="A215" s="4">
        <v>251</v>
      </c>
      <c r="B215" s="4" t="s">
        <v>443</v>
      </c>
      <c r="D215" s="4" t="s">
        <v>65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234650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198427</v>
      </c>
      <c r="S215" s="1">
        <v>0</v>
      </c>
      <c r="T215" s="1">
        <v>0</v>
      </c>
      <c r="U215" s="1">
        <v>0</v>
      </c>
      <c r="V215" s="1">
        <v>125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20895</v>
      </c>
      <c r="AC215" s="1">
        <v>0</v>
      </c>
      <c r="AD215" s="1">
        <v>0</v>
      </c>
      <c r="AE215" s="1">
        <v>0</v>
      </c>
      <c r="AF215" s="1">
        <v>0</v>
      </c>
      <c r="AH215" s="4">
        <f t="shared" si="8"/>
        <v>454097</v>
      </c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</row>
    <row r="216" spans="1:66" s="4" customFormat="1">
      <c r="A216" s="4">
        <v>113</v>
      </c>
      <c r="B216" s="4" t="s">
        <v>219</v>
      </c>
      <c r="D216" s="4" t="s">
        <v>89</v>
      </c>
      <c r="F216" s="1">
        <v>136384.78</v>
      </c>
      <c r="G216" s="1"/>
      <c r="H216" s="1">
        <v>542915.39</v>
      </c>
      <c r="I216" s="1"/>
      <c r="J216" s="1">
        <v>0</v>
      </c>
      <c r="K216" s="1"/>
      <c r="L216" s="1">
        <v>39201.32</v>
      </c>
      <c r="M216" s="1"/>
      <c r="N216" s="1">
        <v>0</v>
      </c>
      <c r="O216" s="1"/>
      <c r="P216" s="1">
        <v>26070.37</v>
      </c>
      <c r="Q216" s="1"/>
      <c r="R216" s="1">
        <v>0</v>
      </c>
      <c r="S216" s="1"/>
      <c r="T216" s="1">
        <v>36238.01</v>
      </c>
      <c r="U216" s="1"/>
      <c r="V216" s="1">
        <v>4444.51</v>
      </c>
      <c r="W216" s="1"/>
      <c r="X216" s="1">
        <v>31542.41</v>
      </c>
      <c r="Y216" s="1"/>
      <c r="Z216" s="1">
        <v>0</v>
      </c>
      <c r="AA216" s="1"/>
      <c r="AB216" s="1">
        <v>45000</v>
      </c>
      <c r="AC216" s="1"/>
      <c r="AD216" s="1">
        <v>0</v>
      </c>
      <c r="AE216" s="1"/>
      <c r="AF216" s="1">
        <v>0</v>
      </c>
      <c r="AH216" s="4">
        <f t="shared" si="8"/>
        <v>861796.79</v>
      </c>
    </row>
    <row r="217" spans="1:66" s="4" customFormat="1">
      <c r="A217" s="4">
        <v>183</v>
      </c>
      <c r="B217" s="4" t="s">
        <v>220</v>
      </c>
      <c r="D217" s="4" t="s">
        <v>158</v>
      </c>
      <c r="F217" s="1">
        <v>238032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1500</v>
      </c>
      <c r="M217" s="1">
        <v>0</v>
      </c>
      <c r="N217" s="1">
        <v>0</v>
      </c>
      <c r="O217" s="1">
        <v>0</v>
      </c>
      <c r="P217" s="1">
        <v>12059</v>
      </c>
      <c r="Q217" s="1">
        <v>0</v>
      </c>
      <c r="R217" s="1">
        <v>0</v>
      </c>
      <c r="S217" s="1">
        <v>0</v>
      </c>
      <c r="T217" s="1">
        <v>1605</v>
      </c>
      <c r="U217" s="1">
        <v>0</v>
      </c>
      <c r="V217" s="1">
        <v>837</v>
      </c>
      <c r="W217" s="1">
        <v>0</v>
      </c>
      <c r="X217" s="1">
        <v>12336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363</v>
      </c>
      <c r="AH217" s="4">
        <f t="shared" si="8"/>
        <v>266732</v>
      </c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</row>
    <row r="218" spans="1:66" s="4" customFormat="1">
      <c r="A218" s="4">
        <v>116</v>
      </c>
      <c r="B218" s="4" t="s">
        <v>221</v>
      </c>
      <c r="D218" s="4" t="s">
        <v>170</v>
      </c>
      <c r="F218" s="1">
        <v>0</v>
      </c>
      <c r="G218" s="1">
        <v>0</v>
      </c>
      <c r="H218" s="1">
        <v>199854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11175</v>
      </c>
      <c r="Q218" s="1">
        <v>0</v>
      </c>
      <c r="R218" s="1">
        <v>0</v>
      </c>
      <c r="S218" s="1">
        <v>0</v>
      </c>
      <c r="T218" s="1">
        <v>1505</v>
      </c>
      <c r="U218" s="1">
        <v>0</v>
      </c>
      <c r="V218" s="1">
        <v>10483</v>
      </c>
      <c r="W218" s="1">
        <v>0</v>
      </c>
      <c r="X218" s="1">
        <v>2701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H218" s="4">
        <f t="shared" si="8"/>
        <v>225718</v>
      </c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</row>
    <row r="219" spans="1:66" s="4" customFormat="1">
      <c r="A219" s="4">
        <v>146</v>
      </c>
      <c r="B219" s="4" t="s">
        <v>464</v>
      </c>
      <c r="D219" s="4" t="s">
        <v>57</v>
      </c>
      <c r="F219" s="1">
        <v>794405.62</v>
      </c>
      <c r="G219" s="1"/>
      <c r="H219" s="1">
        <v>329420.09999999998</v>
      </c>
      <c r="I219" s="1"/>
      <c r="J219" s="1">
        <v>0</v>
      </c>
      <c r="K219" s="1"/>
      <c r="L219" s="1">
        <v>101178.62</v>
      </c>
      <c r="M219" s="1"/>
      <c r="N219" s="1">
        <v>0</v>
      </c>
      <c r="O219" s="1"/>
      <c r="P219" s="1">
        <v>31765.31</v>
      </c>
      <c r="Q219" s="1"/>
      <c r="R219" s="1">
        <v>0</v>
      </c>
      <c r="S219" s="1"/>
      <c r="T219" s="1">
        <v>45268.9</v>
      </c>
      <c r="U219" s="1"/>
      <c r="V219" s="1">
        <v>619</v>
      </c>
      <c r="W219" s="1"/>
      <c r="X219" s="1">
        <v>1250.75</v>
      </c>
      <c r="Y219" s="1"/>
      <c r="Z219" s="1">
        <v>0</v>
      </c>
      <c r="AA219" s="1"/>
      <c r="AB219" s="1">
        <v>150000</v>
      </c>
      <c r="AC219" s="1"/>
      <c r="AD219" s="1">
        <v>0</v>
      </c>
      <c r="AE219" s="1"/>
      <c r="AF219" s="1">
        <v>0</v>
      </c>
      <c r="AH219" s="4">
        <f t="shared" si="8"/>
        <v>1453908.2999999998</v>
      </c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</row>
    <row r="220" spans="1:66" s="28" customFormat="1">
      <c r="A220" s="4">
        <v>246</v>
      </c>
      <c r="B220" s="4" t="s">
        <v>224</v>
      </c>
      <c r="C220" s="4"/>
      <c r="D220" s="4" t="s">
        <v>225</v>
      </c>
      <c r="E220" s="4"/>
      <c r="F220" s="1">
        <v>125404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541680</v>
      </c>
      <c r="M220" s="1">
        <v>0</v>
      </c>
      <c r="N220" s="1">
        <v>0</v>
      </c>
      <c r="O220" s="1">
        <v>0</v>
      </c>
      <c r="P220" s="1">
        <v>37981</v>
      </c>
      <c r="Q220" s="1">
        <v>0</v>
      </c>
      <c r="R220" s="1">
        <v>0</v>
      </c>
      <c r="S220" s="1">
        <v>0</v>
      </c>
      <c r="T220" s="1">
        <v>28226</v>
      </c>
      <c r="U220" s="1">
        <v>0</v>
      </c>
      <c r="V220" s="1">
        <v>17946</v>
      </c>
      <c r="W220" s="1">
        <v>0</v>
      </c>
      <c r="X220" s="1">
        <v>75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4"/>
      <c r="AH220" s="4">
        <f t="shared" si="8"/>
        <v>751312</v>
      </c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</row>
    <row r="221" spans="1:66" s="4" customFormat="1">
      <c r="A221" s="4">
        <v>136</v>
      </c>
      <c r="B221" s="4" t="s">
        <v>226</v>
      </c>
      <c r="D221" s="4" t="s">
        <v>41</v>
      </c>
      <c r="F221" s="1">
        <v>254996.82</v>
      </c>
      <c r="G221" s="1"/>
      <c r="H221" s="1">
        <v>467304.7</v>
      </c>
      <c r="I221" s="1"/>
      <c r="J221" s="1">
        <v>0</v>
      </c>
      <c r="K221" s="1"/>
      <c r="L221" s="1">
        <v>34936.660000000003</v>
      </c>
      <c r="M221" s="1"/>
      <c r="N221" s="1">
        <v>0</v>
      </c>
      <c r="O221" s="1"/>
      <c r="P221" s="1">
        <v>24805.65</v>
      </c>
      <c r="Q221" s="1"/>
      <c r="R221" s="1">
        <v>0</v>
      </c>
      <c r="S221" s="1"/>
      <c r="T221" s="1">
        <v>1543.58</v>
      </c>
      <c r="U221" s="1"/>
      <c r="V221" s="1">
        <v>6563.4</v>
      </c>
      <c r="W221" s="1"/>
      <c r="X221" s="1">
        <v>1464.63</v>
      </c>
      <c r="Y221" s="1"/>
      <c r="Z221" s="1">
        <v>0</v>
      </c>
      <c r="AA221" s="1"/>
      <c r="AB221" s="1">
        <v>0</v>
      </c>
      <c r="AC221" s="1"/>
      <c r="AD221" s="1">
        <v>0</v>
      </c>
      <c r="AE221" s="1"/>
      <c r="AF221" s="1">
        <v>0</v>
      </c>
      <c r="AH221" s="4">
        <f t="shared" si="8"/>
        <v>791615.44000000006</v>
      </c>
    </row>
    <row r="222" spans="1:66" s="4" customFormat="1">
      <c r="A222" s="4">
        <v>106</v>
      </c>
      <c r="B222" s="4" t="s">
        <v>465</v>
      </c>
      <c r="D222" s="4" t="s">
        <v>60</v>
      </c>
      <c r="F222" s="1">
        <v>27192.28</v>
      </c>
      <c r="G222" s="1"/>
      <c r="H222" s="1">
        <v>177236.01</v>
      </c>
      <c r="I222" s="1"/>
      <c r="J222" s="1">
        <v>0</v>
      </c>
      <c r="K222" s="1"/>
      <c r="L222" s="1">
        <v>0</v>
      </c>
      <c r="M222" s="1"/>
      <c r="N222" s="1">
        <v>0</v>
      </c>
      <c r="O222" s="1"/>
      <c r="P222" s="1">
        <v>3535.24</v>
      </c>
      <c r="Q222" s="1"/>
      <c r="R222" s="1">
        <v>0</v>
      </c>
      <c r="S222" s="1"/>
      <c r="T222" s="1">
        <v>17011.11</v>
      </c>
      <c r="U222" s="1"/>
      <c r="V222" s="1">
        <v>4479.07</v>
      </c>
      <c r="W222" s="1"/>
      <c r="X222" s="1">
        <v>1501.27</v>
      </c>
      <c r="Y222" s="1"/>
      <c r="Z222" s="1">
        <v>45</v>
      </c>
      <c r="AA222" s="1"/>
      <c r="AB222" s="1">
        <v>0</v>
      </c>
      <c r="AC222" s="1"/>
      <c r="AD222" s="1">
        <v>0</v>
      </c>
      <c r="AE222" s="1"/>
      <c r="AF222" s="1">
        <v>0</v>
      </c>
      <c r="AH222" s="4">
        <f t="shared" si="8"/>
        <v>230999.98</v>
      </c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</row>
    <row r="223" spans="1:66" s="4" customFormat="1">
      <c r="A223" s="4">
        <v>184</v>
      </c>
      <c r="B223" s="4" t="s">
        <v>228</v>
      </c>
      <c r="D223" s="4" t="s">
        <v>229</v>
      </c>
      <c r="F223" s="1">
        <v>676079.56</v>
      </c>
      <c r="G223" s="1"/>
      <c r="H223" s="1">
        <v>571745.88</v>
      </c>
      <c r="I223" s="1"/>
      <c r="J223" s="1">
        <v>0</v>
      </c>
      <c r="K223" s="1"/>
      <c r="L223" s="1">
        <v>0</v>
      </c>
      <c r="M223" s="1"/>
      <c r="N223" s="1">
        <v>0</v>
      </c>
      <c r="O223" s="1"/>
      <c r="P223" s="1">
        <v>27824.59</v>
      </c>
      <c r="Q223" s="1"/>
      <c r="R223" s="1">
        <v>0</v>
      </c>
      <c r="S223" s="1"/>
      <c r="T223" s="1">
        <v>4277.5</v>
      </c>
      <c r="U223" s="1"/>
      <c r="V223" s="1">
        <v>11975.27</v>
      </c>
      <c r="W223" s="1"/>
      <c r="X223" s="1">
        <v>21312.81</v>
      </c>
      <c r="Y223" s="1"/>
      <c r="Z223" s="1">
        <v>0</v>
      </c>
      <c r="AA223" s="1"/>
      <c r="AB223" s="1">
        <v>0</v>
      </c>
      <c r="AC223" s="1"/>
      <c r="AD223" s="1">
        <v>0</v>
      </c>
      <c r="AE223" s="1"/>
      <c r="AF223" s="1">
        <v>0</v>
      </c>
      <c r="AH223" s="4">
        <f t="shared" si="8"/>
        <v>1313215.6100000001</v>
      </c>
    </row>
    <row r="224" spans="1:66" s="4" customFormat="1">
      <c r="A224" s="4">
        <v>252</v>
      </c>
      <c r="B224" s="4" t="s">
        <v>231</v>
      </c>
      <c r="D224" s="4" t="s">
        <v>65</v>
      </c>
      <c r="F224" s="1">
        <v>175098.11</v>
      </c>
      <c r="G224" s="1"/>
      <c r="H224" s="1">
        <v>292298.32</v>
      </c>
      <c r="I224" s="1"/>
      <c r="J224" s="1">
        <v>0</v>
      </c>
      <c r="K224" s="1"/>
      <c r="L224" s="1">
        <v>0</v>
      </c>
      <c r="M224" s="1"/>
      <c r="N224" s="1">
        <v>0</v>
      </c>
      <c r="O224" s="1"/>
      <c r="P224" s="1">
        <v>9266.35</v>
      </c>
      <c r="Q224" s="1"/>
      <c r="R224" s="1">
        <v>0</v>
      </c>
      <c r="S224" s="1"/>
      <c r="T224" s="1">
        <v>29599.77</v>
      </c>
      <c r="U224" s="1"/>
      <c r="V224" s="1">
        <v>7735.07</v>
      </c>
      <c r="W224" s="1"/>
      <c r="X224" s="1">
        <v>2317.8200000000002</v>
      </c>
      <c r="Y224" s="1"/>
      <c r="Z224" s="1">
        <v>0</v>
      </c>
      <c r="AA224" s="1"/>
      <c r="AB224" s="1">
        <v>0</v>
      </c>
      <c r="AC224" s="1"/>
      <c r="AD224" s="1">
        <v>175738.12</v>
      </c>
      <c r="AE224" s="1"/>
      <c r="AF224" s="1">
        <v>0</v>
      </c>
      <c r="AH224" s="4">
        <f t="shared" si="8"/>
        <v>692053.56</v>
      </c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</row>
    <row r="225" spans="1:66" s="4" customFormat="1">
      <c r="A225" s="4">
        <v>219</v>
      </c>
      <c r="B225" s="4" t="s">
        <v>232</v>
      </c>
      <c r="D225" s="4" t="s">
        <v>22</v>
      </c>
      <c r="F225" s="1">
        <v>75643.31</v>
      </c>
      <c r="G225" s="1"/>
      <c r="H225" s="1">
        <v>288818.19</v>
      </c>
      <c r="I225" s="1"/>
      <c r="J225" s="1">
        <v>0</v>
      </c>
      <c r="K225" s="1"/>
      <c r="L225" s="1">
        <v>10133.540000000001</v>
      </c>
      <c r="M225" s="1"/>
      <c r="N225" s="1">
        <v>0</v>
      </c>
      <c r="O225" s="1"/>
      <c r="P225" s="1">
        <v>4994.75</v>
      </c>
      <c r="Q225" s="1"/>
      <c r="R225" s="1">
        <v>0</v>
      </c>
      <c r="S225" s="1"/>
      <c r="T225" s="1">
        <v>0</v>
      </c>
      <c r="U225" s="1"/>
      <c r="V225" s="1">
        <v>108.52</v>
      </c>
      <c r="W225" s="1"/>
      <c r="X225" s="1">
        <v>1495</v>
      </c>
      <c r="Y225" s="1"/>
      <c r="Z225" s="1">
        <v>0</v>
      </c>
      <c r="AA225" s="1"/>
      <c r="AB225" s="1">
        <v>0</v>
      </c>
      <c r="AC225" s="1"/>
      <c r="AD225" s="1">
        <v>0</v>
      </c>
      <c r="AE225" s="1"/>
      <c r="AF225" s="1">
        <v>0</v>
      </c>
      <c r="AH225" s="4">
        <f t="shared" si="8"/>
        <v>381193.31</v>
      </c>
    </row>
    <row r="226" spans="1:66" s="4" customFormat="1">
      <c r="A226" s="4">
        <v>187</v>
      </c>
      <c r="B226" s="4" t="s">
        <v>605</v>
      </c>
      <c r="D226" s="4" t="s">
        <v>66</v>
      </c>
      <c r="F226" s="1">
        <v>529162.48</v>
      </c>
      <c r="G226" s="1"/>
      <c r="H226" s="1">
        <v>832007.72</v>
      </c>
      <c r="I226" s="1"/>
      <c r="J226" s="1">
        <v>0</v>
      </c>
      <c r="K226" s="1"/>
      <c r="L226" s="1">
        <v>100178</v>
      </c>
      <c r="M226" s="1"/>
      <c r="N226" s="1">
        <v>0</v>
      </c>
      <c r="O226" s="1"/>
      <c r="P226" s="1">
        <v>32262.66</v>
      </c>
      <c r="Q226" s="1"/>
      <c r="R226" s="1">
        <v>0</v>
      </c>
      <c r="S226" s="1"/>
      <c r="T226" s="1">
        <v>24591.47</v>
      </c>
      <c r="U226" s="1"/>
      <c r="V226" s="1">
        <v>1364.2</v>
      </c>
      <c r="W226" s="1"/>
      <c r="X226" s="1">
        <v>44046.080000000002</v>
      </c>
      <c r="Y226" s="1"/>
      <c r="Z226" s="1">
        <v>164</v>
      </c>
      <c r="AA226" s="1"/>
      <c r="AB226" s="1">
        <v>0</v>
      </c>
      <c r="AC226" s="1"/>
      <c r="AD226" s="1">
        <v>0</v>
      </c>
      <c r="AE226" s="1"/>
      <c r="AF226" s="1">
        <v>0</v>
      </c>
      <c r="AH226" s="4">
        <f t="shared" si="8"/>
        <v>1563776.6099999999</v>
      </c>
    </row>
    <row r="227" spans="1:66" s="4" customFormat="1">
      <c r="A227" s="4">
        <v>176</v>
      </c>
      <c r="B227" s="4" t="s">
        <v>233</v>
      </c>
      <c r="D227" s="4" t="s">
        <v>68</v>
      </c>
      <c r="F227" s="1">
        <v>0</v>
      </c>
      <c r="G227" s="1">
        <v>0</v>
      </c>
      <c r="H227" s="1">
        <v>204473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5469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112</v>
      </c>
      <c r="W227" s="1">
        <v>0</v>
      </c>
      <c r="X227" s="1">
        <v>348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H227" s="4">
        <f t="shared" si="8"/>
        <v>210402</v>
      </c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</row>
    <row r="228" spans="1:66" s="4" customFormat="1">
      <c r="A228" s="4">
        <v>128</v>
      </c>
      <c r="B228" s="4" t="s">
        <v>234</v>
      </c>
      <c r="D228" s="4" t="s">
        <v>15</v>
      </c>
      <c r="F228" s="1">
        <v>517461.76000000001</v>
      </c>
      <c r="G228" s="1"/>
      <c r="H228" s="1">
        <v>307104.52</v>
      </c>
      <c r="I228" s="1"/>
      <c r="J228" s="1">
        <v>0</v>
      </c>
      <c r="K228" s="1"/>
      <c r="L228" s="1">
        <v>26420.46</v>
      </c>
      <c r="M228" s="1"/>
      <c r="N228" s="1">
        <v>0</v>
      </c>
      <c r="O228" s="1"/>
      <c r="P228" s="1">
        <v>22893.88</v>
      </c>
      <c r="Q228" s="1"/>
      <c r="R228" s="1">
        <v>0</v>
      </c>
      <c r="S228" s="1"/>
      <c r="T228" s="1">
        <v>3000</v>
      </c>
      <c r="U228" s="1"/>
      <c r="V228" s="1">
        <v>3436.06</v>
      </c>
      <c r="W228" s="1"/>
      <c r="X228" s="1">
        <v>21907.599999999999</v>
      </c>
      <c r="Y228" s="1"/>
      <c r="Z228" s="1">
        <v>0</v>
      </c>
      <c r="AA228" s="1"/>
      <c r="AB228" s="1">
        <v>0</v>
      </c>
      <c r="AC228" s="1"/>
      <c r="AD228" s="1">
        <v>0</v>
      </c>
      <c r="AE228" s="1"/>
      <c r="AF228" s="1">
        <v>0</v>
      </c>
      <c r="AH228" s="4">
        <f t="shared" si="8"/>
        <v>902224.28</v>
      </c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</row>
    <row r="229" spans="1:66" s="4" customFormat="1">
      <c r="A229" s="4">
        <v>188</v>
      </c>
      <c r="B229" s="4" t="s">
        <v>235</v>
      </c>
      <c r="D229" s="4" t="s">
        <v>236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1409117</v>
      </c>
      <c r="M229" s="1">
        <v>0</v>
      </c>
      <c r="N229" s="1">
        <v>0</v>
      </c>
      <c r="O229" s="1">
        <v>0</v>
      </c>
      <c r="P229" s="1">
        <v>66946</v>
      </c>
      <c r="Q229" s="1">
        <v>0</v>
      </c>
      <c r="R229" s="1">
        <v>0</v>
      </c>
      <c r="S229" s="1">
        <v>0</v>
      </c>
      <c r="T229" s="1">
        <v>13799</v>
      </c>
      <c r="U229" s="1">
        <v>0</v>
      </c>
      <c r="V229" s="1">
        <v>71241</v>
      </c>
      <c r="W229" s="1">
        <v>0</v>
      </c>
      <c r="X229" s="1">
        <v>9561</v>
      </c>
      <c r="Y229" s="1">
        <v>0</v>
      </c>
      <c r="Z229" s="1">
        <v>0</v>
      </c>
      <c r="AA229" s="1">
        <v>0</v>
      </c>
      <c r="AB229" s="1">
        <v>2400000</v>
      </c>
      <c r="AC229" s="1">
        <v>0</v>
      </c>
      <c r="AD229" s="1">
        <v>0</v>
      </c>
      <c r="AE229" s="1">
        <v>0</v>
      </c>
      <c r="AF229" s="1">
        <v>0</v>
      </c>
      <c r="AH229" s="4">
        <f t="shared" si="8"/>
        <v>3970664</v>
      </c>
    </row>
    <row r="230" spans="1:66" s="4" customFormat="1">
      <c r="A230" s="4">
        <v>72</v>
      </c>
      <c r="B230" s="4" t="s">
        <v>312</v>
      </c>
      <c r="D230" s="4" t="s">
        <v>67</v>
      </c>
      <c r="F230" s="1">
        <v>761351.51</v>
      </c>
      <c r="G230" s="1"/>
      <c r="H230" s="1">
        <v>810662.92</v>
      </c>
      <c r="I230" s="1"/>
      <c r="J230" s="1">
        <v>0</v>
      </c>
      <c r="K230" s="1"/>
      <c r="L230" s="1">
        <v>105191.06</v>
      </c>
      <c r="M230" s="1"/>
      <c r="N230" s="1">
        <v>0</v>
      </c>
      <c r="O230" s="1"/>
      <c r="P230" s="1">
        <v>39504.67</v>
      </c>
      <c r="Q230" s="1"/>
      <c r="R230" s="1">
        <v>0</v>
      </c>
      <c r="S230" s="1"/>
      <c r="T230" s="1">
        <v>1741.7</v>
      </c>
      <c r="U230" s="1"/>
      <c r="V230" s="1">
        <v>3464.25</v>
      </c>
      <c r="W230" s="1"/>
      <c r="X230" s="1">
        <v>9385.58</v>
      </c>
      <c r="Y230" s="1"/>
      <c r="Z230" s="1">
        <v>204915</v>
      </c>
      <c r="AA230" s="1"/>
      <c r="AB230" s="1">
        <v>136001.4</v>
      </c>
      <c r="AC230" s="1"/>
      <c r="AD230" s="1">
        <v>0</v>
      </c>
      <c r="AE230" s="1"/>
      <c r="AF230" s="1">
        <v>0</v>
      </c>
      <c r="AH230" s="4">
        <f t="shared" si="8"/>
        <v>2072218.09</v>
      </c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</row>
    <row r="231" spans="1:66" s="4" customFormat="1">
      <c r="A231" s="4">
        <v>163</v>
      </c>
      <c r="B231" s="4" t="s">
        <v>585</v>
      </c>
      <c r="D231" s="4" t="s">
        <v>53</v>
      </c>
      <c r="F231" s="1">
        <v>0</v>
      </c>
      <c r="G231" s="1"/>
      <c r="H231" s="1">
        <v>607767.77</v>
      </c>
      <c r="I231" s="1"/>
      <c r="J231" s="1">
        <v>0</v>
      </c>
      <c r="K231" s="1"/>
      <c r="L231" s="1">
        <v>1274</v>
      </c>
      <c r="M231" s="1"/>
      <c r="N231" s="1">
        <v>0</v>
      </c>
      <c r="O231" s="1"/>
      <c r="P231" s="1">
        <v>30001.13</v>
      </c>
      <c r="Q231" s="1"/>
      <c r="R231" s="1">
        <v>0</v>
      </c>
      <c r="S231" s="1"/>
      <c r="T231" s="1">
        <v>302823.19</v>
      </c>
      <c r="U231" s="1"/>
      <c r="V231" s="1">
        <v>235.6</v>
      </c>
      <c r="W231" s="1"/>
      <c r="X231" s="1">
        <v>19649.439999999999</v>
      </c>
      <c r="Y231" s="1"/>
      <c r="Z231" s="1">
        <v>379.53</v>
      </c>
      <c r="AA231" s="1"/>
      <c r="AB231" s="1">
        <v>0</v>
      </c>
      <c r="AC231" s="1"/>
      <c r="AD231" s="1">
        <v>0</v>
      </c>
      <c r="AE231" s="1"/>
      <c r="AF231" s="1">
        <v>0</v>
      </c>
      <c r="AH231" s="4">
        <f t="shared" si="8"/>
        <v>962130.66</v>
      </c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</row>
    <row r="232" spans="1:66" s="4" customFormat="1">
      <c r="A232" s="4">
        <v>151</v>
      </c>
      <c r="B232" s="4" t="s">
        <v>237</v>
      </c>
      <c r="D232" s="4" t="s">
        <v>12</v>
      </c>
      <c r="F232" s="1">
        <v>184864.78</v>
      </c>
      <c r="G232" s="1"/>
      <c r="H232" s="1">
        <v>338341.72</v>
      </c>
      <c r="I232" s="1"/>
      <c r="J232" s="1">
        <v>0</v>
      </c>
      <c r="K232" s="1"/>
      <c r="L232" s="1">
        <v>14298.09</v>
      </c>
      <c r="M232" s="1"/>
      <c r="N232" s="1">
        <v>0</v>
      </c>
      <c r="O232" s="1"/>
      <c r="P232" s="1">
        <v>19221.16</v>
      </c>
      <c r="Q232" s="1"/>
      <c r="R232" s="1">
        <v>0</v>
      </c>
      <c r="S232" s="1"/>
      <c r="T232" s="1">
        <v>2649</v>
      </c>
      <c r="U232" s="1"/>
      <c r="V232" s="1">
        <v>1816.62</v>
      </c>
      <c r="W232" s="1"/>
      <c r="X232" s="1">
        <v>642.69000000000005</v>
      </c>
      <c r="Y232" s="1"/>
      <c r="Z232" s="1">
        <v>0</v>
      </c>
      <c r="AA232" s="1"/>
      <c r="AB232" s="1">
        <v>0</v>
      </c>
      <c r="AC232" s="1"/>
      <c r="AD232" s="1">
        <v>0</v>
      </c>
      <c r="AE232" s="1"/>
      <c r="AF232" s="1">
        <v>0</v>
      </c>
      <c r="AH232" s="4">
        <f t="shared" si="8"/>
        <v>561834.05999999994</v>
      </c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</row>
    <row r="233" spans="1:66" s="4" customFormat="1">
      <c r="A233" s="4">
        <v>192</v>
      </c>
      <c r="B233" s="4" t="s">
        <v>606</v>
      </c>
      <c r="D233" s="4" t="s">
        <v>173</v>
      </c>
      <c r="F233" s="1">
        <v>0</v>
      </c>
      <c r="G233" s="1">
        <v>0</v>
      </c>
      <c r="H233" s="1">
        <v>1945547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39909</v>
      </c>
      <c r="Q233" s="1">
        <v>0</v>
      </c>
      <c r="R233" s="1">
        <v>38740</v>
      </c>
      <c r="S233" s="1">
        <v>0</v>
      </c>
      <c r="T233" s="1">
        <v>38294</v>
      </c>
      <c r="U233" s="1">
        <v>0</v>
      </c>
      <c r="V233" s="1">
        <v>10265</v>
      </c>
      <c r="W233" s="1">
        <v>0</v>
      </c>
      <c r="X233" s="1">
        <v>16997</v>
      </c>
      <c r="Y233" s="1">
        <v>0</v>
      </c>
      <c r="Z233" s="1">
        <v>0</v>
      </c>
      <c r="AA233" s="1">
        <v>0</v>
      </c>
      <c r="AB233" s="1">
        <v>6529</v>
      </c>
      <c r="AC233" s="1">
        <v>0</v>
      </c>
      <c r="AD233" s="1">
        <v>0</v>
      </c>
      <c r="AE233" s="1">
        <v>0</v>
      </c>
      <c r="AF233" s="1">
        <v>0</v>
      </c>
      <c r="AH233" s="4">
        <f t="shared" si="8"/>
        <v>2096281</v>
      </c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</row>
    <row r="234" spans="1:66" s="4" customFormat="1">
      <c r="B234" s="4" t="s">
        <v>620</v>
      </c>
      <c r="D234" s="4" t="s">
        <v>158</v>
      </c>
      <c r="F234" s="1">
        <v>1135195</v>
      </c>
      <c r="G234" s="1">
        <v>0</v>
      </c>
      <c r="H234" s="1">
        <v>2000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18358</v>
      </c>
      <c r="Q234" s="1">
        <v>0</v>
      </c>
      <c r="R234" s="1">
        <v>0</v>
      </c>
      <c r="S234" s="1">
        <v>0</v>
      </c>
      <c r="T234" s="1">
        <v>13575</v>
      </c>
      <c r="U234" s="1">
        <v>0</v>
      </c>
      <c r="V234" s="1">
        <f>453+4+2</f>
        <v>459</v>
      </c>
      <c r="W234" s="1">
        <v>0</v>
      </c>
      <c r="X234" s="1">
        <v>910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H234" s="4">
        <f t="shared" si="8"/>
        <v>1170497</v>
      </c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1:66" s="4" customFormat="1">
      <c r="A235" s="4">
        <v>55</v>
      </c>
      <c r="B235" s="4" t="s">
        <v>445</v>
      </c>
      <c r="D235" s="4" t="s">
        <v>19</v>
      </c>
      <c r="F235" s="1">
        <v>3977552</v>
      </c>
      <c r="G235" s="1">
        <v>0</v>
      </c>
      <c r="H235" s="1">
        <v>1062230</v>
      </c>
      <c r="I235" s="1">
        <v>0</v>
      </c>
      <c r="J235" s="1">
        <v>0</v>
      </c>
      <c r="K235" s="1">
        <v>0</v>
      </c>
      <c r="L235" s="1">
        <v>11009</v>
      </c>
      <c r="M235" s="1">
        <v>0</v>
      </c>
      <c r="N235" s="1">
        <v>0</v>
      </c>
      <c r="O235" s="1">
        <v>0</v>
      </c>
      <c r="P235" s="1">
        <v>114949</v>
      </c>
      <c r="Q235" s="1">
        <v>0</v>
      </c>
      <c r="R235" s="1">
        <v>0</v>
      </c>
      <c r="S235" s="1">
        <v>0</v>
      </c>
      <c r="T235" s="1">
        <v>53580</v>
      </c>
      <c r="U235" s="1">
        <v>0</v>
      </c>
      <c r="V235" s="1">
        <v>23974</v>
      </c>
      <c r="W235" s="1">
        <v>0</v>
      </c>
      <c r="X235" s="1">
        <v>35470</v>
      </c>
      <c r="Y235" s="1">
        <v>0</v>
      </c>
      <c r="Z235" s="1">
        <v>0</v>
      </c>
      <c r="AA235" s="1">
        <v>0</v>
      </c>
      <c r="AB235" s="1">
        <v>116229</v>
      </c>
      <c r="AC235" s="1">
        <v>0</v>
      </c>
      <c r="AD235" s="1">
        <v>0</v>
      </c>
      <c r="AE235" s="1">
        <v>0</v>
      </c>
      <c r="AF235" s="1">
        <v>0</v>
      </c>
      <c r="AH235" s="4">
        <f t="shared" si="8"/>
        <v>5394993</v>
      </c>
    </row>
    <row r="236" spans="1:66" s="4" customFormat="1">
      <c r="A236" s="4">
        <v>202</v>
      </c>
      <c r="B236" s="4" t="s">
        <v>23</v>
      </c>
      <c r="D236" s="4" t="s">
        <v>24</v>
      </c>
      <c r="F236" s="1">
        <v>2279464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54852</v>
      </c>
      <c r="Q236" s="1">
        <v>0</v>
      </c>
      <c r="R236" s="1">
        <v>0</v>
      </c>
      <c r="S236" s="1">
        <v>0</v>
      </c>
      <c r="T236" s="1">
        <v>59187</v>
      </c>
      <c r="U236" s="1">
        <v>0</v>
      </c>
      <c r="V236" s="1">
        <v>1424</v>
      </c>
      <c r="W236" s="1">
        <v>0</v>
      </c>
      <c r="X236" s="1">
        <v>45583</v>
      </c>
      <c r="Y236" s="1">
        <v>0</v>
      </c>
      <c r="Z236" s="1">
        <v>0</v>
      </c>
      <c r="AA236" s="1">
        <v>0</v>
      </c>
      <c r="AB236" s="1">
        <v>150000</v>
      </c>
      <c r="AC236" s="1">
        <v>0</v>
      </c>
      <c r="AD236" s="1">
        <v>0</v>
      </c>
      <c r="AE236" s="1">
        <v>0</v>
      </c>
      <c r="AF236" s="1">
        <v>0</v>
      </c>
      <c r="AH236" s="4">
        <f t="shared" si="8"/>
        <v>2590510</v>
      </c>
    </row>
    <row r="237" spans="1:66" s="4" customFormat="1">
      <c r="A237" s="4">
        <v>196</v>
      </c>
      <c r="B237" s="4" t="s">
        <v>607</v>
      </c>
      <c r="D237" s="4" t="s">
        <v>102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1023473</v>
      </c>
      <c r="M237" s="1">
        <v>0</v>
      </c>
      <c r="N237" s="1">
        <v>0</v>
      </c>
      <c r="O237" s="1">
        <v>0</v>
      </c>
      <c r="P237" s="1">
        <v>11651</v>
      </c>
      <c r="Q237" s="1">
        <v>0</v>
      </c>
      <c r="R237" s="1">
        <v>3743</v>
      </c>
      <c r="S237" s="1">
        <v>0</v>
      </c>
      <c r="T237" s="1">
        <v>7066</v>
      </c>
      <c r="U237" s="1">
        <v>0</v>
      </c>
      <c r="V237" s="1">
        <f>451+24</f>
        <v>475</v>
      </c>
      <c r="W237" s="1">
        <v>0</v>
      </c>
      <c r="X237" s="1">
        <v>20036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H237" s="4">
        <f t="shared" si="8"/>
        <v>1066444</v>
      </c>
    </row>
    <row r="238" spans="1:66" s="4" customFormat="1">
      <c r="B238" s="4" t="s">
        <v>621</v>
      </c>
      <c r="C238" s="15"/>
      <c r="D238" s="15" t="s">
        <v>580</v>
      </c>
      <c r="F238" s="1">
        <v>17637711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38977457</v>
      </c>
      <c r="M238" s="1">
        <v>0</v>
      </c>
      <c r="N238" s="1">
        <v>0</v>
      </c>
      <c r="O238" s="1">
        <v>0</v>
      </c>
      <c r="P238" s="1">
        <v>1950189</v>
      </c>
      <c r="Q238" s="1">
        <v>0</v>
      </c>
      <c r="R238" s="1">
        <v>33323</v>
      </c>
      <c r="S238" s="1">
        <v>0</v>
      </c>
      <c r="T238" s="1">
        <v>268006</v>
      </c>
      <c r="U238" s="1">
        <v>0</v>
      </c>
      <c r="V238" s="1">
        <v>29558</v>
      </c>
      <c r="W238" s="1">
        <v>0</v>
      </c>
      <c r="X238" s="1">
        <v>701110</v>
      </c>
      <c r="Y238" s="1">
        <v>0</v>
      </c>
      <c r="Z238" s="1">
        <v>0</v>
      </c>
      <c r="AA238" s="1">
        <v>0</v>
      </c>
      <c r="AB238" s="1">
        <v>2500000</v>
      </c>
      <c r="AC238" s="1">
        <v>0</v>
      </c>
      <c r="AD238" s="1">
        <v>0</v>
      </c>
      <c r="AE238" s="1">
        <v>0</v>
      </c>
      <c r="AF238" s="1">
        <v>55000</v>
      </c>
      <c r="AH238" s="4">
        <f t="shared" si="8"/>
        <v>62152354</v>
      </c>
    </row>
    <row r="239" spans="1:66" s="4" customFormat="1">
      <c r="A239" s="4">
        <v>102</v>
      </c>
      <c r="B239" s="4" t="s">
        <v>238</v>
      </c>
      <c r="D239" s="4" t="s">
        <v>46</v>
      </c>
      <c r="F239" s="1">
        <v>211996.35</v>
      </c>
      <c r="G239" s="1"/>
      <c r="H239" s="1">
        <v>428008.97</v>
      </c>
      <c r="I239" s="1"/>
      <c r="J239" s="1">
        <v>0</v>
      </c>
      <c r="K239" s="1"/>
      <c r="L239" s="1">
        <v>15600</v>
      </c>
      <c r="M239" s="1"/>
      <c r="N239" s="1">
        <v>0</v>
      </c>
      <c r="O239" s="1"/>
      <c r="P239" s="1">
        <v>23635.83</v>
      </c>
      <c r="Q239" s="1"/>
      <c r="R239" s="1">
        <v>0</v>
      </c>
      <c r="S239" s="1"/>
      <c r="T239" s="1">
        <v>7426.91</v>
      </c>
      <c r="U239" s="1"/>
      <c r="V239" s="1">
        <v>2263.62</v>
      </c>
      <c r="W239" s="1"/>
      <c r="X239" s="1">
        <v>1151.75</v>
      </c>
      <c r="Y239" s="1"/>
      <c r="Z239" s="1">
        <v>0</v>
      </c>
      <c r="AA239" s="1"/>
      <c r="AB239" s="1">
        <v>60000.01</v>
      </c>
      <c r="AC239" s="1"/>
      <c r="AD239" s="1">
        <v>0</v>
      </c>
      <c r="AE239" s="1"/>
      <c r="AF239" s="1">
        <v>0</v>
      </c>
      <c r="AH239" s="4">
        <f t="shared" si="8"/>
        <v>750083.44</v>
      </c>
    </row>
    <row r="240" spans="1:66" s="4" customFormat="1">
      <c r="A240" s="39">
        <v>197.1</v>
      </c>
      <c r="B240" s="3" t="s">
        <v>583</v>
      </c>
      <c r="C240" s="3"/>
      <c r="D240" s="3" t="s">
        <v>584</v>
      </c>
      <c r="E240" s="3"/>
      <c r="F240" s="1">
        <v>0</v>
      </c>
      <c r="G240" s="1"/>
      <c r="H240" s="1">
        <v>970620.99</v>
      </c>
      <c r="I240" s="1"/>
      <c r="J240" s="1">
        <v>0</v>
      </c>
      <c r="K240" s="1"/>
      <c r="L240" s="1">
        <v>49211.15</v>
      </c>
      <c r="M240" s="1"/>
      <c r="N240" s="1">
        <v>0</v>
      </c>
      <c r="O240" s="1"/>
      <c r="P240" s="1">
        <v>14787.95</v>
      </c>
      <c r="Q240" s="1"/>
      <c r="R240" s="1">
        <v>0</v>
      </c>
      <c r="S240" s="1"/>
      <c r="T240" s="1">
        <v>411086.99</v>
      </c>
      <c r="U240" s="1"/>
      <c r="V240" s="1">
        <v>75398.28</v>
      </c>
      <c r="W240" s="1"/>
      <c r="X240" s="1">
        <v>4051.45</v>
      </c>
      <c r="Y240" s="1"/>
      <c r="Z240" s="1">
        <v>23324.5</v>
      </c>
      <c r="AA240" s="1"/>
      <c r="AB240" s="1">
        <v>0</v>
      </c>
      <c r="AC240" s="1"/>
      <c r="AD240" s="1">
        <v>4000</v>
      </c>
      <c r="AE240" s="1"/>
      <c r="AF240" s="1">
        <v>0</v>
      </c>
      <c r="AH240" s="4">
        <f t="shared" si="8"/>
        <v>1552481.31</v>
      </c>
    </row>
    <row r="241" spans="1:66" s="4" customFormat="1">
      <c r="A241" s="4">
        <v>193</v>
      </c>
      <c r="B241" s="4" t="s">
        <v>239</v>
      </c>
      <c r="D241" s="4" t="s">
        <v>173</v>
      </c>
      <c r="F241" s="1">
        <v>475340.24</v>
      </c>
      <c r="G241" s="1"/>
      <c r="H241" s="1">
        <v>819989.47</v>
      </c>
      <c r="I241" s="1"/>
      <c r="J241" s="1">
        <v>0</v>
      </c>
      <c r="K241" s="1"/>
      <c r="L241" s="1">
        <v>57652.84</v>
      </c>
      <c r="M241" s="1"/>
      <c r="N241" s="1">
        <v>0</v>
      </c>
      <c r="O241" s="1"/>
      <c r="P241" s="1">
        <v>38171.85</v>
      </c>
      <c r="Q241" s="1"/>
      <c r="R241" s="1">
        <v>387.15</v>
      </c>
      <c r="S241" s="1"/>
      <c r="T241" s="1">
        <v>33519.129999999997</v>
      </c>
      <c r="U241" s="1"/>
      <c r="V241" s="1">
        <v>18010.88</v>
      </c>
      <c r="W241" s="1"/>
      <c r="X241" s="1">
        <v>20194.580000000002</v>
      </c>
      <c r="Y241" s="1"/>
      <c r="Z241" s="1">
        <v>0</v>
      </c>
      <c r="AA241" s="1"/>
      <c r="AB241" s="1">
        <v>17462.95</v>
      </c>
      <c r="AC241" s="1"/>
      <c r="AD241" s="1">
        <v>0</v>
      </c>
      <c r="AE241" s="1"/>
      <c r="AF241" s="1">
        <v>3647.03</v>
      </c>
      <c r="AH241" s="4">
        <f t="shared" si="8"/>
        <v>1484376.1199999999</v>
      </c>
    </row>
    <row r="242" spans="1:66" s="4" customFormat="1">
      <c r="A242" s="4">
        <v>153</v>
      </c>
      <c r="B242" s="4" t="s">
        <v>240</v>
      </c>
      <c r="D242" s="4" t="s">
        <v>215</v>
      </c>
      <c r="F242" s="1">
        <v>3103010</v>
      </c>
      <c r="G242" s="1">
        <v>0</v>
      </c>
      <c r="H242" s="1">
        <v>7550512</v>
      </c>
      <c r="I242" s="1">
        <v>0</v>
      </c>
      <c r="J242" s="1">
        <v>0</v>
      </c>
      <c r="K242" s="1">
        <v>0</v>
      </c>
      <c r="L242" s="1">
        <v>782678</v>
      </c>
      <c r="M242" s="1">
        <v>0</v>
      </c>
      <c r="N242" s="1">
        <v>0</v>
      </c>
      <c r="O242" s="1">
        <v>0</v>
      </c>
      <c r="P242" s="1">
        <v>237104</v>
      </c>
      <c r="Q242" s="1">
        <v>0</v>
      </c>
      <c r="R242" s="1">
        <v>0</v>
      </c>
      <c r="S242" s="1">
        <v>0</v>
      </c>
      <c r="T242" s="1">
        <v>152894</v>
      </c>
      <c r="U242" s="1">
        <v>0</v>
      </c>
      <c r="V242" s="1">
        <v>101570</v>
      </c>
      <c r="W242" s="1">
        <v>0</v>
      </c>
      <c r="X242" s="1">
        <v>163398</v>
      </c>
      <c r="Y242" s="1">
        <v>0</v>
      </c>
      <c r="Z242" s="1">
        <v>0</v>
      </c>
      <c r="AA242" s="1">
        <v>0</v>
      </c>
      <c r="AB242" s="1">
        <v>1050345</v>
      </c>
      <c r="AC242" s="1">
        <v>0</v>
      </c>
      <c r="AD242" s="1">
        <v>0</v>
      </c>
      <c r="AE242" s="1">
        <v>0</v>
      </c>
      <c r="AF242" s="1">
        <v>0</v>
      </c>
      <c r="AH242" s="4">
        <f t="shared" si="8"/>
        <v>13141511</v>
      </c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</row>
    <row r="243" spans="1:66" s="4" customFormat="1"/>
    <row r="244" spans="1:66" s="4" customFormat="1">
      <c r="AH244" s="44" t="s">
        <v>591</v>
      </c>
    </row>
    <row r="245" spans="1:66">
      <c r="B245" s="3" t="s">
        <v>525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66">
      <c r="B246" s="3" t="s">
        <v>635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66">
      <c r="B247" s="41" t="s">
        <v>7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66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66" s="36" customFormat="1">
      <c r="F249" s="28"/>
      <c r="G249" s="28"/>
      <c r="H249" s="28" t="s">
        <v>282</v>
      </c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1:66" s="36" customFormat="1">
      <c r="F250" s="28" t="s">
        <v>31</v>
      </c>
      <c r="G250" s="28"/>
      <c r="H250" s="28" t="s">
        <v>283</v>
      </c>
      <c r="I250" s="28"/>
      <c r="J250" s="28"/>
      <c r="K250" s="28"/>
      <c r="L250" s="28"/>
      <c r="M250" s="28"/>
      <c r="N250" s="28"/>
      <c r="O250" s="28"/>
      <c r="P250" s="28"/>
      <c r="Q250" s="28"/>
      <c r="R250" s="28" t="s">
        <v>29</v>
      </c>
      <c r="S250" s="28"/>
      <c r="T250" s="28" t="s">
        <v>289</v>
      </c>
      <c r="U250" s="28"/>
      <c r="V250" s="28"/>
      <c r="W250" s="28"/>
      <c r="X250" s="28"/>
      <c r="Y250" s="28"/>
      <c r="Z250" s="28" t="s">
        <v>294</v>
      </c>
      <c r="AA250" s="28"/>
      <c r="AB250" s="28"/>
      <c r="AC250" s="28"/>
      <c r="AD250" s="28"/>
      <c r="AE250" s="28"/>
      <c r="AF250" s="28" t="s">
        <v>0</v>
      </c>
      <c r="AG250" s="28"/>
      <c r="AH250" s="28"/>
    </row>
    <row r="251" spans="1:66" s="36" customFormat="1" ht="12" customHeight="1">
      <c r="F251" s="28" t="s">
        <v>0</v>
      </c>
      <c r="G251" s="28"/>
      <c r="H251" s="28" t="s">
        <v>284</v>
      </c>
      <c r="I251" s="28"/>
      <c r="J251" s="28" t="s">
        <v>556</v>
      </c>
      <c r="K251" s="28"/>
      <c r="L251" s="28" t="s">
        <v>348</v>
      </c>
      <c r="M251" s="28"/>
      <c r="N251" s="28"/>
      <c r="O251" s="28"/>
      <c r="P251" s="28" t="s">
        <v>286</v>
      </c>
      <c r="Q251" s="28"/>
      <c r="R251" s="28" t="s">
        <v>288</v>
      </c>
      <c r="S251" s="28"/>
      <c r="T251" s="28" t="s">
        <v>290</v>
      </c>
      <c r="U251" s="28"/>
      <c r="V251" s="28" t="s">
        <v>292</v>
      </c>
      <c r="W251" s="28"/>
      <c r="X251" s="28"/>
      <c r="Y251" s="28"/>
      <c r="Z251" s="28" t="s">
        <v>295</v>
      </c>
      <c r="AA251" s="28"/>
      <c r="AB251" s="28"/>
      <c r="AC251" s="28"/>
      <c r="AD251" s="28"/>
      <c r="AE251" s="28"/>
      <c r="AF251" s="28" t="s">
        <v>296</v>
      </c>
      <c r="AG251" s="28"/>
      <c r="AH251" s="28"/>
    </row>
    <row r="252" spans="1:66" s="36" customFormat="1" ht="12" customHeight="1">
      <c r="A252" s="36" t="s">
        <v>578</v>
      </c>
      <c r="B252" s="37"/>
      <c r="C252" s="45"/>
      <c r="D252" s="37" t="s">
        <v>6</v>
      </c>
      <c r="E252" s="45"/>
      <c r="F252" s="53" t="s">
        <v>281</v>
      </c>
      <c r="G252" s="50"/>
      <c r="H252" s="53" t="s">
        <v>285</v>
      </c>
      <c r="I252" s="50"/>
      <c r="J252" s="53" t="s">
        <v>557</v>
      </c>
      <c r="K252" s="50"/>
      <c r="L252" s="53" t="s">
        <v>349</v>
      </c>
      <c r="M252" s="50"/>
      <c r="N252" s="53" t="s">
        <v>558</v>
      </c>
      <c r="O252" s="50"/>
      <c r="P252" s="53" t="s">
        <v>287</v>
      </c>
      <c r="Q252" s="50"/>
      <c r="R252" s="53" t="s">
        <v>560</v>
      </c>
      <c r="S252" s="50"/>
      <c r="T252" s="53" t="s">
        <v>291</v>
      </c>
      <c r="U252" s="50"/>
      <c r="V252" s="53" t="s">
        <v>293</v>
      </c>
      <c r="W252" s="50"/>
      <c r="X252" s="53" t="s">
        <v>1</v>
      </c>
      <c r="Y252" s="50"/>
      <c r="Z252" s="53" t="s">
        <v>32</v>
      </c>
      <c r="AA252" s="50"/>
      <c r="AB252" s="53" t="s">
        <v>509</v>
      </c>
      <c r="AC252" s="50"/>
      <c r="AD252" s="53" t="s">
        <v>510</v>
      </c>
      <c r="AE252" s="50"/>
      <c r="AF252" s="53" t="s">
        <v>297</v>
      </c>
      <c r="AG252" s="50"/>
      <c r="AH252" s="40" t="s">
        <v>28</v>
      </c>
    </row>
    <row r="253" spans="1:66" s="7" customFormat="1">
      <c r="A253" s="7">
        <v>238</v>
      </c>
      <c r="B253" s="7" t="s">
        <v>241</v>
      </c>
      <c r="D253" s="7" t="s">
        <v>193</v>
      </c>
      <c r="F253" s="7">
        <v>0</v>
      </c>
      <c r="G253" s="7">
        <v>0</v>
      </c>
      <c r="H253" s="7">
        <v>265530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5129</v>
      </c>
      <c r="Q253" s="7">
        <v>0</v>
      </c>
      <c r="R253" s="7">
        <v>0</v>
      </c>
      <c r="S253" s="7">
        <v>0</v>
      </c>
      <c r="T253" s="7">
        <v>704</v>
      </c>
      <c r="U253" s="7">
        <v>0</v>
      </c>
      <c r="V253" s="7">
        <v>2769</v>
      </c>
      <c r="W253" s="7">
        <v>0</v>
      </c>
      <c r="X253" s="7">
        <v>12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H253" s="7">
        <f t="shared" ref="AH253:AH284" si="9">SUM(F253:AF253)</f>
        <v>274144</v>
      </c>
    </row>
    <row r="254" spans="1:66" s="4" customFormat="1">
      <c r="A254" s="4">
        <v>100</v>
      </c>
      <c r="B254" s="4" t="s">
        <v>314</v>
      </c>
      <c r="D254" s="4" t="s">
        <v>61</v>
      </c>
      <c r="F254" s="1">
        <v>15806.95</v>
      </c>
      <c r="G254" s="2"/>
      <c r="H254" s="2">
        <v>83335.23</v>
      </c>
      <c r="I254" s="2"/>
      <c r="J254" s="2">
        <v>0</v>
      </c>
      <c r="K254" s="2"/>
      <c r="L254" s="1">
        <v>2865.23</v>
      </c>
      <c r="M254" s="1"/>
      <c r="N254" s="1">
        <v>0</v>
      </c>
      <c r="O254" s="1"/>
      <c r="P254" s="1">
        <v>1560.13</v>
      </c>
      <c r="Q254" s="1"/>
      <c r="R254" s="1">
        <v>0</v>
      </c>
      <c r="S254" s="1"/>
      <c r="T254" s="1">
        <v>2924</v>
      </c>
      <c r="U254" s="1"/>
      <c r="V254" s="1">
        <v>498.17</v>
      </c>
      <c r="W254" s="1"/>
      <c r="X254" s="1">
        <v>979.19</v>
      </c>
      <c r="Y254" s="1"/>
      <c r="Z254" s="1">
        <v>0</v>
      </c>
      <c r="AA254" s="1"/>
      <c r="AB254" s="1">
        <v>0</v>
      </c>
      <c r="AC254" s="1"/>
      <c r="AD254" s="1">
        <v>0</v>
      </c>
      <c r="AE254" s="1"/>
      <c r="AF254" s="1">
        <v>0</v>
      </c>
      <c r="AH254" s="4">
        <f t="shared" si="9"/>
        <v>107968.9</v>
      </c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</row>
    <row r="255" spans="1:66" s="4" customFormat="1">
      <c r="A255" s="4">
        <v>68</v>
      </c>
      <c r="B255" s="4" t="s">
        <v>467</v>
      </c>
      <c r="D255" s="4" t="s">
        <v>167</v>
      </c>
      <c r="F255" s="1">
        <v>529021.66</v>
      </c>
      <c r="G255" s="1"/>
      <c r="H255" s="1">
        <v>497799.09</v>
      </c>
      <c r="I255" s="1"/>
      <c r="J255" s="1">
        <v>0</v>
      </c>
      <c r="K255" s="1"/>
      <c r="L255" s="1">
        <v>0</v>
      </c>
      <c r="M255" s="1"/>
      <c r="N255" s="1">
        <v>0</v>
      </c>
      <c r="O255" s="1"/>
      <c r="P255" s="1">
        <v>30173.43</v>
      </c>
      <c r="Q255" s="1"/>
      <c r="R255" s="1">
        <v>5</v>
      </c>
      <c r="S255" s="1"/>
      <c r="T255" s="1">
        <v>116610.66</v>
      </c>
      <c r="U255" s="1"/>
      <c r="V255" s="1">
        <v>24709.33</v>
      </c>
      <c r="W255" s="1"/>
      <c r="X255" s="1">
        <v>19306.150000000001</v>
      </c>
      <c r="Y255" s="1"/>
      <c r="Z255" s="1">
        <v>1580</v>
      </c>
      <c r="AA255" s="1"/>
      <c r="AB255" s="1">
        <v>132166.96</v>
      </c>
      <c r="AC255" s="1"/>
      <c r="AD255" s="1">
        <v>0</v>
      </c>
      <c r="AE255" s="1"/>
      <c r="AF255" s="1">
        <v>0</v>
      </c>
      <c r="AH255" s="4">
        <f t="shared" si="9"/>
        <v>1351372.2799999998</v>
      </c>
    </row>
    <row r="256" spans="1:66" s="4" customFormat="1">
      <c r="A256" s="4">
        <v>15</v>
      </c>
      <c r="B256" s="4" t="s">
        <v>243</v>
      </c>
      <c r="D256" s="4" t="s">
        <v>43</v>
      </c>
      <c r="F256" s="1">
        <v>0</v>
      </c>
      <c r="G256" s="1"/>
      <c r="H256" s="1">
        <v>141046.94</v>
      </c>
      <c r="I256" s="1"/>
      <c r="J256" s="1">
        <v>0</v>
      </c>
      <c r="K256" s="1"/>
      <c r="L256" s="1">
        <v>0</v>
      </c>
      <c r="M256" s="1"/>
      <c r="N256" s="1">
        <v>0</v>
      </c>
      <c r="O256" s="1"/>
      <c r="P256" s="1">
        <v>8321.92</v>
      </c>
      <c r="Q256" s="1"/>
      <c r="R256" s="1">
        <v>0</v>
      </c>
      <c r="S256" s="1"/>
      <c r="T256" s="1">
        <v>690</v>
      </c>
      <c r="U256" s="1"/>
      <c r="V256" s="1">
        <v>529.29999999999995</v>
      </c>
      <c r="W256" s="1"/>
      <c r="X256" s="1">
        <v>0</v>
      </c>
      <c r="Y256" s="1"/>
      <c r="Z256" s="1">
        <v>0</v>
      </c>
      <c r="AA256" s="1"/>
      <c r="AB256" s="1">
        <v>0</v>
      </c>
      <c r="AC256" s="1"/>
      <c r="AD256" s="1">
        <v>0</v>
      </c>
      <c r="AE256" s="1"/>
      <c r="AF256" s="1">
        <v>0</v>
      </c>
      <c r="AH256" s="4">
        <f t="shared" si="9"/>
        <v>150588.16</v>
      </c>
    </row>
    <row r="257" spans="1:66" s="4" customFormat="1">
      <c r="A257" s="4">
        <v>161</v>
      </c>
      <c r="B257" s="4" t="s">
        <v>343</v>
      </c>
      <c r="D257" s="4" t="s">
        <v>50</v>
      </c>
      <c r="F257" s="1">
        <v>0</v>
      </c>
      <c r="G257" s="1"/>
      <c r="H257" s="1">
        <v>143538.47</v>
      </c>
      <c r="I257" s="1"/>
      <c r="J257" s="1">
        <v>0</v>
      </c>
      <c r="K257" s="1"/>
      <c r="L257" s="1">
        <v>481</v>
      </c>
      <c r="M257" s="1"/>
      <c r="N257" s="1">
        <v>0</v>
      </c>
      <c r="O257" s="1"/>
      <c r="P257" s="1">
        <v>1572.42</v>
      </c>
      <c r="Q257" s="1"/>
      <c r="R257" s="1">
        <v>700</v>
      </c>
      <c r="S257" s="1"/>
      <c r="T257" s="1">
        <v>3993.16</v>
      </c>
      <c r="U257" s="1"/>
      <c r="V257" s="1">
        <v>93.36</v>
      </c>
      <c r="W257" s="1"/>
      <c r="X257" s="1">
        <v>649.58000000000004</v>
      </c>
      <c r="Y257" s="1"/>
      <c r="Z257" s="1">
        <v>0</v>
      </c>
      <c r="AA257" s="1"/>
      <c r="AB257" s="1">
        <v>0</v>
      </c>
      <c r="AC257" s="1"/>
      <c r="AD257" s="1">
        <v>16400</v>
      </c>
      <c r="AE257" s="1"/>
      <c r="AF257" s="1">
        <v>0</v>
      </c>
      <c r="AH257" s="4">
        <f t="shared" si="9"/>
        <v>167427.99</v>
      </c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</row>
    <row r="258" spans="1:66" s="4" customFormat="1">
      <c r="A258" s="4">
        <v>56</v>
      </c>
      <c r="B258" s="4" t="s">
        <v>244</v>
      </c>
      <c r="D258" s="4" t="s">
        <v>19</v>
      </c>
      <c r="F258" s="4">
        <v>3129461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1150158</v>
      </c>
      <c r="M258" s="4">
        <v>0</v>
      </c>
      <c r="N258" s="4">
        <v>0</v>
      </c>
      <c r="O258" s="4">
        <v>0</v>
      </c>
      <c r="P258" s="4">
        <v>73105</v>
      </c>
      <c r="Q258" s="4">
        <v>0</v>
      </c>
      <c r="R258" s="4">
        <v>0</v>
      </c>
      <c r="S258" s="4">
        <v>0</v>
      </c>
      <c r="T258" s="4">
        <v>22447</v>
      </c>
      <c r="U258" s="4">
        <v>0</v>
      </c>
      <c r="V258" s="4">
        <v>7418</v>
      </c>
      <c r="W258" s="4">
        <v>0</v>
      </c>
      <c r="X258" s="4">
        <v>1173</v>
      </c>
      <c r="Y258" s="4">
        <v>0</v>
      </c>
      <c r="Z258" s="4">
        <v>0</v>
      </c>
      <c r="AA258" s="4">
        <v>0</v>
      </c>
      <c r="AB258" s="4">
        <v>40000</v>
      </c>
      <c r="AC258" s="4">
        <v>0</v>
      </c>
      <c r="AD258" s="4">
        <v>0</v>
      </c>
      <c r="AE258" s="4">
        <v>0</v>
      </c>
      <c r="AF258" s="4">
        <v>0</v>
      </c>
      <c r="AH258" s="4">
        <f t="shared" si="9"/>
        <v>4423762</v>
      </c>
    </row>
    <row r="259" spans="1:66" s="4" customFormat="1">
      <c r="A259" s="4">
        <v>214</v>
      </c>
      <c r="B259" s="4" t="s">
        <v>245</v>
      </c>
      <c r="D259" s="4" t="s">
        <v>25</v>
      </c>
      <c r="F259" s="4">
        <v>1286940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f>5300</f>
        <v>5300</v>
      </c>
      <c r="M259" s="4">
        <v>0</v>
      </c>
      <c r="N259" s="4">
        <v>0</v>
      </c>
      <c r="O259" s="4">
        <v>0</v>
      </c>
      <c r="P259" s="4">
        <v>32335</v>
      </c>
      <c r="Q259" s="4">
        <v>0</v>
      </c>
      <c r="R259" s="4">
        <v>0</v>
      </c>
      <c r="S259" s="4">
        <v>0</v>
      </c>
      <c r="T259" s="4">
        <v>16588</v>
      </c>
      <c r="U259" s="4">
        <v>0</v>
      </c>
      <c r="V259" s="4">
        <v>2034</v>
      </c>
      <c r="W259" s="4">
        <v>0</v>
      </c>
      <c r="X259" s="4">
        <f>8793+2318</f>
        <v>11111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H259" s="4">
        <f t="shared" si="9"/>
        <v>1354308</v>
      </c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</row>
    <row r="260" spans="1:66" s="4" customFormat="1">
      <c r="A260" s="4">
        <v>253</v>
      </c>
      <c r="B260" s="4" t="s">
        <v>246</v>
      </c>
      <c r="D260" s="4" t="s">
        <v>65</v>
      </c>
      <c r="F260" s="4">
        <v>302767</v>
      </c>
      <c r="G260" s="4">
        <v>0</v>
      </c>
      <c r="H260" s="4">
        <v>471777</v>
      </c>
      <c r="I260" s="4">
        <v>0</v>
      </c>
      <c r="J260" s="4">
        <v>0</v>
      </c>
      <c r="K260" s="4">
        <v>0</v>
      </c>
      <c r="L260" s="4">
        <v>131668</v>
      </c>
      <c r="M260" s="4">
        <v>0</v>
      </c>
      <c r="N260" s="4">
        <v>0</v>
      </c>
      <c r="O260" s="4">
        <v>0</v>
      </c>
      <c r="P260" s="4">
        <v>21895</v>
      </c>
      <c r="Q260" s="4">
        <v>0</v>
      </c>
      <c r="R260" s="4">
        <v>0</v>
      </c>
      <c r="S260" s="4">
        <v>0</v>
      </c>
      <c r="T260" s="4">
        <v>320</v>
      </c>
      <c r="U260" s="4">
        <v>0</v>
      </c>
      <c r="V260" s="4">
        <v>4610</v>
      </c>
      <c r="W260" s="4">
        <v>0</v>
      </c>
      <c r="X260" s="4">
        <v>10394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H260" s="4">
        <f t="shared" si="9"/>
        <v>943431</v>
      </c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</row>
    <row r="261" spans="1:66" s="4" customFormat="1">
      <c r="A261" s="4">
        <v>36</v>
      </c>
      <c r="B261" s="4" t="s">
        <v>247</v>
      </c>
      <c r="D261" s="4" t="s">
        <v>69</v>
      </c>
      <c r="F261" s="1">
        <v>0</v>
      </c>
      <c r="G261" s="1"/>
      <c r="H261" s="1">
        <v>189381.67</v>
      </c>
      <c r="I261" s="1"/>
      <c r="J261" s="1">
        <v>0</v>
      </c>
      <c r="K261" s="1"/>
      <c r="L261" s="1">
        <v>1.55</v>
      </c>
      <c r="M261" s="1"/>
      <c r="N261" s="1">
        <v>0</v>
      </c>
      <c r="O261" s="1"/>
      <c r="P261" s="1">
        <v>1355.43</v>
      </c>
      <c r="Q261" s="1"/>
      <c r="R261" s="1">
        <v>0</v>
      </c>
      <c r="S261" s="1"/>
      <c r="T261" s="1">
        <v>10016.65</v>
      </c>
      <c r="U261" s="1"/>
      <c r="V261" s="1">
        <v>3845.33</v>
      </c>
      <c r="W261" s="1"/>
      <c r="X261" s="1">
        <v>2564.04</v>
      </c>
      <c r="Y261" s="1"/>
      <c r="Z261" s="1">
        <v>328.31</v>
      </c>
      <c r="AA261" s="1"/>
      <c r="AB261" s="1">
        <v>0</v>
      </c>
      <c r="AC261" s="1"/>
      <c r="AD261" s="1">
        <v>0</v>
      </c>
      <c r="AE261" s="1"/>
      <c r="AF261" s="1">
        <v>0</v>
      </c>
      <c r="AH261" s="4">
        <f t="shared" si="9"/>
        <v>207492.97999999998</v>
      </c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</row>
    <row r="262" spans="1:66" s="4" customFormat="1">
      <c r="A262" s="4">
        <v>30</v>
      </c>
      <c r="B262" s="4" t="s">
        <v>347</v>
      </c>
      <c r="D262" s="4" t="s">
        <v>62</v>
      </c>
      <c r="F262" s="1">
        <v>96517.71</v>
      </c>
      <c r="G262" s="1"/>
      <c r="H262" s="1">
        <v>236938.39</v>
      </c>
      <c r="I262" s="1"/>
      <c r="J262" s="1">
        <v>0</v>
      </c>
      <c r="K262" s="1"/>
      <c r="L262" s="1">
        <v>16498.61</v>
      </c>
      <c r="M262" s="1"/>
      <c r="N262" s="1">
        <v>0</v>
      </c>
      <c r="O262" s="1"/>
      <c r="P262" s="1">
        <v>8377.6299999999992</v>
      </c>
      <c r="Q262" s="1"/>
      <c r="R262" s="1">
        <v>0</v>
      </c>
      <c r="S262" s="1"/>
      <c r="T262" s="1">
        <v>10415.92</v>
      </c>
      <c r="U262" s="1"/>
      <c r="V262" s="1">
        <v>4810.1899999999996</v>
      </c>
      <c r="W262" s="1"/>
      <c r="X262" s="1">
        <v>5859.6</v>
      </c>
      <c r="Y262" s="1"/>
      <c r="Z262" s="1">
        <v>0</v>
      </c>
      <c r="AA262" s="1"/>
      <c r="AB262" s="1">
        <v>10000</v>
      </c>
      <c r="AC262" s="1"/>
      <c r="AD262" s="1">
        <v>0</v>
      </c>
      <c r="AE262" s="1"/>
      <c r="AF262" s="1">
        <v>0</v>
      </c>
      <c r="AH262" s="4">
        <f t="shared" si="9"/>
        <v>389418.05</v>
      </c>
    </row>
    <row r="263" spans="1:66" s="4" customFormat="1">
      <c r="A263" s="4">
        <v>43</v>
      </c>
      <c r="B263" s="4" t="s">
        <v>248</v>
      </c>
      <c r="D263" s="4" t="s">
        <v>51</v>
      </c>
      <c r="F263" s="4">
        <v>691432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32264</v>
      </c>
      <c r="Q263" s="4">
        <v>0</v>
      </c>
      <c r="R263" s="4">
        <v>0</v>
      </c>
      <c r="S263" s="4">
        <v>0</v>
      </c>
      <c r="T263" s="4">
        <v>14719</v>
      </c>
      <c r="U263" s="4">
        <v>0</v>
      </c>
      <c r="V263" s="4">
        <v>3477</v>
      </c>
      <c r="W263" s="4">
        <v>0</v>
      </c>
      <c r="X263" s="4">
        <v>406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H263" s="4">
        <f t="shared" si="9"/>
        <v>742298</v>
      </c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</row>
    <row r="264" spans="1:66" s="4" customFormat="1">
      <c r="A264" s="4">
        <v>244</v>
      </c>
      <c r="B264" s="4" t="s">
        <v>249</v>
      </c>
      <c r="D264" s="4" t="s">
        <v>54</v>
      </c>
      <c r="F264" s="4">
        <v>416672</v>
      </c>
      <c r="G264" s="4">
        <v>0</v>
      </c>
      <c r="H264" s="4">
        <v>525445</v>
      </c>
      <c r="I264" s="4">
        <v>0</v>
      </c>
      <c r="J264" s="4">
        <v>0</v>
      </c>
      <c r="K264" s="4">
        <v>0</v>
      </c>
      <c r="L264" s="4">
        <v>61573</v>
      </c>
      <c r="M264" s="4">
        <v>0</v>
      </c>
      <c r="N264" s="4">
        <v>0</v>
      </c>
      <c r="O264" s="4">
        <v>0</v>
      </c>
      <c r="P264" s="4">
        <v>7427</v>
      </c>
      <c r="Q264" s="4">
        <v>0</v>
      </c>
      <c r="R264" s="4">
        <v>0</v>
      </c>
      <c r="S264" s="4">
        <v>0</v>
      </c>
      <c r="T264" s="4">
        <v>1870</v>
      </c>
      <c r="U264" s="4">
        <v>0</v>
      </c>
      <c r="V264" s="4">
        <f>2117+1379</f>
        <v>3496</v>
      </c>
      <c r="W264" s="4">
        <v>0</v>
      </c>
      <c r="X264" s="4">
        <v>40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H264" s="4">
        <f t="shared" si="9"/>
        <v>1016523</v>
      </c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</row>
    <row r="265" spans="1:66" s="4" customFormat="1">
      <c r="A265" s="4">
        <v>69</v>
      </c>
      <c r="B265" s="4" t="s">
        <v>315</v>
      </c>
      <c r="D265" s="4" t="s">
        <v>167</v>
      </c>
      <c r="F265" s="4">
        <v>1430429</v>
      </c>
      <c r="G265" s="4">
        <v>0</v>
      </c>
      <c r="H265" s="4">
        <v>1398495</v>
      </c>
      <c r="I265" s="4">
        <v>0</v>
      </c>
      <c r="J265" s="4">
        <v>0</v>
      </c>
      <c r="K265" s="4">
        <v>0</v>
      </c>
      <c r="L265" s="4">
        <v>125643</v>
      </c>
      <c r="M265" s="4">
        <v>0</v>
      </c>
      <c r="N265" s="4">
        <v>0</v>
      </c>
      <c r="O265" s="4">
        <v>0</v>
      </c>
      <c r="P265" s="4">
        <v>63819</v>
      </c>
      <c r="R265" s="4">
        <v>1000</v>
      </c>
      <c r="S265" s="4">
        <v>0</v>
      </c>
      <c r="T265" s="4">
        <v>64564</v>
      </c>
      <c r="U265" s="4">
        <v>0</v>
      </c>
      <c r="V265" s="4">
        <v>109260</v>
      </c>
      <c r="W265" s="4">
        <v>0</v>
      </c>
      <c r="X265" s="4">
        <v>28558</v>
      </c>
      <c r="Y265" s="4">
        <v>0</v>
      </c>
      <c r="Z265" s="4">
        <v>0</v>
      </c>
      <c r="AA265" s="4">
        <v>0</v>
      </c>
      <c r="AB265" s="4">
        <v>184416</v>
      </c>
      <c r="AC265" s="4">
        <v>0</v>
      </c>
      <c r="AD265" s="4">
        <v>0</v>
      </c>
      <c r="AE265" s="4">
        <v>0</v>
      </c>
      <c r="AF265" s="4">
        <v>0</v>
      </c>
      <c r="AH265" s="4">
        <f t="shared" si="9"/>
        <v>3406184</v>
      </c>
    </row>
    <row r="266" spans="1:66" s="4" customFormat="1">
      <c r="A266" s="4">
        <v>177</v>
      </c>
      <c r="B266" s="4" t="s">
        <v>250</v>
      </c>
      <c r="D266" s="4" t="s">
        <v>68</v>
      </c>
      <c r="F266" s="1">
        <v>0</v>
      </c>
      <c r="G266" s="1"/>
      <c r="H266" s="1">
        <v>204473.07</v>
      </c>
      <c r="I266" s="1"/>
      <c r="J266" s="1">
        <v>0</v>
      </c>
      <c r="K266" s="1"/>
      <c r="L266" s="1">
        <v>0</v>
      </c>
      <c r="M266" s="1"/>
      <c r="N266" s="1">
        <v>0</v>
      </c>
      <c r="O266" s="1"/>
      <c r="P266" s="1">
        <v>10320.379999999999</v>
      </c>
      <c r="Q266" s="1"/>
      <c r="R266" s="1">
        <v>0</v>
      </c>
      <c r="S266" s="1"/>
      <c r="T266" s="1">
        <v>115508.26</v>
      </c>
      <c r="U266" s="1"/>
      <c r="V266" s="1">
        <v>2685.46</v>
      </c>
      <c r="W266" s="1"/>
      <c r="X266" s="1">
        <v>0</v>
      </c>
      <c r="Y266" s="1"/>
      <c r="Z266" s="1">
        <v>0</v>
      </c>
      <c r="AA266" s="1"/>
      <c r="AB266" s="1">
        <v>0</v>
      </c>
      <c r="AC266" s="1"/>
      <c r="AD266" s="1">
        <v>0</v>
      </c>
      <c r="AE266" s="1"/>
      <c r="AF266" s="1">
        <v>0</v>
      </c>
      <c r="AH266" s="4">
        <f t="shared" si="9"/>
        <v>332987.17000000004</v>
      </c>
    </row>
    <row r="267" spans="1:66" s="4" customFormat="1">
      <c r="A267" s="4">
        <v>206</v>
      </c>
      <c r="B267" s="4" t="s">
        <v>251</v>
      </c>
      <c r="D267" s="4" t="s">
        <v>45</v>
      </c>
      <c r="F267" s="1">
        <v>0</v>
      </c>
      <c r="G267" s="1"/>
      <c r="H267" s="1">
        <v>129984.11</v>
      </c>
      <c r="I267" s="1"/>
      <c r="J267" s="1">
        <v>0</v>
      </c>
      <c r="K267" s="1"/>
      <c r="L267" s="1">
        <v>0</v>
      </c>
      <c r="M267" s="1"/>
      <c r="N267" s="1">
        <v>0</v>
      </c>
      <c r="O267" s="1"/>
      <c r="P267" s="1">
        <v>922.13</v>
      </c>
      <c r="Q267" s="1"/>
      <c r="R267" s="1">
        <v>0</v>
      </c>
      <c r="S267" s="1"/>
      <c r="T267" s="1">
        <v>19985.939999999999</v>
      </c>
      <c r="U267" s="1"/>
      <c r="V267" s="1">
        <v>195.69</v>
      </c>
      <c r="W267" s="1"/>
      <c r="X267" s="1">
        <v>1446.86</v>
      </c>
      <c r="Y267" s="1"/>
      <c r="Z267" s="1">
        <v>0</v>
      </c>
      <c r="AA267" s="1"/>
      <c r="AB267" s="1">
        <v>6349.23</v>
      </c>
      <c r="AC267" s="1"/>
      <c r="AD267" s="1">
        <v>0</v>
      </c>
      <c r="AE267" s="1"/>
      <c r="AF267" s="1">
        <v>0</v>
      </c>
      <c r="AH267" s="4">
        <f t="shared" si="9"/>
        <v>158883.96</v>
      </c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</row>
    <row r="268" spans="1:66" s="4" customFormat="1">
      <c r="A268" s="4">
        <v>57</v>
      </c>
      <c r="B268" s="4" t="s">
        <v>252</v>
      </c>
      <c r="D268" s="4" t="s">
        <v>19</v>
      </c>
      <c r="F268" s="4">
        <v>3013374</v>
      </c>
      <c r="G268" s="4">
        <v>0</v>
      </c>
      <c r="H268" s="4">
        <v>1405270</v>
      </c>
      <c r="I268" s="4">
        <v>0</v>
      </c>
      <c r="J268" s="4">
        <v>0</v>
      </c>
      <c r="K268" s="4">
        <v>0</v>
      </c>
      <c r="L268" s="4">
        <v>470900</v>
      </c>
      <c r="M268" s="4">
        <v>0</v>
      </c>
      <c r="N268" s="4">
        <v>0</v>
      </c>
      <c r="O268" s="4">
        <v>0</v>
      </c>
      <c r="P268" s="4">
        <v>134828</v>
      </c>
      <c r="Q268" s="4">
        <v>0</v>
      </c>
      <c r="R268" s="4">
        <v>0</v>
      </c>
      <c r="S268" s="4">
        <v>0</v>
      </c>
      <c r="T268" s="4">
        <v>8670</v>
      </c>
      <c r="U268" s="4">
        <v>0</v>
      </c>
      <c r="V268" s="4">
        <v>7751</v>
      </c>
      <c r="W268" s="4">
        <v>0</v>
      </c>
      <c r="X268" s="4">
        <v>184981</v>
      </c>
      <c r="Y268" s="4">
        <v>0</v>
      </c>
      <c r="Z268" s="4">
        <v>0</v>
      </c>
      <c r="AA268" s="4">
        <v>0</v>
      </c>
      <c r="AB268" s="4">
        <v>162324</v>
      </c>
      <c r="AC268" s="4">
        <v>0</v>
      </c>
      <c r="AD268" s="4">
        <v>30000</v>
      </c>
      <c r="AE268" s="4">
        <v>0</v>
      </c>
      <c r="AF268" s="4">
        <v>0</v>
      </c>
      <c r="AH268" s="4">
        <f t="shared" si="9"/>
        <v>5418098</v>
      </c>
    </row>
    <row r="269" spans="1:66" s="4" customFormat="1">
      <c r="A269" s="4">
        <v>118</v>
      </c>
      <c r="B269" s="4" t="s">
        <v>447</v>
      </c>
      <c r="D269" s="4" t="s">
        <v>170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205811</v>
      </c>
      <c r="M269" s="4">
        <v>0</v>
      </c>
      <c r="N269" s="4">
        <v>0</v>
      </c>
      <c r="O269" s="4">
        <v>0</v>
      </c>
      <c r="P269" s="4">
        <v>5614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1059</v>
      </c>
      <c r="W269" s="4">
        <v>0</v>
      </c>
      <c r="X269" s="4">
        <v>2647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H269" s="4">
        <f t="shared" si="9"/>
        <v>215131</v>
      </c>
    </row>
    <row r="270" spans="1:66" s="4" customFormat="1">
      <c r="A270" s="4">
        <v>79</v>
      </c>
      <c r="B270" s="4" t="s">
        <v>254</v>
      </c>
      <c r="D270" s="4" t="s">
        <v>92</v>
      </c>
      <c r="F270" s="4">
        <v>0</v>
      </c>
      <c r="G270" s="4">
        <v>0</v>
      </c>
      <c r="H270" s="4">
        <v>3134019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152772</v>
      </c>
      <c r="Q270" s="4">
        <v>0</v>
      </c>
      <c r="R270" s="4">
        <v>0</v>
      </c>
      <c r="S270" s="4">
        <v>0</v>
      </c>
      <c r="T270" s="4">
        <v>46725</v>
      </c>
      <c r="U270" s="4">
        <v>0</v>
      </c>
      <c r="V270" s="4">
        <v>1065</v>
      </c>
      <c r="W270" s="4">
        <v>0</v>
      </c>
      <c r="X270" s="4">
        <v>125518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H270" s="4">
        <f t="shared" si="9"/>
        <v>3460099</v>
      </c>
    </row>
    <row r="271" spans="1:66" s="4" customFormat="1">
      <c r="A271" s="4">
        <v>22</v>
      </c>
      <c r="B271" s="4" t="s">
        <v>316</v>
      </c>
      <c r="D271" s="4" t="s">
        <v>13</v>
      </c>
      <c r="F271" s="1">
        <v>0</v>
      </c>
      <c r="G271" s="1"/>
      <c r="H271" s="1">
        <v>390260.24</v>
      </c>
      <c r="I271" s="1"/>
      <c r="J271" s="1">
        <v>0</v>
      </c>
      <c r="K271" s="1"/>
      <c r="L271" s="1">
        <v>0</v>
      </c>
      <c r="M271" s="1"/>
      <c r="N271" s="1">
        <v>0</v>
      </c>
      <c r="O271" s="1"/>
      <c r="P271" s="1">
        <v>11677.92</v>
      </c>
      <c r="Q271" s="1"/>
      <c r="R271" s="1">
        <v>0</v>
      </c>
      <c r="S271" s="1"/>
      <c r="T271" s="1">
        <v>32481.42</v>
      </c>
      <c r="U271" s="1"/>
      <c r="V271" s="1">
        <v>510.97</v>
      </c>
      <c r="W271" s="1"/>
      <c r="X271" s="1">
        <v>4204.2299999999996</v>
      </c>
      <c r="Y271" s="1"/>
      <c r="Z271" s="1">
        <v>0</v>
      </c>
      <c r="AA271" s="1"/>
      <c r="AB271" s="1">
        <v>0</v>
      </c>
      <c r="AC271" s="1"/>
      <c r="AD271" s="1">
        <v>0</v>
      </c>
      <c r="AE271" s="1"/>
      <c r="AF271" s="1">
        <v>0</v>
      </c>
      <c r="AH271" s="4">
        <f t="shared" si="9"/>
        <v>439134.77999999991</v>
      </c>
    </row>
    <row r="272" spans="1:66" s="4" customFormat="1">
      <c r="A272" s="4">
        <v>18</v>
      </c>
      <c r="B272" s="4" t="s">
        <v>344</v>
      </c>
      <c r="D272" s="4" t="s">
        <v>44</v>
      </c>
      <c r="F272" s="1">
        <v>0</v>
      </c>
      <c r="G272" s="1"/>
      <c r="H272" s="1">
        <v>404421.87</v>
      </c>
      <c r="I272" s="1"/>
      <c r="J272" s="1">
        <v>0</v>
      </c>
      <c r="K272" s="1"/>
      <c r="L272" s="1">
        <v>0</v>
      </c>
      <c r="M272" s="1"/>
      <c r="N272" s="1">
        <v>0</v>
      </c>
      <c r="O272" s="1"/>
      <c r="P272" s="1">
        <v>9741.84</v>
      </c>
      <c r="Q272" s="1"/>
      <c r="R272" s="1">
        <v>0</v>
      </c>
      <c r="S272" s="1"/>
      <c r="T272" s="1">
        <v>17929.79</v>
      </c>
      <c r="U272" s="1"/>
      <c r="V272" s="1">
        <v>23.08</v>
      </c>
      <c r="W272" s="1"/>
      <c r="X272" s="1">
        <v>1505.61</v>
      </c>
      <c r="Y272" s="1"/>
      <c r="Z272" s="1">
        <v>0</v>
      </c>
      <c r="AA272" s="1"/>
      <c r="AB272" s="1">
        <v>0</v>
      </c>
      <c r="AC272" s="1"/>
      <c r="AD272" s="1">
        <v>80400</v>
      </c>
      <c r="AE272" s="1"/>
      <c r="AF272" s="1">
        <v>0</v>
      </c>
      <c r="AH272" s="4">
        <f t="shared" si="9"/>
        <v>514022.19</v>
      </c>
    </row>
    <row r="273" spans="1:66" s="4" customFormat="1">
      <c r="A273" s="4">
        <v>215</v>
      </c>
      <c r="B273" s="4" t="s">
        <v>592</v>
      </c>
      <c r="D273" s="4" t="s">
        <v>25</v>
      </c>
      <c r="F273" s="4">
        <v>4132313</v>
      </c>
      <c r="G273" s="4">
        <v>0</v>
      </c>
      <c r="H273" s="4">
        <v>6344334</v>
      </c>
      <c r="I273" s="4">
        <v>0</v>
      </c>
      <c r="J273" s="4">
        <v>0</v>
      </c>
      <c r="K273" s="4">
        <v>0</v>
      </c>
      <c r="L273" s="4">
        <v>1192909</v>
      </c>
      <c r="M273" s="4">
        <v>0</v>
      </c>
      <c r="N273" s="4">
        <v>0</v>
      </c>
      <c r="O273" s="4">
        <v>0</v>
      </c>
      <c r="P273" s="4">
        <v>237609</v>
      </c>
      <c r="Q273" s="4">
        <v>0</v>
      </c>
      <c r="R273" s="4">
        <v>51575</v>
      </c>
      <c r="S273" s="4">
        <v>0</v>
      </c>
      <c r="T273" s="4">
        <v>99022</v>
      </c>
      <c r="U273" s="4">
        <v>0</v>
      </c>
      <c r="V273" s="4">
        <v>6241</v>
      </c>
      <c r="W273" s="4">
        <v>0</v>
      </c>
      <c r="X273" s="4">
        <v>92364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H273" s="4">
        <f t="shared" si="9"/>
        <v>12156367</v>
      </c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</row>
    <row r="274" spans="1:66" s="4" customFormat="1">
      <c r="A274" s="4">
        <v>120</v>
      </c>
      <c r="B274" s="4" t="s">
        <v>256</v>
      </c>
      <c r="D274" s="4" t="s">
        <v>257</v>
      </c>
      <c r="F274" s="1">
        <v>0</v>
      </c>
      <c r="G274" s="1"/>
      <c r="H274" s="1">
        <v>2247016.96</v>
      </c>
      <c r="I274" s="1"/>
      <c r="J274" s="1">
        <v>0</v>
      </c>
      <c r="K274" s="1"/>
      <c r="L274" s="1">
        <v>0</v>
      </c>
      <c r="M274" s="1"/>
      <c r="N274" s="1">
        <v>0</v>
      </c>
      <c r="O274" s="1"/>
      <c r="P274" s="1">
        <v>88109.79</v>
      </c>
      <c r="Q274" s="1"/>
      <c r="R274" s="1">
        <v>3000</v>
      </c>
      <c r="S274" s="1"/>
      <c r="T274" s="1">
        <v>13643.04</v>
      </c>
      <c r="U274" s="1"/>
      <c r="V274" s="1">
        <v>3866.7</v>
      </c>
      <c r="W274" s="1"/>
      <c r="X274" s="1">
        <v>45497.38</v>
      </c>
      <c r="Y274" s="1"/>
      <c r="Z274" s="1">
        <v>0</v>
      </c>
      <c r="AA274" s="1"/>
      <c r="AB274" s="1">
        <v>200000</v>
      </c>
      <c r="AC274" s="1"/>
      <c r="AD274" s="1">
        <v>0</v>
      </c>
      <c r="AE274" s="1"/>
      <c r="AF274" s="1">
        <v>0</v>
      </c>
      <c r="AH274" s="4">
        <f t="shared" si="9"/>
        <v>2601133.87</v>
      </c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</row>
    <row r="275" spans="1:66" s="4" customFormat="1">
      <c r="A275" s="4">
        <v>220</v>
      </c>
      <c r="B275" s="4" t="s">
        <v>258</v>
      </c>
      <c r="D275" s="4" t="s">
        <v>22</v>
      </c>
      <c r="F275" s="4">
        <v>792802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1086935</v>
      </c>
      <c r="M275" s="4">
        <v>0</v>
      </c>
      <c r="N275" s="4">
        <v>0</v>
      </c>
      <c r="O275" s="4">
        <v>0</v>
      </c>
      <c r="P275" s="4">
        <v>80173</v>
      </c>
      <c r="Q275" s="4">
        <v>0</v>
      </c>
      <c r="R275" s="4">
        <v>0</v>
      </c>
      <c r="S275" s="4">
        <v>0</v>
      </c>
      <c r="T275" s="4">
        <v>9089</v>
      </c>
      <c r="U275" s="4">
        <v>0</v>
      </c>
      <c r="V275" s="4">
        <v>620</v>
      </c>
      <c r="W275" s="4">
        <v>0</v>
      </c>
      <c r="X275" s="4">
        <v>10066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H275" s="4">
        <f t="shared" si="9"/>
        <v>1979685</v>
      </c>
    </row>
    <row r="276" spans="1:66" s="4" customFormat="1">
      <c r="A276" s="4">
        <v>86</v>
      </c>
      <c r="B276" s="4" t="s">
        <v>259</v>
      </c>
      <c r="D276" s="4" t="s">
        <v>42</v>
      </c>
      <c r="F276" s="1">
        <v>123574.6</v>
      </c>
      <c r="G276" s="1"/>
      <c r="H276" s="1">
        <v>226342.69</v>
      </c>
      <c r="I276" s="1"/>
      <c r="J276" s="1">
        <v>0</v>
      </c>
      <c r="K276" s="1"/>
      <c r="L276" s="1">
        <v>590.17999999999995</v>
      </c>
      <c r="M276" s="1"/>
      <c r="N276" s="1">
        <v>0</v>
      </c>
      <c r="O276" s="1"/>
      <c r="P276" s="1">
        <v>13938.6</v>
      </c>
      <c r="Q276" s="1"/>
      <c r="R276" s="1">
        <v>0</v>
      </c>
      <c r="S276" s="1"/>
      <c r="T276" s="1">
        <v>6648.95</v>
      </c>
      <c r="U276" s="1"/>
      <c r="V276" s="1">
        <v>1715.98</v>
      </c>
      <c r="W276" s="1"/>
      <c r="X276" s="1">
        <v>2897.56</v>
      </c>
      <c r="Y276" s="1"/>
      <c r="Z276" s="1">
        <v>0</v>
      </c>
      <c r="AA276" s="1"/>
      <c r="AB276" s="1">
        <v>0</v>
      </c>
      <c r="AC276" s="1"/>
      <c r="AD276" s="1">
        <v>0</v>
      </c>
      <c r="AE276" s="1"/>
      <c r="AF276" s="1">
        <v>0</v>
      </c>
      <c r="AH276" s="4">
        <f t="shared" si="9"/>
        <v>375708.56</v>
      </c>
    </row>
    <row r="277" spans="1:66" s="4" customFormat="1">
      <c r="A277" s="4">
        <v>119</v>
      </c>
      <c r="B277" s="4" t="s">
        <v>260</v>
      </c>
      <c r="D277" s="4" t="s">
        <v>170</v>
      </c>
      <c r="F277" s="1">
        <v>0</v>
      </c>
      <c r="G277" s="1"/>
      <c r="H277" s="1">
        <v>336118.03</v>
      </c>
      <c r="I277" s="1"/>
      <c r="J277" s="1">
        <v>0</v>
      </c>
      <c r="K277" s="1"/>
      <c r="L277" s="1">
        <v>0</v>
      </c>
      <c r="M277" s="1"/>
      <c r="N277" s="1">
        <v>0</v>
      </c>
      <c r="O277" s="1"/>
      <c r="P277" s="1">
        <v>13045.4</v>
      </c>
      <c r="Q277" s="1"/>
      <c r="R277" s="1">
        <v>0</v>
      </c>
      <c r="S277" s="1"/>
      <c r="T277" s="1">
        <v>6853</v>
      </c>
      <c r="U277" s="1"/>
      <c r="V277" s="1">
        <v>32153.119999999999</v>
      </c>
      <c r="W277" s="1"/>
      <c r="X277" s="1">
        <v>800.41</v>
      </c>
      <c r="Y277" s="1"/>
      <c r="Z277" s="1">
        <v>0</v>
      </c>
      <c r="AA277" s="1"/>
      <c r="AB277" s="1">
        <v>0</v>
      </c>
      <c r="AC277" s="1"/>
      <c r="AD277" s="1">
        <v>0</v>
      </c>
      <c r="AE277" s="1"/>
      <c r="AF277" s="1">
        <v>0</v>
      </c>
      <c r="AH277" s="4">
        <f t="shared" si="9"/>
        <v>388969.96</v>
      </c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</row>
    <row r="278" spans="1:66" s="4" customFormat="1" hidden="1">
      <c r="A278" s="4">
        <v>221</v>
      </c>
      <c r="B278" s="4" t="s">
        <v>261</v>
      </c>
      <c r="D278" s="4" t="s">
        <v>22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H278" s="4">
        <f t="shared" si="9"/>
        <v>0</v>
      </c>
    </row>
    <row r="279" spans="1:66" s="4" customFormat="1" hidden="1">
      <c r="A279" s="39">
        <v>92.1</v>
      </c>
      <c r="B279" s="4" t="s">
        <v>579</v>
      </c>
      <c r="C279" s="3"/>
      <c r="D279" s="3" t="s">
        <v>580</v>
      </c>
      <c r="E279" s="3"/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H279" s="4">
        <f t="shared" si="9"/>
        <v>0</v>
      </c>
    </row>
    <row r="280" spans="1:66" s="4" customFormat="1" hidden="1">
      <c r="A280" s="4">
        <v>71</v>
      </c>
      <c r="B280" s="4" t="s">
        <v>576</v>
      </c>
      <c r="D280" s="4" t="s">
        <v>67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H280" s="4">
        <f t="shared" si="9"/>
        <v>0</v>
      </c>
    </row>
    <row r="281" spans="1:66" s="7" customFormat="1">
      <c r="A281" s="4">
        <v>207</v>
      </c>
      <c r="B281" s="4" t="s">
        <v>262</v>
      </c>
      <c r="C281" s="4"/>
      <c r="D281" s="4" t="s">
        <v>45</v>
      </c>
      <c r="E281" s="4"/>
      <c r="F281" s="1">
        <v>0</v>
      </c>
      <c r="G281" s="1"/>
      <c r="H281" s="1">
        <v>881832.09</v>
      </c>
      <c r="I281" s="1"/>
      <c r="J281" s="1">
        <v>0</v>
      </c>
      <c r="K281" s="1"/>
      <c r="L281" s="1">
        <v>0</v>
      </c>
      <c r="M281" s="1"/>
      <c r="N281" s="1">
        <v>0</v>
      </c>
      <c r="O281" s="1"/>
      <c r="P281" s="1">
        <v>39277.9</v>
      </c>
      <c r="Q281" s="1"/>
      <c r="R281" s="1">
        <v>0</v>
      </c>
      <c r="S281" s="1"/>
      <c r="T281" s="1">
        <v>57432.1</v>
      </c>
      <c r="U281" s="1"/>
      <c r="V281" s="1">
        <v>8671.7099999999991</v>
      </c>
      <c r="W281" s="1"/>
      <c r="X281" s="1">
        <v>3647.45</v>
      </c>
      <c r="Y281" s="1"/>
      <c r="Z281" s="1">
        <v>0</v>
      </c>
      <c r="AA281" s="1"/>
      <c r="AB281" s="1">
        <v>169236.16</v>
      </c>
      <c r="AC281" s="1"/>
      <c r="AD281" s="1">
        <v>0</v>
      </c>
      <c r="AE281" s="1"/>
      <c r="AF281" s="1">
        <v>0</v>
      </c>
      <c r="AG281" s="4"/>
      <c r="AH281" s="4">
        <f t="shared" si="9"/>
        <v>1160097.4099999999</v>
      </c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</row>
    <row r="282" spans="1:66" s="4" customFormat="1">
      <c r="A282" s="4">
        <v>166</v>
      </c>
      <c r="B282" s="4" t="s">
        <v>448</v>
      </c>
      <c r="D282" s="4" t="s">
        <v>53</v>
      </c>
      <c r="F282" s="4">
        <v>284716</v>
      </c>
      <c r="G282" s="4">
        <v>0</v>
      </c>
      <c r="H282" s="4">
        <v>0</v>
      </c>
      <c r="I282" s="4">
        <v>0</v>
      </c>
      <c r="J282" s="4">
        <v>440784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13387</v>
      </c>
      <c r="Q282" s="4">
        <v>0</v>
      </c>
      <c r="R282" s="4">
        <v>0</v>
      </c>
      <c r="S282" s="4">
        <v>0</v>
      </c>
      <c r="T282" s="4">
        <v>31656</v>
      </c>
      <c r="U282" s="4">
        <v>0</v>
      </c>
      <c r="V282" s="4">
        <v>3511</v>
      </c>
      <c r="W282" s="4">
        <v>0</v>
      </c>
      <c r="X282" s="4">
        <v>11238</v>
      </c>
      <c r="Y282" s="4">
        <v>0</v>
      </c>
      <c r="Z282" s="4">
        <v>0</v>
      </c>
      <c r="AA282" s="4">
        <v>0</v>
      </c>
      <c r="AB282" s="4">
        <v>9</v>
      </c>
      <c r="AC282" s="4">
        <v>0</v>
      </c>
      <c r="AD282" s="4">
        <v>0</v>
      </c>
      <c r="AE282" s="4">
        <v>0</v>
      </c>
      <c r="AF282" s="4">
        <v>0</v>
      </c>
      <c r="AH282" s="4">
        <f t="shared" si="9"/>
        <v>785301</v>
      </c>
    </row>
    <row r="283" spans="1:66" s="4" customFormat="1">
      <c r="A283" s="4">
        <v>147</v>
      </c>
      <c r="B283" s="4" t="s">
        <v>608</v>
      </c>
      <c r="D283" s="4" t="s">
        <v>264</v>
      </c>
      <c r="F283" s="4">
        <v>13683108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17773472</v>
      </c>
      <c r="M283" s="4">
        <v>0</v>
      </c>
      <c r="N283" s="4">
        <v>0</v>
      </c>
      <c r="O283" s="4">
        <v>0</v>
      </c>
      <c r="P283" s="4">
        <v>855280</v>
      </c>
      <c r="Q283" s="4">
        <v>0</v>
      </c>
      <c r="R283" s="4">
        <v>76469</v>
      </c>
      <c r="S283" s="4">
        <v>0</v>
      </c>
      <c r="T283" s="4">
        <v>175213</v>
      </c>
      <c r="U283" s="4">
        <v>0</v>
      </c>
      <c r="V283" s="4">
        <v>37153</v>
      </c>
      <c r="W283" s="4">
        <v>0</v>
      </c>
      <c r="X283" s="4">
        <v>169022</v>
      </c>
      <c r="Y283" s="4">
        <v>0</v>
      </c>
      <c r="Z283" s="4">
        <v>0</v>
      </c>
      <c r="AA283" s="4">
        <v>0</v>
      </c>
      <c r="AB283" s="4">
        <v>1717488</v>
      </c>
      <c r="AC283" s="4">
        <v>0</v>
      </c>
      <c r="AD283" s="4">
        <v>0</v>
      </c>
      <c r="AE283" s="4">
        <v>0</v>
      </c>
      <c r="AF283" s="4">
        <v>0</v>
      </c>
      <c r="AH283" s="4">
        <f t="shared" si="9"/>
        <v>34487205</v>
      </c>
    </row>
    <row r="284" spans="1:66" s="4" customFormat="1">
      <c r="A284" s="4">
        <v>167</v>
      </c>
      <c r="B284" s="4" t="s">
        <v>609</v>
      </c>
      <c r="D284" s="4" t="s">
        <v>53</v>
      </c>
      <c r="F284" s="4">
        <v>623462</v>
      </c>
      <c r="G284" s="4">
        <v>0</v>
      </c>
      <c r="H284" s="4">
        <v>1171483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48456</v>
      </c>
      <c r="Q284" s="4">
        <v>0</v>
      </c>
      <c r="R284" s="4">
        <v>0</v>
      </c>
      <c r="S284" s="4">
        <v>0</v>
      </c>
      <c r="T284" s="4">
        <v>55431</v>
      </c>
      <c r="U284" s="4">
        <v>0</v>
      </c>
      <c r="V284" s="4">
        <v>16722</v>
      </c>
      <c r="W284" s="4">
        <v>0</v>
      </c>
      <c r="X284" s="4">
        <v>11359</v>
      </c>
      <c r="Y284" s="4">
        <v>0</v>
      </c>
      <c r="Z284" s="4">
        <v>0</v>
      </c>
      <c r="AA284" s="4">
        <v>0</v>
      </c>
      <c r="AB284" s="4">
        <v>50000</v>
      </c>
      <c r="AC284" s="4">
        <v>0</v>
      </c>
      <c r="AD284" s="4">
        <v>0</v>
      </c>
      <c r="AE284" s="4">
        <v>0</v>
      </c>
      <c r="AF284" s="4">
        <v>0</v>
      </c>
      <c r="AH284" s="4">
        <f t="shared" si="9"/>
        <v>1976913</v>
      </c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</row>
    <row r="285" spans="1:66" s="4" customFormat="1">
      <c r="A285" s="4">
        <v>236</v>
      </c>
      <c r="B285" s="4" t="s">
        <v>610</v>
      </c>
      <c r="D285" s="4" t="s">
        <v>26</v>
      </c>
      <c r="F285" s="4">
        <v>593164</v>
      </c>
      <c r="G285" s="4">
        <v>0</v>
      </c>
      <c r="H285" s="4">
        <v>0</v>
      </c>
      <c r="I285" s="4">
        <v>0</v>
      </c>
      <c r="J285" s="4">
        <v>1287391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54364</v>
      </c>
      <c r="Q285" s="4">
        <v>0</v>
      </c>
      <c r="R285" s="4">
        <v>0</v>
      </c>
      <c r="S285" s="4">
        <v>0</v>
      </c>
      <c r="T285" s="4">
        <v>1</v>
      </c>
      <c r="U285" s="4">
        <v>0</v>
      </c>
      <c r="V285" s="4">
        <v>2959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H285" s="4">
        <f t="shared" ref="AH285:AH310" si="10">SUM(F285:AF285)</f>
        <v>1937879</v>
      </c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</row>
    <row r="286" spans="1:66" s="4" customFormat="1">
      <c r="A286" s="4">
        <v>222</v>
      </c>
      <c r="B286" s="4" t="s">
        <v>319</v>
      </c>
      <c r="D286" s="4" t="s">
        <v>22</v>
      </c>
      <c r="F286" s="4">
        <v>1388640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1363653</v>
      </c>
      <c r="M286" s="4">
        <v>0</v>
      </c>
      <c r="N286" s="4">
        <v>0</v>
      </c>
      <c r="O286" s="4">
        <v>0</v>
      </c>
      <c r="P286" s="4">
        <v>68476</v>
      </c>
      <c r="Q286" s="4">
        <v>0</v>
      </c>
      <c r="R286" s="4">
        <v>0</v>
      </c>
      <c r="S286" s="4">
        <v>0</v>
      </c>
      <c r="T286" s="4">
        <v>20223</v>
      </c>
      <c r="U286" s="4">
        <v>0</v>
      </c>
      <c r="V286" s="4">
        <v>2422</v>
      </c>
      <c r="W286" s="4">
        <v>0</v>
      </c>
      <c r="X286" s="4">
        <v>17198</v>
      </c>
      <c r="Y286" s="4">
        <v>0</v>
      </c>
      <c r="Z286" s="4">
        <v>0</v>
      </c>
      <c r="AA286" s="4">
        <v>0</v>
      </c>
      <c r="AB286" s="4">
        <v>452375</v>
      </c>
      <c r="AC286" s="4">
        <v>0</v>
      </c>
      <c r="AD286" s="4">
        <v>0</v>
      </c>
      <c r="AE286" s="4">
        <v>0</v>
      </c>
      <c r="AF286" s="4">
        <v>0</v>
      </c>
      <c r="AH286" s="4">
        <f t="shared" si="10"/>
        <v>3312987</v>
      </c>
    </row>
    <row r="287" spans="1:66" s="4" customFormat="1">
      <c r="A287" s="4">
        <v>24</v>
      </c>
      <c r="B287" s="4" t="s">
        <v>266</v>
      </c>
      <c r="D287" s="4" t="s">
        <v>47</v>
      </c>
      <c r="F287" s="4">
        <v>162780</v>
      </c>
      <c r="G287" s="4">
        <v>0</v>
      </c>
      <c r="H287" s="4">
        <v>403917</v>
      </c>
      <c r="I287" s="4">
        <v>0</v>
      </c>
      <c r="J287" s="4">
        <v>0</v>
      </c>
      <c r="K287" s="4">
        <v>0</v>
      </c>
      <c r="L287" s="4">
        <v>681</v>
      </c>
      <c r="M287" s="4">
        <v>0</v>
      </c>
      <c r="N287" s="4">
        <v>0</v>
      </c>
      <c r="O287" s="4">
        <v>0</v>
      </c>
      <c r="P287" s="4">
        <v>12194</v>
      </c>
      <c r="R287" s="4">
        <v>0</v>
      </c>
      <c r="S287" s="4">
        <v>0</v>
      </c>
      <c r="T287" s="4">
        <v>8920</v>
      </c>
      <c r="U287" s="4">
        <v>0</v>
      </c>
      <c r="V287" s="4">
        <v>489</v>
      </c>
      <c r="W287" s="4">
        <v>0</v>
      </c>
      <c r="X287" s="4">
        <v>9592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H287" s="4">
        <f t="shared" si="10"/>
        <v>598573</v>
      </c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</row>
    <row r="288" spans="1:66" s="4" customFormat="1">
      <c r="B288" s="4" t="s">
        <v>267</v>
      </c>
      <c r="D288" s="4" t="s">
        <v>92</v>
      </c>
      <c r="F288" s="4">
        <v>2739921</v>
      </c>
      <c r="G288" s="4">
        <v>0</v>
      </c>
      <c r="H288" s="4">
        <v>2431769</v>
      </c>
      <c r="I288" s="4">
        <v>0</v>
      </c>
      <c r="J288" s="4">
        <v>0</v>
      </c>
      <c r="K288" s="4">
        <v>0</v>
      </c>
      <c r="L288" s="4">
        <v>446401</v>
      </c>
      <c r="M288" s="4">
        <v>0</v>
      </c>
      <c r="N288" s="4">
        <v>0</v>
      </c>
      <c r="O288" s="4">
        <v>0</v>
      </c>
      <c r="P288" s="4">
        <v>169540</v>
      </c>
      <c r="Q288" s="4">
        <v>0</v>
      </c>
      <c r="R288" s="4">
        <v>0</v>
      </c>
      <c r="S288" s="4">
        <v>0</v>
      </c>
      <c r="T288" s="4">
        <v>69459</v>
      </c>
      <c r="U288" s="4">
        <v>0</v>
      </c>
      <c r="V288" s="4">
        <v>34218</v>
      </c>
      <c r="W288" s="4">
        <v>0</v>
      </c>
      <c r="X288" s="4">
        <v>28458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H288" s="4">
        <f t="shared" si="10"/>
        <v>5919766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s="4" customFormat="1">
      <c r="A289" s="4">
        <v>260</v>
      </c>
      <c r="B289" s="4" t="s">
        <v>268</v>
      </c>
      <c r="D289" s="4" t="s">
        <v>63</v>
      </c>
      <c r="F289" s="1">
        <v>277530.14</v>
      </c>
      <c r="G289" s="1"/>
      <c r="H289" s="1">
        <v>245747.91</v>
      </c>
      <c r="I289" s="1"/>
      <c r="J289" s="1">
        <v>0</v>
      </c>
      <c r="K289" s="1"/>
      <c r="L289" s="1">
        <v>30937.98</v>
      </c>
      <c r="M289" s="1"/>
      <c r="N289" s="1">
        <v>0</v>
      </c>
      <c r="O289" s="1"/>
      <c r="P289" s="1">
        <v>20788.18</v>
      </c>
      <c r="Q289" s="1"/>
      <c r="R289" s="1">
        <v>0</v>
      </c>
      <c r="S289" s="1"/>
      <c r="T289" s="1">
        <v>12543.4</v>
      </c>
      <c r="U289" s="1"/>
      <c r="V289" s="1">
        <v>1459.01</v>
      </c>
      <c r="W289" s="1"/>
      <c r="X289" s="1">
        <v>2603</v>
      </c>
      <c r="Y289" s="1"/>
      <c r="Z289" s="1">
        <v>0</v>
      </c>
      <c r="AA289" s="1"/>
      <c r="AB289" s="1">
        <v>0</v>
      </c>
      <c r="AC289" s="1"/>
      <c r="AD289" s="1">
        <v>0</v>
      </c>
      <c r="AE289" s="1"/>
      <c r="AF289" s="1">
        <v>0</v>
      </c>
      <c r="AH289" s="4">
        <f t="shared" si="10"/>
        <v>591609.62000000011</v>
      </c>
    </row>
    <row r="290" spans="1:66" s="4" customFormat="1">
      <c r="B290" s="4" t="s">
        <v>622</v>
      </c>
      <c r="D290" s="4" t="s">
        <v>67</v>
      </c>
      <c r="F290" s="4">
        <v>0</v>
      </c>
      <c r="G290" s="4">
        <v>0</v>
      </c>
      <c r="H290" s="4">
        <v>269554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H290" s="4">
        <f t="shared" si="10"/>
        <v>269554</v>
      </c>
    </row>
    <row r="291" spans="1:66" s="4" customFormat="1">
      <c r="A291" s="4">
        <v>230</v>
      </c>
      <c r="B291" s="4" t="s">
        <v>611</v>
      </c>
      <c r="D291" s="4" t="s">
        <v>56</v>
      </c>
      <c r="F291" s="4">
        <v>2161674</v>
      </c>
      <c r="G291" s="4">
        <v>0</v>
      </c>
      <c r="H291" s="4">
        <v>3295334</v>
      </c>
      <c r="I291" s="4">
        <v>0</v>
      </c>
      <c r="J291" s="4">
        <v>0</v>
      </c>
      <c r="K291" s="4">
        <v>0</v>
      </c>
      <c r="L291" s="4">
        <v>154442</v>
      </c>
      <c r="M291" s="4">
        <v>0</v>
      </c>
      <c r="N291" s="4">
        <v>0</v>
      </c>
      <c r="O291" s="4">
        <v>0</v>
      </c>
      <c r="P291" s="4">
        <v>124620</v>
      </c>
      <c r="Q291" s="4">
        <v>0</v>
      </c>
      <c r="R291" s="4">
        <v>400</v>
      </c>
      <c r="S291" s="4">
        <v>0</v>
      </c>
      <c r="T291" s="4">
        <v>30013</v>
      </c>
      <c r="U291" s="4">
        <v>0</v>
      </c>
      <c r="V291" s="4">
        <v>23916</v>
      </c>
      <c r="W291" s="4">
        <v>0</v>
      </c>
      <c r="X291" s="4">
        <v>59470</v>
      </c>
      <c r="Y291" s="4">
        <v>0</v>
      </c>
      <c r="Z291" s="4">
        <v>0</v>
      </c>
      <c r="AA291" s="4">
        <v>0</v>
      </c>
      <c r="AB291" s="4">
        <v>2266567</v>
      </c>
      <c r="AC291" s="4">
        <v>0</v>
      </c>
      <c r="AD291" s="4">
        <v>0</v>
      </c>
      <c r="AE291" s="4">
        <v>0</v>
      </c>
      <c r="AF291" s="4">
        <v>0</v>
      </c>
      <c r="AH291" s="4">
        <f t="shared" si="10"/>
        <v>8116436</v>
      </c>
    </row>
    <row r="292" spans="1:66" s="4" customFormat="1">
      <c r="A292" s="4">
        <v>245</v>
      </c>
      <c r="B292" s="4" t="s">
        <v>612</v>
      </c>
      <c r="D292" s="4" t="s">
        <v>27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1800351</v>
      </c>
      <c r="M292" s="4">
        <v>0</v>
      </c>
      <c r="N292" s="4">
        <v>0</v>
      </c>
      <c r="O292" s="4">
        <v>0</v>
      </c>
      <c r="P292" s="4">
        <v>72396</v>
      </c>
      <c r="Q292" s="4">
        <v>0</v>
      </c>
      <c r="R292" s="4">
        <v>0</v>
      </c>
      <c r="S292" s="4">
        <v>0</v>
      </c>
      <c r="T292" s="4">
        <v>8449</v>
      </c>
      <c r="U292" s="4">
        <v>0</v>
      </c>
      <c r="V292" s="4">
        <v>2736</v>
      </c>
      <c r="W292" s="4">
        <v>0</v>
      </c>
      <c r="X292" s="4">
        <v>1203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57</v>
      </c>
      <c r="AH292" s="4">
        <f t="shared" si="10"/>
        <v>1885192</v>
      </c>
    </row>
    <row r="293" spans="1:66" s="4" customFormat="1">
      <c r="A293" s="4">
        <v>171</v>
      </c>
      <c r="B293" s="4" t="s">
        <v>269</v>
      </c>
      <c r="D293" s="4" t="s">
        <v>55</v>
      </c>
      <c r="F293" s="4">
        <v>3325307</v>
      </c>
      <c r="G293" s="4">
        <v>0</v>
      </c>
      <c r="H293" s="4">
        <v>2002644</v>
      </c>
      <c r="I293" s="4">
        <v>0</v>
      </c>
      <c r="J293" s="4">
        <v>0</v>
      </c>
      <c r="K293" s="4">
        <v>0</v>
      </c>
      <c r="L293" s="4">
        <v>621372</v>
      </c>
      <c r="M293" s="4">
        <v>0</v>
      </c>
      <c r="N293" s="4">
        <v>0</v>
      </c>
      <c r="O293" s="4">
        <v>0</v>
      </c>
      <c r="P293" s="4">
        <v>320182</v>
      </c>
      <c r="Q293" s="4">
        <v>0</v>
      </c>
      <c r="R293" s="4">
        <v>0</v>
      </c>
      <c r="S293" s="4">
        <v>0</v>
      </c>
      <c r="T293" s="4">
        <v>37255</v>
      </c>
      <c r="U293" s="4">
        <v>0</v>
      </c>
      <c r="V293" s="4">
        <v>220725</v>
      </c>
      <c r="W293" s="4">
        <v>0</v>
      </c>
      <c r="X293" s="4">
        <v>3044</v>
      </c>
      <c r="Y293" s="4">
        <v>0</v>
      </c>
      <c r="Z293" s="4">
        <v>0</v>
      </c>
      <c r="AA293" s="4">
        <v>0</v>
      </c>
      <c r="AB293" s="4">
        <v>500000</v>
      </c>
      <c r="AC293" s="4">
        <v>0</v>
      </c>
      <c r="AD293" s="4">
        <v>0</v>
      </c>
      <c r="AE293" s="4">
        <v>0</v>
      </c>
      <c r="AF293" s="4">
        <v>0</v>
      </c>
      <c r="AH293" s="4">
        <f t="shared" si="10"/>
        <v>7030529</v>
      </c>
    </row>
    <row r="294" spans="1:66" s="4" customFormat="1">
      <c r="A294" s="4">
        <v>87</v>
      </c>
      <c r="B294" s="4" t="s">
        <v>468</v>
      </c>
      <c r="D294" s="4" t="s">
        <v>42</v>
      </c>
      <c r="F294" s="1">
        <v>25131.37</v>
      </c>
      <c r="G294" s="1"/>
      <c r="H294" s="1">
        <v>289233.14</v>
      </c>
      <c r="I294" s="1"/>
      <c r="J294" s="1">
        <v>0</v>
      </c>
      <c r="K294" s="1"/>
      <c r="L294" s="1">
        <v>10075.370000000001</v>
      </c>
      <c r="M294" s="1"/>
      <c r="N294" s="1">
        <v>0</v>
      </c>
      <c r="O294" s="1"/>
      <c r="P294" s="1">
        <v>12286.72</v>
      </c>
      <c r="Q294" s="1"/>
      <c r="R294" s="1">
        <v>0</v>
      </c>
      <c r="S294" s="1"/>
      <c r="T294" s="1">
        <v>3234.24</v>
      </c>
      <c r="U294" s="1"/>
      <c r="V294" s="1">
        <v>10073.07</v>
      </c>
      <c r="W294" s="1"/>
      <c r="X294" s="1">
        <v>1010.56</v>
      </c>
      <c r="Y294" s="1"/>
      <c r="Z294" s="1">
        <v>0</v>
      </c>
      <c r="AA294" s="1"/>
      <c r="AB294" s="1">
        <v>0</v>
      </c>
      <c r="AC294" s="1"/>
      <c r="AD294" s="1">
        <v>0</v>
      </c>
      <c r="AE294" s="1"/>
      <c r="AF294" s="1">
        <v>0</v>
      </c>
      <c r="AH294" s="4">
        <f t="shared" si="10"/>
        <v>351044.47</v>
      </c>
    </row>
    <row r="295" spans="1:66" s="4" customFormat="1">
      <c r="A295" s="4">
        <v>247</v>
      </c>
      <c r="B295" s="4" t="s">
        <v>613</v>
      </c>
      <c r="D295" s="4" t="s">
        <v>225</v>
      </c>
      <c r="F295" s="4">
        <v>2262175</v>
      </c>
      <c r="G295" s="4">
        <v>0</v>
      </c>
      <c r="H295" s="4">
        <v>2688912</v>
      </c>
      <c r="I295" s="4">
        <v>0</v>
      </c>
      <c r="J295" s="4">
        <v>0</v>
      </c>
      <c r="K295" s="4">
        <v>0</v>
      </c>
      <c r="L295" s="4">
        <v>309462</v>
      </c>
      <c r="M295" s="4">
        <v>0</v>
      </c>
      <c r="N295" s="4">
        <v>0</v>
      </c>
      <c r="O295" s="4">
        <v>0</v>
      </c>
      <c r="P295" s="4">
        <v>154868</v>
      </c>
      <c r="Q295" s="4">
        <v>0</v>
      </c>
      <c r="R295" s="4">
        <v>0</v>
      </c>
      <c r="S295" s="4">
        <v>0</v>
      </c>
      <c r="T295" s="4">
        <v>27714</v>
      </c>
      <c r="U295" s="4">
        <v>0</v>
      </c>
      <c r="V295" s="4">
        <v>30875</v>
      </c>
      <c r="W295" s="4">
        <v>0</v>
      </c>
      <c r="X295" s="4">
        <v>69573</v>
      </c>
      <c r="Y295" s="4">
        <v>0</v>
      </c>
      <c r="Z295" s="4">
        <v>0</v>
      </c>
      <c r="AA295" s="4">
        <v>0</v>
      </c>
      <c r="AB295" s="4">
        <v>205115</v>
      </c>
      <c r="AC295" s="4">
        <v>0</v>
      </c>
      <c r="AD295" s="4">
        <v>0</v>
      </c>
      <c r="AE295" s="4">
        <v>0</v>
      </c>
      <c r="AF295" s="4">
        <v>0</v>
      </c>
      <c r="AH295" s="4">
        <f t="shared" si="10"/>
        <v>5748694</v>
      </c>
    </row>
    <row r="296" spans="1:66" s="4" customFormat="1">
      <c r="A296" s="4">
        <v>254</v>
      </c>
      <c r="B296" s="4" t="s">
        <v>271</v>
      </c>
      <c r="D296" s="4" t="s">
        <v>65</v>
      </c>
      <c r="F296" s="1">
        <v>0</v>
      </c>
      <c r="G296" s="1"/>
      <c r="H296" s="1">
        <v>247946.76</v>
      </c>
      <c r="I296" s="1"/>
      <c r="J296" s="1">
        <v>0</v>
      </c>
      <c r="K296" s="1"/>
      <c r="L296" s="1">
        <v>0</v>
      </c>
      <c r="M296" s="1"/>
      <c r="N296" s="1">
        <v>0</v>
      </c>
      <c r="O296" s="1"/>
      <c r="P296" s="1">
        <v>7028.47</v>
      </c>
      <c r="Q296" s="1"/>
      <c r="R296" s="1">
        <v>0</v>
      </c>
      <c r="S296" s="1"/>
      <c r="T296" s="1">
        <v>4137.1000000000004</v>
      </c>
      <c r="U296" s="1"/>
      <c r="V296" s="1">
        <v>649.4</v>
      </c>
      <c r="W296" s="1"/>
      <c r="X296" s="1">
        <v>854.75</v>
      </c>
      <c r="Y296" s="1"/>
      <c r="Z296" s="1">
        <v>0</v>
      </c>
      <c r="AA296" s="1"/>
      <c r="AB296" s="1">
        <v>0</v>
      </c>
      <c r="AC296" s="1"/>
      <c r="AD296" s="1">
        <v>0</v>
      </c>
      <c r="AE296" s="1"/>
      <c r="AF296" s="1">
        <v>0</v>
      </c>
      <c r="AH296" s="4">
        <f t="shared" si="10"/>
        <v>260616.48</v>
      </c>
    </row>
    <row r="297" spans="1:66" s="4" customFormat="1">
      <c r="A297" s="4">
        <v>255</v>
      </c>
      <c r="B297" s="4" t="s">
        <v>272</v>
      </c>
      <c r="D297" s="4" t="s">
        <v>65</v>
      </c>
      <c r="F297" s="1">
        <v>841409.14</v>
      </c>
      <c r="G297" s="1"/>
      <c r="H297" s="1">
        <v>853042.36</v>
      </c>
      <c r="I297" s="1"/>
      <c r="J297" s="1">
        <v>0</v>
      </c>
      <c r="K297" s="1"/>
      <c r="L297" s="1">
        <v>99065.56</v>
      </c>
      <c r="M297" s="1"/>
      <c r="N297" s="1">
        <v>0</v>
      </c>
      <c r="O297" s="1"/>
      <c r="P297" s="1">
        <v>57006.49</v>
      </c>
      <c r="Q297" s="1"/>
      <c r="R297" s="1">
        <v>0</v>
      </c>
      <c r="S297" s="1"/>
      <c r="T297" s="1">
        <v>7689.97</v>
      </c>
      <c r="U297" s="1"/>
      <c r="V297" s="1">
        <v>1629.39</v>
      </c>
      <c r="W297" s="1"/>
      <c r="X297" s="1">
        <v>11817.52</v>
      </c>
      <c r="Y297" s="1"/>
      <c r="Z297" s="1">
        <v>4618.76</v>
      </c>
      <c r="AA297" s="1"/>
      <c r="AB297" s="1">
        <v>0</v>
      </c>
      <c r="AC297" s="1"/>
      <c r="AD297" s="1">
        <v>0</v>
      </c>
      <c r="AE297" s="1"/>
      <c r="AF297" s="1">
        <v>0</v>
      </c>
      <c r="AH297" s="4">
        <f t="shared" si="10"/>
        <v>1876279.19</v>
      </c>
    </row>
    <row r="298" spans="1:66" s="4" customFormat="1">
      <c r="A298" s="4">
        <v>44</v>
      </c>
      <c r="B298" s="4" t="s">
        <v>273</v>
      </c>
      <c r="D298" s="4" t="s">
        <v>51</v>
      </c>
      <c r="F298" s="1">
        <v>0</v>
      </c>
      <c r="G298" s="1"/>
      <c r="H298" s="1">
        <v>337047.77</v>
      </c>
      <c r="I298" s="1"/>
      <c r="J298" s="1">
        <v>0</v>
      </c>
      <c r="K298" s="1"/>
      <c r="L298" s="1">
        <v>0</v>
      </c>
      <c r="M298" s="1"/>
      <c r="N298" s="1">
        <v>0</v>
      </c>
      <c r="O298" s="1"/>
      <c r="P298" s="1">
        <v>5897.19</v>
      </c>
      <c r="Q298" s="1"/>
      <c r="R298" s="1">
        <v>0</v>
      </c>
      <c r="S298" s="1"/>
      <c r="T298" s="1">
        <v>10122.73</v>
      </c>
      <c r="U298" s="1"/>
      <c r="V298" s="1">
        <v>19789.599999999999</v>
      </c>
      <c r="W298" s="1"/>
      <c r="X298" s="1">
        <v>5561.33</v>
      </c>
      <c r="Y298" s="1"/>
      <c r="Z298" s="1">
        <v>0</v>
      </c>
      <c r="AA298" s="1"/>
      <c r="AB298" s="1">
        <v>0</v>
      </c>
      <c r="AC298" s="1"/>
      <c r="AD298" s="1">
        <v>0</v>
      </c>
      <c r="AE298" s="1"/>
      <c r="AF298" s="1">
        <v>0</v>
      </c>
      <c r="AH298" s="4">
        <f t="shared" si="10"/>
        <v>378418.62</v>
      </c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</row>
    <row r="299" spans="1:66" s="4" customFormat="1">
      <c r="A299" s="4">
        <v>78</v>
      </c>
      <c r="B299" s="4" t="s">
        <v>575</v>
      </c>
      <c r="D299" s="4" t="s">
        <v>92</v>
      </c>
      <c r="F299" s="4">
        <v>2006838</v>
      </c>
      <c r="G299" s="4">
        <v>0</v>
      </c>
      <c r="H299" s="4">
        <v>2438390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263398</v>
      </c>
      <c r="R299" s="4">
        <v>26000</v>
      </c>
      <c r="S299" s="4">
        <v>0</v>
      </c>
      <c r="T299" s="4">
        <v>12001</v>
      </c>
      <c r="U299" s="4">
        <v>0</v>
      </c>
      <c r="V299" s="4">
        <v>784</v>
      </c>
      <c r="W299" s="4">
        <v>0</v>
      </c>
      <c r="X299" s="4">
        <v>10181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H299" s="4">
        <f t="shared" si="10"/>
        <v>4757592</v>
      </c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</row>
    <row r="300" spans="1:66" s="4" customFormat="1">
      <c r="A300" s="4">
        <v>256</v>
      </c>
      <c r="B300" s="4" t="s">
        <v>274</v>
      </c>
      <c r="D300" s="4" t="s">
        <v>65</v>
      </c>
      <c r="F300" s="1">
        <v>0</v>
      </c>
      <c r="G300" s="1"/>
      <c r="H300" s="1">
        <v>300130.3</v>
      </c>
      <c r="I300" s="1"/>
      <c r="J300" s="1">
        <v>0</v>
      </c>
      <c r="K300" s="1"/>
      <c r="L300" s="1">
        <v>0</v>
      </c>
      <c r="M300" s="1"/>
      <c r="N300" s="1">
        <v>0</v>
      </c>
      <c r="O300" s="1"/>
      <c r="P300" s="1">
        <v>5472.25</v>
      </c>
      <c r="Q300" s="1"/>
      <c r="R300" s="1">
        <v>0</v>
      </c>
      <c r="S300" s="1"/>
      <c r="T300" s="1">
        <v>5150</v>
      </c>
      <c r="U300" s="1"/>
      <c r="V300" s="1">
        <v>13880.93</v>
      </c>
      <c r="W300" s="1"/>
      <c r="X300" s="1">
        <v>3641.98</v>
      </c>
      <c r="Y300" s="1"/>
      <c r="Z300" s="1">
        <v>0</v>
      </c>
      <c r="AA300" s="1"/>
      <c r="AB300" s="1">
        <v>0</v>
      </c>
      <c r="AC300" s="1"/>
      <c r="AD300" s="1">
        <v>0</v>
      </c>
      <c r="AE300" s="1"/>
      <c r="AF300" s="1">
        <v>0</v>
      </c>
      <c r="AH300" s="4">
        <f t="shared" si="10"/>
        <v>328275.45999999996</v>
      </c>
    </row>
    <row r="301" spans="1:66" s="4" customFormat="1">
      <c r="A301" s="4">
        <v>129</v>
      </c>
      <c r="B301" s="4" t="s">
        <v>469</v>
      </c>
      <c r="D301" s="4" t="s">
        <v>15</v>
      </c>
      <c r="F301" s="1">
        <v>803752.69</v>
      </c>
      <c r="G301" s="1"/>
      <c r="H301" s="1">
        <v>694081.62</v>
      </c>
      <c r="I301" s="1"/>
      <c r="J301" s="1">
        <v>0</v>
      </c>
      <c r="K301" s="1"/>
      <c r="L301" s="1">
        <v>0</v>
      </c>
      <c r="M301" s="1"/>
      <c r="N301" s="1">
        <v>0</v>
      </c>
      <c r="O301" s="1"/>
      <c r="P301" s="1">
        <v>27534.639999999999</v>
      </c>
      <c r="Q301" s="1"/>
      <c r="R301" s="1">
        <v>0</v>
      </c>
      <c r="S301" s="1"/>
      <c r="T301" s="1">
        <v>140</v>
      </c>
      <c r="U301" s="1"/>
      <c r="V301" s="1">
        <v>22742.85</v>
      </c>
      <c r="W301" s="1"/>
      <c r="X301" s="1">
        <v>39211.14</v>
      </c>
      <c r="Y301" s="1"/>
      <c r="Z301" s="1">
        <v>1085.1199999999999</v>
      </c>
      <c r="AA301" s="1"/>
      <c r="AB301" s="1">
        <v>0</v>
      </c>
      <c r="AC301" s="1"/>
      <c r="AD301" s="1">
        <v>0</v>
      </c>
      <c r="AE301" s="1"/>
      <c r="AF301" s="1">
        <v>0</v>
      </c>
      <c r="AH301" s="4">
        <f t="shared" si="10"/>
        <v>1588548.06</v>
      </c>
    </row>
    <row r="302" spans="1:66" s="4" customFormat="1" hidden="1">
      <c r="A302" s="4">
        <v>114</v>
      </c>
      <c r="B302" s="4" t="s">
        <v>275</v>
      </c>
      <c r="D302" s="4" t="s">
        <v>89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H302" s="4">
        <f t="shared" si="10"/>
        <v>0</v>
      </c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</row>
    <row r="303" spans="1:66" s="4" customFormat="1">
      <c r="A303" s="4">
        <v>249</v>
      </c>
      <c r="B303" s="4" t="s">
        <v>614</v>
      </c>
      <c r="D303" s="4" t="s">
        <v>204</v>
      </c>
      <c r="F303" s="1">
        <v>560630.46</v>
      </c>
      <c r="G303" s="1"/>
      <c r="H303" s="1">
        <v>908232.66</v>
      </c>
      <c r="I303" s="1"/>
      <c r="J303" s="1">
        <v>0</v>
      </c>
      <c r="K303" s="1"/>
      <c r="L303" s="1">
        <v>82779.240000000005</v>
      </c>
      <c r="M303" s="1"/>
      <c r="N303" s="1">
        <v>0</v>
      </c>
      <c r="O303" s="1"/>
      <c r="P303" s="1">
        <v>30152.91</v>
      </c>
      <c r="Q303" s="1"/>
      <c r="R303" s="1">
        <v>0</v>
      </c>
      <c r="S303" s="1"/>
      <c r="T303" s="1">
        <v>33676.230000000003</v>
      </c>
      <c r="U303" s="1"/>
      <c r="V303" s="1">
        <v>964.79</v>
      </c>
      <c r="W303" s="1"/>
      <c r="X303" s="1">
        <v>30101.9</v>
      </c>
      <c r="Y303" s="1"/>
      <c r="Z303" s="1">
        <v>2</v>
      </c>
      <c r="AA303" s="1"/>
      <c r="AB303" s="1">
        <v>0</v>
      </c>
      <c r="AC303" s="1"/>
      <c r="AD303" s="1">
        <v>0</v>
      </c>
      <c r="AE303" s="1"/>
      <c r="AF303" s="1">
        <v>0</v>
      </c>
      <c r="AH303" s="4">
        <f t="shared" si="10"/>
        <v>1646540.19</v>
      </c>
    </row>
    <row r="304" spans="1:66" s="4" customFormat="1">
      <c r="A304" s="4">
        <v>130</v>
      </c>
      <c r="B304" s="4" t="s">
        <v>276</v>
      </c>
      <c r="D304" s="4" t="s">
        <v>15</v>
      </c>
      <c r="F304" s="4">
        <v>3246098</v>
      </c>
      <c r="G304" s="4">
        <v>0</v>
      </c>
      <c r="H304" s="4">
        <v>1701557</v>
      </c>
      <c r="I304" s="4">
        <v>0</v>
      </c>
      <c r="J304" s="4">
        <v>637590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108468</v>
      </c>
      <c r="Q304" s="4">
        <v>0</v>
      </c>
      <c r="R304" s="4">
        <v>0</v>
      </c>
      <c r="S304" s="4">
        <v>0</v>
      </c>
      <c r="T304" s="4">
        <v>2397</v>
      </c>
      <c r="U304" s="4">
        <v>0</v>
      </c>
      <c r="V304" s="4">
        <v>12720</v>
      </c>
      <c r="W304" s="4">
        <v>0</v>
      </c>
      <c r="X304" s="4">
        <v>124193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H304" s="4">
        <f t="shared" si="10"/>
        <v>5833023</v>
      </c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</row>
    <row r="305" spans="1:66" s="4" customFormat="1">
      <c r="A305" s="4">
        <v>37</v>
      </c>
      <c r="B305" s="4" t="s">
        <v>277</v>
      </c>
      <c r="D305" s="4" t="s">
        <v>69</v>
      </c>
      <c r="F305" s="1">
        <v>0</v>
      </c>
      <c r="G305" s="1"/>
      <c r="H305" s="1">
        <v>536581.37</v>
      </c>
      <c r="I305" s="1"/>
      <c r="J305" s="1">
        <v>0</v>
      </c>
      <c r="K305" s="1"/>
      <c r="L305" s="1">
        <v>0</v>
      </c>
      <c r="M305" s="1"/>
      <c r="N305" s="1">
        <v>0</v>
      </c>
      <c r="O305" s="1"/>
      <c r="P305" s="1">
        <v>18981.689999999999</v>
      </c>
      <c r="Q305" s="1"/>
      <c r="R305" s="1">
        <v>0</v>
      </c>
      <c r="S305" s="1"/>
      <c r="T305" s="1">
        <v>4621.29</v>
      </c>
      <c r="U305" s="1"/>
      <c r="V305" s="1">
        <v>1633.17</v>
      </c>
      <c r="W305" s="1"/>
      <c r="X305" s="1">
        <v>1789.55</v>
      </c>
      <c r="Y305" s="1"/>
      <c r="Z305" s="1">
        <v>0</v>
      </c>
      <c r="AA305" s="1"/>
      <c r="AB305" s="1">
        <v>0</v>
      </c>
      <c r="AC305" s="1"/>
      <c r="AD305" s="1">
        <v>0</v>
      </c>
      <c r="AE305" s="1"/>
      <c r="AF305" s="1">
        <v>0</v>
      </c>
      <c r="AH305" s="4">
        <f t="shared" si="10"/>
        <v>563607.07000000007</v>
      </c>
    </row>
    <row r="306" spans="1:66" s="4" customFormat="1">
      <c r="A306" s="4">
        <v>257</v>
      </c>
      <c r="B306" s="4" t="s">
        <v>615</v>
      </c>
      <c r="D306" s="4" t="s">
        <v>65</v>
      </c>
      <c r="F306" s="4">
        <v>0</v>
      </c>
      <c r="G306" s="4">
        <v>0</v>
      </c>
      <c r="H306" s="4">
        <v>1268184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51483</v>
      </c>
      <c r="Q306" s="4">
        <v>0</v>
      </c>
      <c r="R306" s="4">
        <v>1900</v>
      </c>
      <c r="S306" s="4">
        <v>0</v>
      </c>
      <c r="T306" s="4">
        <v>138339</v>
      </c>
      <c r="U306" s="4">
        <v>0</v>
      </c>
      <c r="V306" s="4">
        <v>2036</v>
      </c>
      <c r="W306" s="4">
        <v>0</v>
      </c>
      <c r="X306" s="4">
        <v>19307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H306" s="4">
        <f t="shared" si="10"/>
        <v>1481249</v>
      </c>
    </row>
    <row r="307" spans="1:66" s="4" customFormat="1">
      <c r="A307" s="4">
        <v>61</v>
      </c>
      <c r="B307" s="4" t="s">
        <v>278</v>
      </c>
      <c r="D307" s="4" t="s">
        <v>81</v>
      </c>
      <c r="F307" s="1">
        <v>0</v>
      </c>
      <c r="G307" s="1"/>
      <c r="H307" s="1">
        <v>277564.86</v>
      </c>
      <c r="I307" s="1"/>
      <c r="J307" s="1">
        <v>0</v>
      </c>
      <c r="K307" s="1"/>
      <c r="L307" s="1">
        <v>2553</v>
      </c>
      <c r="M307" s="1"/>
      <c r="N307" s="1">
        <v>0</v>
      </c>
      <c r="O307" s="1"/>
      <c r="P307" s="1">
        <v>11189.59</v>
      </c>
      <c r="Q307" s="1"/>
      <c r="R307" s="1">
        <v>0</v>
      </c>
      <c r="S307" s="1"/>
      <c r="T307" s="1">
        <v>10459.200000000001</v>
      </c>
      <c r="U307" s="1"/>
      <c r="V307" s="1">
        <v>1857.59</v>
      </c>
      <c r="W307" s="1"/>
      <c r="X307" s="1">
        <v>1210.29</v>
      </c>
      <c r="Y307" s="1"/>
      <c r="Z307" s="1">
        <v>0</v>
      </c>
      <c r="AA307" s="1"/>
      <c r="AB307" s="1">
        <v>0</v>
      </c>
      <c r="AC307" s="1"/>
      <c r="AD307" s="1">
        <v>0</v>
      </c>
      <c r="AE307" s="1"/>
      <c r="AF307" s="1">
        <v>0</v>
      </c>
      <c r="AH307" s="4">
        <f t="shared" si="10"/>
        <v>304834.53000000003</v>
      </c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</row>
    <row r="308" spans="1:66" s="4" customFormat="1">
      <c r="A308" s="4">
        <v>65</v>
      </c>
      <c r="B308" s="4" t="s">
        <v>320</v>
      </c>
      <c r="D308" s="4" t="s">
        <v>70</v>
      </c>
      <c r="F308" s="1">
        <v>0</v>
      </c>
      <c r="G308" s="1"/>
      <c r="H308" s="1">
        <v>118218.51</v>
      </c>
      <c r="I308" s="1"/>
      <c r="J308" s="1">
        <v>0</v>
      </c>
      <c r="K308" s="1"/>
      <c r="L308" s="1">
        <v>2494</v>
      </c>
      <c r="M308" s="1"/>
      <c r="N308" s="1">
        <v>0</v>
      </c>
      <c r="O308" s="1"/>
      <c r="P308" s="1">
        <v>1874.67</v>
      </c>
      <c r="Q308" s="1"/>
      <c r="R308" s="1">
        <v>0</v>
      </c>
      <c r="S308" s="1"/>
      <c r="T308" s="1">
        <v>61127.040000000001</v>
      </c>
      <c r="U308" s="1"/>
      <c r="V308" s="1">
        <v>210.11</v>
      </c>
      <c r="W308" s="1"/>
      <c r="X308" s="1">
        <v>2772.88</v>
      </c>
      <c r="Y308" s="1"/>
      <c r="Z308" s="1">
        <v>324.25</v>
      </c>
      <c r="AA308" s="1"/>
      <c r="AB308" s="1">
        <v>0</v>
      </c>
      <c r="AC308" s="1"/>
      <c r="AD308" s="1">
        <v>0</v>
      </c>
      <c r="AE308" s="1"/>
      <c r="AF308" s="1">
        <v>0</v>
      </c>
      <c r="AH308" s="4">
        <f t="shared" si="10"/>
        <v>187021.46</v>
      </c>
    </row>
    <row r="309" spans="1:66" s="4" customFormat="1">
      <c r="A309" s="4">
        <v>81</v>
      </c>
      <c r="B309" s="4" t="s">
        <v>279</v>
      </c>
      <c r="D309" s="4" t="s">
        <v>92</v>
      </c>
      <c r="F309" s="4">
        <v>6183063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4110971</v>
      </c>
      <c r="M309" s="4">
        <v>0</v>
      </c>
      <c r="N309" s="4">
        <v>0</v>
      </c>
      <c r="O309" s="4">
        <v>0</v>
      </c>
      <c r="P309" s="4">
        <v>311105</v>
      </c>
      <c r="Q309" s="4">
        <v>0</v>
      </c>
      <c r="R309" s="4">
        <v>700108</v>
      </c>
      <c r="S309" s="4">
        <v>0</v>
      </c>
      <c r="T309" s="4">
        <v>29547</v>
      </c>
      <c r="U309" s="4">
        <v>0</v>
      </c>
      <c r="V309" s="4">
        <v>15674</v>
      </c>
      <c r="W309" s="4">
        <v>0</v>
      </c>
      <c r="X309" s="4">
        <v>77609</v>
      </c>
      <c r="Y309" s="4">
        <v>0</v>
      </c>
      <c r="Z309" s="4">
        <v>0</v>
      </c>
      <c r="AA309" s="4">
        <v>0</v>
      </c>
      <c r="AB309" s="4">
        <v>31483</v>
      </c>
      <c r="AC309" s="4">
        <v>0</v>
      </c>
      <c r="AD309" s="4">
        <v>0</v>
      </c>
      <c r="AE309" s="4">
        <v>0</v>
      </c>
      <c r="AF309" s="4">
        <v>0</v>
      </c>
      <c r="AH309" s="4">
        <f t="shared" si="10"/>
        <v>11459560</v>
      </c>
    </row>
    <row r="310" spans="1:66" s="4" customFormat="1">
      <c r="A310" s="4">
        <v>172</v>
      </c>
      <c r="B310" s="4" t="s">
        <v>470</v>
      </c>
      <c r="D310" s="4" t="s">
        <v>55</v>
      </c>
      <c r="F310" s="1">
        <v>391455.76</v>
      </c>
      <c r="G310" s="1"/>
      <c r="H310" s="1">
        <v>1115595.02</v>
      </c>
      <c r="I310" s="1"/>
      <c r="J310" s="1">
        <v>0</v>
      </c>
      <c r="K310" s="1"/>
      <c r="L310" s="1">
        <v>62251.64</v>
      </c>
      <c r="M310" s="1"/>
      <c r="N310" s="1">
        <v>0</v>
      </c>
      <c r="O310" s="1"/>
      <c r="P310" s="1">
        <v>33099.480000000003</v>
      </c>
      <c r="Q310" s="1"/>
      <c r="R310" s="1">
        <v>0</v>
      </c>
      <c r="S310" s="1"/>
      <c r="T310" s="1">
        <v>3949.91</v>
      </c>
      <c r="U310" s="1"/>
      <c r="V310" s="1">
        <v>3368.67</v>
      </c>
      <c r="W310" s="1"/>
      <c r="X310" s="1">
        <v>13066.57</v>
      </c>
      <c r="Y310" s="1"/>
      <c r="Z310" s="1">
        <v>0</v>
      </c>
      <c r="AA310" s="1"/>
      <c r="AB310" s="1">
        <v>0</v>
      </c>
      <c r="AC310" s="1"/>
      <c r="AD310" s="1">
        <v>0</v>
      </c>
      <c r="AE310" s="1"/>
      <c r="AF310" s="1">
        <v>0</v>
      </c>
      <c r="AH310" s="4">
        <f t="shared" si="10"/>
        <v>1622787.0499999998</v>
      </c>
    </row>
    <row r="311" spans="1:66" s="4" customFormat="1"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</row>
    <row r="312" spans="1:66" s="4" customFormat="1"/>
    <row r="313" spans="1:66" s="4" customFormat="1"/>
    <row r="314" spans="1:66" s="4" customFormat="1">
      <c r="AH314" s="8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</row>
    <row r="315" spans="1:66" s="4" customFormat="1">
      <c r="AH315" s="8"/>
    </row>
    <row r="316" spans="1:66" s="4" customFormat="1">
      <c r="AH316" s="8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</row>
    <row r="317" spans="1:66" s="4" customFormat="1">
      <c r="AH317" s="8"/>
    </row>
    <row r="318" spans="1:66" s="4" customFormat="1">
      <c r="R318" s="8"/>
    </row>
    <row r="319" spans="1:66"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</row>
    <row r="320" spans="1:66"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</row>
    <row r="321" spans="35:66"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</row>
    <row r="322" spans="35:66"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</row>
    <row r="323" spans="35:66"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</row>
    <row r="324" spans="35:66"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</row>
    <row r="325" spans="35:66"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</row>
    <row r="326" spans="35:66"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</row>
    <row r="327" spans="35:66"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</row>
    <row r="328" spans="35:66"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</row>
    <row r="329" spans="35:66"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</row>
    <row r="330" spans="35:66"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</row>
    <row r="331" spans="35:66"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</row>
    <row r="332" spans="35:66"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</row>
    <row r="333" spans="35:66"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</row>
    <row r="334" spans="35:66"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</row>
    <row r="335" spans="35:66"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</row>
    <row r="336" spans="35:66"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</row>
    <row r="337" spans="35:66"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</row>
    <row r="338" spans="35:66"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</row>
    <row r="339" spans="35:66"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</row>
    <row r="340" spans="35:66"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</row>
    <row r="341" spans="35:66"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</row>
    <row r="342" spans="35:66"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</row>
    <row r="343" spans="35:66"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</row>
    <row r="344" spans="35:66"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</row>
    <row r="345" spans="35:66"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</row>
    <row r="346" spans="35:66"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</row>
    <row r="347" spans="35:66"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</row>
    <row r="348" spans="35:66"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</row>
    <row r="349" spans="35:66"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</row>
    <row r="350" spans="35:66"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</row>
    <row r="351" spans="35:66"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</row>
    <row r="352" spans="35:66"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</row>
    <row r="353" spans="35:66"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</row>
    <row r="354" spans="35:66"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</row>
    <row r="355" spans="35:66"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</row>
    <row r="356" spans="35:66"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</row>
    <row r="357" spans="35:66"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</row>
    <row r="358" spans="35:66"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</row>
    <row r="359" spans="35:66"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</row>
    <row r="360" spans="35:66"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</row>
    <row r="361" spans="35:66"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</row>
    <row r="362" spans="35:66"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</row>
    <row r="363" spans="35:66"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</row>
    <row r="364" spans="35:66"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</row>
    <row r="365" spans="35:66"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</row>
    <row r="366" spans="35:66"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</row>
    <row r="367" spans="35:66"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</row>
    <row r="368" spans="35:66"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</row>
    <row r="369" spans="35:66"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</row>
    <row r="370" spans="35:66"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</row>
    <row r="371" spans="35:66"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</row>
    <row r="372" spans="35:66"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</row>
    <row r="373" spans="35:66"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</row>
    <row r="374" spans="35:66"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</row>
    <row r="375" spans="35:66"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</row>
    <row r="376" spans="35:66"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</row>
    <row r="377" spans="35:66"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</row>
    <row r="378" spans="35:66"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</row>
    <row r="379" spans="35:66"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</row>
    <row r="380" spans="35:66"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</row>
    <row r="381" spans="35:66"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</row>
    <row r="382" spans="35:66"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</row>
    <row r="383" spans="35:66"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</row>
    <row r="384" spans="35:66"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</row>
    <row r="385" spans="35:66"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</row>
    <row r="386" spans="35:66"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</row>
    <row r="387" spans="35:66"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</row>
    <row r="388" spans="35:66"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</row>
    <row r="389" spans="35:66"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</row>
    <row r="390" spans="35:66"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</row>
    <row r="391" spans="35:66"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</row>
    <row r="392" spans="35:66"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</row>
    <row r="393" spans="35:66"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</row>
    <row r="394" spans="35:66"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</row>
  </sheetData>
  <sortState ref="A20:AH271">
    <sortCondition ref="B20:B271"/>
  </sortState>
  <phoneticPr fontId="2" type="noConversion"/>
  <printOptions horizontalCentered="1"/>
  <pageMargins left="0.75" right="0.75" top="0.5" bottom="0.5" header="0" footer="0.3"/>
  <pageSetup scale="80" firstPageNumber="24" fitToWidth="2" fitToHeight="3" pageOrder="overThenDown" orientation="portrait" useFirstPageNumber="1" horizontalDpi="1200" verticalDpi="1200" r:id="rId1"/>
  <headerFooter scaleWithDoc="0" alignWithMargins="0">
    <oddFooter>&amp;C&amp;"Times New Roman,Regular"&amp;11&amp;P</oddFooter>
  </headerFooter>
  <rowBreaks count="3" manualBreakCount="3">
    <brk id="87" min="1" max="33" man="1"/>
    <brk id="166" min="1" max="33" man="1"/>
    <brk id="244" min="1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F348"/>
  <sheetViews>
    <sheetView topLeftCell="B1" zoomScale="130" zoomScaleNormal="130" zoomScaleSheetLayoutView="100" workbookViewId="0">
      <pane xSplit="4" ySplit="18" topLeftCell="F19" activePane="bottomRight" state="frozen"/>
      <selection activeCell="B1" sqref="B1"/>
      <selection pane="topRight" activeCell="F1" sqref="F1"/>
      <selection pane="bottomLeft" activeCell="B19" sqref="B19"/>
      <selection pane="bottomRight" activeCell="B6" sqref="B6"/>
    </sheetView>
  </sheetViews>
  <sheetFormatPr defaultColWidth="9.140625" defaultRowHeight="12"/>
  <cols>
    <col min="1" max="1" width="0" style="3" hidden="1" customWidth="1"/>
    <col min="2" max="2" width="34.85546875" style="3" customWidth="1"/>
    <col min="3" max="3" width="1.28515625" style="3" customWidth="1"/>
    <col min="4" max="4" width="9.85546875" style="3" customWidth="1"/>
    <col min="5" max="5" width="1.28515625" style="3" customWidth="1"/>
    <col min="6" max="6" width="10.140625" style="3" customWidth="1"/>
    <col min="7" max="7" width="1.28515625" style="3" customWidth="1"/>
    <col min="8" max="8" width="10.140625" style="3" customWidth="1"/>
    <col min="9" max="9" width="1.28515625" style="3" customWidth="1"/>
    <col min="10" max="10" width="11.140625" style="3" customWidth="1"/>
    <col min="11" max="11" width="1.28515625" style="3" customWidth="1"/>
    <col min="12" max="12" width="11.140625" style="3" customWidth="1"/>
    <col min="13" max="13" width="1.28515625" style="3" customWidth="1"/>
    <col min="14" max="14" width="10.42578125" style="3" customWidth="1"/>
    <col min="15" max="15" width="1.28515625" style="3" hidden="1" customWidth="1"/>
    <col min="16" max="16" width="10.140625" style="3" customWidth="1"/>
    <col min="17" max="17" width="1.28515625" style="3" customWidth="1"/>
    <col min="18" max="18" width="10.140625" style="3" customWidth="1"/>
    <col min="19" max="19" width="1.28515625" style="3" customWidth="1"/>
    <col min="20" max="20" width="10.140625" style="3" customWidth="1"/>
    <col min="21" max="21" width="1.28515625" style="3" customWidth="1"/>
    <col min="22" max="22" width="11.28515625" style="3" customWidth="1"/>
    <col min="23" max="23" width="1.28515625" style="3" customWidth="1"/>
    <col min="24" max="24" width="10" style="3" customWidth="1"/>
    <col min="25" max="25" width="1.28515625" style="3" customWidth="1"/>
    <col min="26" max="26" width="10.7109375" style="3" customWidth="1"/>
    <col min="27" max="27" width="1.28515625" style="3" customWidth="1"/>
    <col min="28" max="28" width="10.7109375" style="3" customWidth="1"/>
    <col min="29" max="29" width="1.28515625" style="3" customWidth="1"/>
    <col min="30" max="30" width="10" style="3" customWidth="1"/>
    <col min="31" max="31" width="1.28515625" style="3" customWidth="1"/>
    <col min="32" max="32" width="10.28515625" style="3" customWidth="1"/>
    <col min="33" max="16384" width="9.140625" style="3"/>
  </cols>
  <sheetData>
    <row r="1" spans="1:32">
      <c r="B1" s="3" t="s">
        <v>526</v>
      </c>
    </row>
    <row r="2" spans="1:32">
      <c r="B2" s="3" t="s">
        <v>635</v>
      </c>
    </row>
    <row r="4" spans="1:32" s="36" customFormat="1">
      <c r="B4" s="41"/>
      <c r="L4" s="36" t="s">
        <v>8</v>
      </c>
    </row>
    <row r="5" spans="1:32" s="36" customFormat="1">
      <c r="J5" s="36" t="s">
        <v>323</v>
      </c>
      <c r="L5" s="36" t="s">
        <v>555</v>
      </c>
      <c r="N5" s="36" t="s">
        <v>554</v>
      </c>
      <c r="X5" s="36" t="s">
        <v>330</v>
      </c>
      <c r="AD5" s="36" t="s">
        <v>0</v>
      </c>
    </row>
    <row r="6" spans="1:32" s="36" customFormat="1">
      <c r="H6" s="36" t="s">
        <v>321</v>
      </c>
      <c r="J6" s="36" t="s">
        <v>324</v>
      </c>
      <c r="L6" s="36" t="s">
        <v>325</v>
      </c>
      <c r="N6" s="36" t="s">
        <v>552</v>
      </c>
      <c r="T6" s="36" t="s">
        <v>30</v>
      </c>
      <c r="V6" s="36" t="s">
        <v>328</v>
      </c>
      <c r="X6" s="36" t="s">
        <v>331</v>
      </c>
      <c r="AD6" s="36" t="s">
        <v>296</v>
      </c>
    </row>
    <row r="7" spans="1:32" s="36" customFormat="1" ht="12" customHeight="1">
      <c r="A7" s="36" t="s">
        <v>578</v>
      </c>
      <c r="B7" s="37" t="s">
        <v>8</v>
      </c>
      <c r="C7" s="45"/>
      <c r="D7" s="37" t="s">
        <v>6</v>
      </c>
      <c r="E7" s="45"/>
      <c r="F7" s="37" t="s">
        <v>2</v>
      </c>
      <c r="G7" s="45"/>
      <c r="H7" s="37" t="s">
        <v>561</v>
      </c>
      <c r="I7" s="45"/>
      <c r="J7" s="37" t="s">
        <v>29</v>
      </c>
      <c r="K7" s="45"/>
      <c r="L7" s="37" t="s">
        <v>326</v>
      </c>
      <c r="M7" s="45"/>
      <c r="N7" s="37" t="s">
        <v>553</v>
      </c>
      <c r="O7" s="45"/>
      <c r="P7" s="37" t="s">
        <v>4</v>
      </c>
      <c r="Q7" s="45"/>
      <c r="R7" s="37" t="s">
        <v>0</v>
      </c>
      <c r="S7" s="45"/>
      <c r="T7" s="37" t="s">
        <v>327</v>
      </c>
      <c r="U7" s="45"/>
      <c r="V7" s="37" t="s">
        <v>329</v>
      </c>
      <c r="W7" s="45"/>
      <c r="X7" s="37" t="s">
        <v>332</v>
      </c>
      <c r="Y7" s="45"/>
      <c r="Z7" s="37" t="s">
        <v>506</v>
      </c>
      <c r="AA7" s="45"/>
      <c r="AB7" s="37" t="s">
        <v>507</v>
      </c>
      <c r="AC7" s="45"/>
      <c r="AD7" s="37" t="s">
        <v>333</v>
      </c>
      <c r="AE7" s="45"/>
      <c r="AF7" s="46" t="s">
        <v>28</v>
      </c>
    </row>
    <row r="8" spans="1:32" s="4" customFormat="1" hidden="1">
      <c r="A8" s="4">
        <v>2</v>
      </c>
      <c r="B8" s="4" t="s">
        <v>435</v>
      </c>
      <c r="D8" s="4" t="s">
        <v>97</v>
      </c>
      <c r="AF8" s="4">
        <f t="shared" ref="AF8:AF39" si="0">SUM(F8:AD8)</f>
        <v>0</v>
      </c>
    </row>
    <row r="9" spans="1:32" hidden="1">
      <c r="A9" s="4">
        <v>75</v>
      </c>
      <c r="B9" s="4" t="s">
        <v>436</v>
      </c>
      <c r="C9" s="4"/>
      <c r="D9" s="4" t="s">
        <v>92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 t="shared" si="0"/>
        <v>0</v>
      </c>
    </row>
    <row r="10" spans="1:32" s="7" customFormat="1" hidden="1">
      <c r="A10" s="4">
        <v>80</v>
      </c>
      <c r="B10" s="4" t="s">
        <v>267</v>
      </c>
      <c r="C10" s="4"/>
      <c r="D10" s="4" t="s">
        <v>92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0</v>
      </c>
    </row>
    <row r="11" spans="1:32" s="4" customFormat="1" hidden="1">
      <c r="A11" s="4">
        <v>117</v>
      </c>
      <c r="B11" s="4" t="s">
        <v>342</v>
      </c>
      <c r="D11" s="4" t="s">
        <v>170</v>
      </c>
      <c r="AF11" s="4">
        <f t="shared" si="0"/>
        <v>0</v>
      </c>
    </row>
    <row r="12" spans="1:32" s="4" customFormat="1" hidden="1">
      <c r="A12" s="4">
        <v>135</v>
      </c>
      <c r="B12" s="4" t="s">
        <v>442</v>
      </c>
      <c r="D12" s="4" t="s">
        <v>41</v>
      </c>
      <c r="AF12" s="4">
        <f t="shared" si="0"/>
        <v>0</v>
      </c>
    </row>
    <row r="13" spans="1:32" s="4" customFormat="1" hidden="1">
      <c r="A13" s="4">
        <v>152</v>
      </c>
      <c r="B13" s="4" t="s">
        <v>214</v>
      </c>
      <c r="D13" s="4" t="s">
        <v>215</v>
      </c>
      <c r="AF13" s="4">
        <f t="shared" si="0"/>
        <v>0</v>
      </c>
    </row>
    <row r="14" spans="1:32" s="4" customFormat="1" hidden="1">
      <c r="A14" s="4">
        <v>180</v>
      </c>
      <c r="B14" s="4" t="s">
        <v>253</v>
      </c>
      <c r="D14" s="4" t="s">
        <v>106</v>
      </c>
      <c r="AF14" s="4">
        <f t="shared" si="0"/>
        <v>0</v>
      </c>
    </row>
    <row r="15" spans="1:32" s="7" customFormat="1" hidden="1">
      <c r="A15" s="4">
        <v>185</v>
      </c>
      <c r="B15" s="4" t="s">
        <v>230</v>
      </c>
      <c r="C15" s="4"/>
      <c r="D15" s="4" t="s">
        <v>229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 t="shared" si="0"/>
        <v>0</v>
      </c>
    </row>
    <row r="16" spans="1:32" s="4" customFormat="1" hidden="1">
      <c r="A16" s="4">
        <v>189</v>
      </c>
      <c r="B16" s="4" t="s">
        <v>450</v>
      </c>
      <c r="D16" s="4" t="s">
        <v>236</v>
      </c>
      <c r="AF16" s="4">
        <f t="shared" si="0"/>
        <v>0</v>
      </c>
    </row>
    <row r="17" spans="1:55" s="4" customFormat="1" hidden="1">
      <c r="A17" s="4">
        <v>233</v>
      </c>
      <c r="B17" s="4" t="s">
        <v>35</v>
      </c>
      <c r="D17" s="4" t="s">
        <v>26</v>
      </c>
      <c r="AF17" s="4">
        <f t="shared" si="0"/>
        <v>0</v>
      </c>
    </row>
    <row r="18" spans="1:55" s="4" customFormat="1" hidden="1">
      <c r="A18" s="4">
        <v>234</v>
      </c>
      <c r="B18" s="4" t="s">
        <v>201</v>
      </c>
      <c r="D18" s="4" t="s">
        <v>26</v>
      </c>
      <c r="AF18" s="4">
        <f t="shared" si="0"/>
        <v>0</v>
      </c>
    </row>
    <row r="19" spans="1:55" s="4" customFormat="1">
      <c r="A19" s="4">
        <v>95</v>
      </c>
      <c r="B19" s="3" t="s">
        <v>73</v>
      </c>
      <c r="C19" s="3"/>
      <c r="D19" s="3" t="s">
        <v>61</v>
      </c>
      <c r="E19" s="3"/>
      <c r="F19" s="2">
        <v>151757.96</v>
      </c>
      <c r="G19" s="2"/>
      <c r="H19" s="2">
        <v>45716.1</v>
      </c>
      <c r="I19" s="2"/>
      <c r="J19" s="2">
        <v>54473.63</v>
      </c>
      <c r="K19" s="2"/>
      <c r="L19" s="2">
        <v>28608.94</v>
      </c>
      <c r="M19" s="2"/>
      <c r="N19" s="2">
        <v>0</v>
      </c>
      <c r="O19" s="2"/>
      <c r="P19" s="2">
        <v>6933.84</v>
      </c>
      <c r="Q19" s="2"/>
      <c r="R19" s="2">
        <v>4012</v>
      </c>
      <c r="S19" s="2"/>
      <c r="T19" s="2">
        <v>0</v>
      </c>
      <c r="U19" s="2"/>
      <c r="V19" s="2">
        <v>0</v>
      </c>
      <c r="W19" s="2"/>
      <c r="X19" s="2">
        <v>0</v>
      </c>
      <c r="Y19" s="2"/>
      <c r="Z19" s="2">
        <v>162</v>
      </c>
      <c r="AA19" s="2"/>
      <c r="AB19" s="2">
        <v>0</v>
      </c>
      <c r="AC19" s="2"/>
      <c r="AD19" s="2">
        <v>0</v>
      </c>
      <c r="AE19" s="7"/>
      <c r="AF19" s="7">
        <f t="shared" si="0"/>
        <v>291664.47000000003</v>
      </c>
    </row>
    <row r="20" spans="1:55" s="14" customFormat="1">
      <c r="A20" s="4">
        <v>1</v>
      </c>
      <c r="B20" s="3" t="s">
        <v>74</v>
      </c>
      <c r="C20" s="3"/>
      <c r="D20" s="3" t="s">
        <v>40</v>
      </c>
      <c r="E20" s="3"/>
      <c r="F20" s="1">
        <v>437909.36</v>
      </c>
      <c r="G20" s="1"/>
      <c r="H20" s="1">
        <v>113313.21</v>
      </c>
      <c r="I20" s="1"/>
      <c r="J20" s="1">
        <v>79965.240000000005</v>
      </c>
      <c r="K20" s="1"/>
      <c r="L20" s="1">
        <v>146852.89000000001</v>
      </c>
      <c r="M20" s="1"/>
      <c r="N20" s="1">
        <v>0</v>
      </c>
      <c r="O20" s="1"/>
      <c r="P20" s="1">
        <v>10441.15</v>
      </c>
      <c r="Q20" s="1"/>
      <c r="R20" s="1">
        <v>2575.58</v>
      </c>
      <c r="S20" s="1"/>
      <c r="T20" s="1">
        <v>91149.53</v>
      </c>
      <c r="U20" s="1"/>
      <c r="V20" s="1">
        <v>0</v>
      </c>
      <c r="W20" s="1"/>
      <c r="X20" s="1">
        <v>0</v>
      </c>
      <c r="Y20" s="1"/>
      <c r="Z20" s="1">
        <v>160036</v>
      </c>
      <c r="AA20" s="1"/>
      <c r="AB20" s="1">
        <v>0</v>
      </c>
      <c r="AC20" s="1"/>
      <c r="AD20" s="1">
        <v>0</v>
      </c>
      <c r="AE20" s="4"/>
      <c r="AF20" s="4">
        <f t="shared" si="0"/>
        <v>1042242.96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4" customFormat="1">
      <c r="A21" s="4">
        <v>216</v>
      </c>
      <c r="B21" s="42" t="s">
        <v>434</v>
      </c>
      <c r="C21" s="42"/>
      <c r="D21" s="42" t="s">
        <v>22</v>
      </c>
      <c r="E21" s="42"/>
      <c r="F21" s="1">
        <v>12599184</v>
      </c>
      <c r="G21" s="1">
        <v>0</v>
      </c>
      <c r="H21" s="1">
        <v>3510405</v>
      </c>
      <c r="I21" s="1">
        <v>0</v>
      </c>
      <c r="J21" s="1">
        <v>4456347</v>
      </c>
      <c r="K21" s="1">
        <v>0</v>
      </c>
      <c r="L21" s="1">
        <v>3112557</v>
      </c>
      <c r="M21" s="1">
        <v>0</v>
      </c>
      <c r="N21" s="1">
        <v>0</v>
      </c>
      <c r="O21" s="1">
        <v>0</v>
      </c>
      <c r="P21" s="1">
        <v>528807</v>
      </c>
      <c r="Q21" s="1">
        <v>0</v>
      </c>
      <c r="R21" s="1">
        <v>160388</v>
      </c>
      <c r="S21" s="1">
        <v>0</v>
      </c>
      <c r="T21" s="1">
        <v>249646</v>
      </c>
      <c r="U21" s="1">
        <v>0</v>
      </c>
      <c r="V21" s="1">
        <v>3375000</v>
      </c>
      <c r="W21" s="1">
        <v>0</v>
      </c>
      <c r="X21" s="1">
        <v>2229345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5"/>
      <c r="AF21" s="4">
        <f t="shared" si="0"/>
        <v>30221679</v>
      </c>
    </row>
    <row r="22" spans="1:55" s="4" customFormat="1">
      <c r="A22" s="4">
        <v>131</v>
      </c>
      <c r="B22" s="4" t="s">
        <v>511</v>
      </c>
      <c r="D22" s="4" t="s">
        <v>41</v>
      </c>
      <c r="F22" s="1">
        <v>147542.59</v>
      </c>
      <c r="G22" s="1"/>
      <c r="H22" s="1">
        <v>23448.83</v>
      </c>
      <c r="I22" s="1"/>
      <c r="J22" s="1">
        <v>40537.440000000002</v>
      </c>
      <c r="K22" s="1"/>
      <c r="L22" s="1">
        <v>55841.88</v>
      </c>
      <c r="M22" s="1"/>
      <c r="N22" s="1">
        <v>0</v>
      </c>
      <c r="O22" s="1"/>
      <c r="P22" s="1">
        <v>7226.18</v>
      </c>
      <c r="Q22" s="1"/>
      <c r="R22" s="1">
        <v>3190.6</v>
      </c>
      <c r="S22" s="1"/>
      <c r="T22" s="1">
        <v>6323.72</v>
      </c>
      <c r="U22" s="1"/>
      <c r="V22" s="1">
        <v>0</v>
      </c>
      <c r="W22" s="1"/>
      <c r="X22" s="1">
        <v>0</v>
      </c>
      <c r="Y22" s="1"/>
      <c r="Z22" s="1">
        <v>0</v>
      </c>
      <c r="AA22" s="1"/>
      <c r="AB22" s="1">
        <v>0</v>
      </c>
      <c r="AC22" s="1"/>
      <c r="AD22" s="1">
        <v>0</v>
      </c>
      <c r="AF22" s="4">
        <f t="shared" si="0"/>
        <v>284111.23999999993</v>
      </c>
    </row>
    <row r="23" spans="1:55" s="4" customFormat="1">
      <c r="A23" s="4">
        <v>96</v>
      </c>
      <c r="B23" s="4" t="s">
        <v>75</v>
      </c>
      <c r="D23" s="4" t="s">
        <v>61</v>
      </c>
      <c r="F23" s="1">
        <v>29660.11</v>
      </c>
      <c r="G23" s="1"/>
      <c r="H23" s="1">
        <v>4729.7700000000004</v>
      </c>
      <c r="I23" s="1"/>
      <c r="J23" s="1">
        <v>14129.31</v>
      </c>
      <c r="K23" s="1"/>
      <c r="L23" s="1">
        <v>9523.92</v>
      </c>
      <c r="M23" s="1"/>
      <c r="N23" s="1">
        <v>0</v>
      </c>
      <c r="O23" s="1"/>
      <c r="P23" s="1">
        <v>5881.74</v>
      </c>
      <c r="Q23" s="1"/>
      <c r="R23" s="1">
        <v>1722.67</v>
      </c>
      <c r="S23" s="1"/>
      <c r="T23" s="1">
        <v>348.69</v>
      </c>
      <c r="U23" s="1"/>
      <c r="V23" s="1">
        <v>0</v>
      </c>
      <c r="W23" s="1"/>
      <c r="X23" s="1">
        <v>0</v>
      </c>
      <c r="Y23" s="1"/>
      <c r="Z23" s="1">
        <v>0</v>
      </c>
      <c r="AA23" s="1"/>
      <c r="AB23" s="1">
        <v>0</v>
      </c>
      <c r="AC23" s="1"/>
      <c r="AD23" s="1">
        <v>530</v>
      </c>
      <c r="AF23" s="4">
        <f t="shared" si="0"/>
        <v>66526.210000000006</v>
      </c>
    </row>
    <row r="24" spans="1:55" s="4" customFormat="1">
      <c r="A24" s="4">
        <v>140</v>
      </c>
      <c r="B24" s="4" t="s">
        <v>451</v>
      </c>
      <c r="D24" s="4" t="s">
        <v>57</v>
      </c>
      <c r="F24" s="1">
        <v>527080.66</v>
      </c>
      <c r="G24" s="1"/>
      <c r="H24" s="1">
        <v>116165.9</v>
      </c>
      <c r="I24" s="1"/>
      <c r="J24" s="1">
        <v>173175.84</v>
      </c>
      <c r="K24" s="1"/>
      <c r="L24" s="1">
        <v>210358.35</v>
      </c>
      <c r="M24" s="1"/>
      <c r="N24" s="1">
        <v>0</v>
      </c>
      <c r="O24" s="1"/>
      <c r="P24" s="1">
        <v>31991.53</v>
      </c>
      <c r="Q24" s="1"/>
      <c r="R24" s="1">
        <v>4992.1899999999996</v>
      </c>
      <c r="S24" s="1"/>
      <c r="T24" s="1">
        <v>31450.7</v>
      </c>
      <c r="U24" s="1"/>
      <c r="V24" s="1">
        <v>0</v>
      </c>
      <c r="W24" s="1"/>
      <c r="X24" s="1">
        <v>0</v>
      </c>
      <c r="Y24" s="1"/>
      <c r="Z24" s="1">
        <v>300000</v>
      </c>
      <c r="AA24" s="1"/>
      <c r="AB24" s="1">
        <v>0</v>
      </c>
      <c r="AC24" s="1"/>
      <c r="AD24" s="1">
        <v>0</v>
      </c>
      <c r="AF24" s="4">
        <f t="shared" si="0"/>
        <v>1395215.17</v>
      </c>
    </row>
    <row r="25" spans="1:55" s="4" customFormat="1">
      <c r="A25" s="4">
        <v>208</v>
      </c>
      <c r="B25" s="4" t="s">
        <v>77</v>
      </c>
      <c r="D25" s="4" t="s">
        <v>78</v>
      </c>
      <c r="F25" s="1">
        <v>652313</v>
      </c>
      <c r="G25" s="1">
        <v>0</v>
      </c>
      <c r="H25" s="1">
        <v>223167</v>
      </c>
      <c r="I25" s="1">
        <v>0</v>
      </c>
      <c r="J25" s="1">
        <v>247308</v>
      </c>
      <c r="K25" s="1">
        <v>0</v>
      </c>
      <c r="L25" s="1">
        <v>214273</v>
      </c>
      <c r="M25" s="1">
        <v>0</v>
      </c>
      <c r="N25" s="1">
        <v>0</v>
      </c>
      <c r="O25" s="1">
        <v>0</v>
      </c>
      <c r="P25" s="1">
        <v>41531</v>
      </c>
      <c r="Q25" s="1">
        <v>0</v>
      </c>
      <c r="R25" s="1">
        <v>42254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F25" s="4">
        <f t="shared" si="0"/>
        <v>1420846</v>
      </c>
    </row>
    <row r="26" spans="1:55" s="4" customFormat="1">
      <c r="A26" s="4">
        <v>8</v>
      </c>
      <c r="B26" s="4" t="s">
        <v>79</v>
      </c>
      <c r="D26" s="4" t="s">
        <v>43</v>
      </c>
      <c r="F26" s="1">
        <v>138818.46</v>
      </c>
      <c r="G26" s="1"/>
      <c r="H26" s="1">
        <v>53107.21</v>
      </c>
      <c r="I26" s="1"/>
      <c r="J26" s="1">
        <v>38322.36</v>
      </c>
      <c r="K26" s="1"/>
      <c r="L26" s="1">
        <v>18776.22</v>
      </c>
      <c r="M26" s="1"/>
      <c r="N26" s="1">
        <v>0</v>
      </c>
      <c r="O26" s="1"/>
      <c r="P26" s="1">
        <v>18769.47</v>
      </c>
      <c r="Q26" s="1"/>
      <c r="R26" s="1">
        <v>680</v>
      </c>
      <c r="S26" s="1"/>
      <c r="T26" s="1">
        <v>0</v>
      </c>
      <c r="U26" s="1"/>
      <c r="V26" s="1">
        <v>0</v>
      </c>
      <c r="W26" s="1"/>
      <c r="X26" s="1">
        <v>0</v>
      </c>
      <c r="Y26" s="1"/>
      <c r="Z26" s="1">
        <v>0</v>
      </c>
      <c r="AA26" s="1"/>
      <c r="AB26" s="1">
        <v>0</v>
      </c>
      <c r="AC26" s="1"/>
      <c r="AD26" s="1">
        <v>0</v>
      </c>
      <c r="AF26" s="4">
        <f t="shared" si="0"/>
        <v>268473.71999999997</v>
      </c>
    </row>
    <row r="27" spans="1:55" s="4" customFormat="1">
      <c r="A27" s="4">
        <v>58</v>
      </c>
      <c r="B27" s="4" t="s">
        <v>80</v>
      </c>
      <c r="D27" s="4" t="s">
        <v>81</v>
      </c>
      <c r="F27" s="1">
        <v>134897.22</v>
      </c>
      <c r="G27" s="1"/>
      <c r="H27" s="1">
        <v>21153.89</v>
      </c>
      <c r="I27" s="1"/>
      <c r="J27" s="1">
        <v>32401.62</v>
      </c>
      <c r="K27" s="1"/>
      <c r="L27" s="1">
        <v>45448.65</v>
      </c>
      <c r="M27" s="1"/>
      <c r="N27" s="1">
        <v>0</v>
      </c>
      <c r="O27" s="1"/>
      <c r="P27" s="1">
        <v>8407.93</v>
      </c>
      <c r="Q27" s="1"/>
      <c r="R27" s="1">
        <v>691</v>
      </c>
      <c r="S27" s="1"/>
      <c r="T27" s="1">
        <v>6393.32</v>
      </c>
      <c r="U27" s="1"/>
      <c r="V27" s="1">
        <v>0</v>
      </c>
      <c r="W27" s="1"/>
      <c r="X27" s="1">
        <v>0</v>
      </c>
      <c r="Y27" s="1"/>
      <c r="Z27" s="1">
        <v>0</v>
      </c>
      <c r="AA27" s="1"/>
      <c r="AB27" s="1">
        <v>0</v>
      </c>
      <c r="AC27" s="1"/>
      <c r="AD27" s="1">
        <v>0</v>
      </c>
      <c r="AF27" s="4">
        <f t="shared" si="0"/>
        <v>249393.62999999998</v>
      </c>
    </row>
    <row r="28" spans="1:55" s="4" customFormat="1">
      <c r="A28" s="4">
        <v>82</v>
      </c>
      <c r="B28" s="4" t="s">
        <v>298</v>
      </c>
      <c r="D28" s="4" t="s">
        <v>42</v>
      </c>
      <c r="F28" s="1">
        <v>170239.84</v>
      </c>
      <c r="G28" s="1"/>
      <c r="H28" s="1">
        <v>59031.99</v>
      </c>
      <c r="I28" s="1"/>
      <c r="J28" s="1">
        <v>60045.03</v>
      </c>
      <c r="K28" s="1"/>
      <c r="L28" s="1">
        <v>44682.68</v>
      </c>
      <c r="M28" s="1"/>
      <c r="N28" s="1">
        <v>0</v>
      </c>
      <c r="O28" s="1"/>
      <c r="P28" s="1">
        <v>8371.73</v>
      </c>
      <c r="Q28" s="1"/>
      <c r="R28" s="1">
        <v>817.99</v>
      </c>
      <c r="S28" s="1"/>
      <c r="T28" s="1">
        <v>16316.94</v>
      </c>
      <c r="U28" s="1"/>
      <c r="V28" s="1">
        <v>0</v>
      </c>
      <c r="W28" s="1"/>
      <c r="X28" s="1">
        <v>0</v>
      </c>
      <c r="Y28" s="1"/>
      <c r="Z28" s="1">
        <v>0</v>
      </c>
      <c r="AA28" s="1"/>
      <c r="AB28" s="1">
        <v>0</v>
      </c>
      <c r="AC28" s="1"/>
      <c r="AD28" s="1">
        <v>0</v>
      </c>
      <c r="AF28" s="4">
        <f t="shared" si="0"/>
        <v>359506.19999999995</v>
      </c>
    </row>
    <row r="29" spans="1:55" s="4" customFormat="1">
      <c r="A29" s="4">
        <v>6</v>
      </c>
      <c r="B29" s="4" t="s">
        <v>82</v>
      </c>
      <c r="D29" s="4" t="s">
        <v>83</v>
      </c>
      <c r="F29" s="1">
        <v>0</v>
      </c>
      <c r="G29" s="1">
        <v>0</v>
      </c>
      <c r="H29" s="1">
        <v>0</v>
      </c>
      <c r="I29" s="1">
        <v>0</v>
      </c>
      <c r="J29" s="1">
        <v>92571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>253207+25233+130372+214901+16834+2955+11820+111328+78272+50821+164593+110346</f>
        <v>1170682</v>
      </c>
      <c r="S29" s="1">
        <v>0</v>
      </c>
      <c r="T29" s="1">
        <v>109084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F29" s="4">
        <f t="shared" si="0"/>
        <v>1372337</v>
      </c>
    </row>
    <row r="30" spans="1:55" s="4" customFormat="1">
      <c r="A30" s="4">
        <v>9</v>
      </c>
      <c r="B30" s="4" t="s">
        <v>616</v>
      </c>
      <c r="D30" s="4" t="s">
        <v>43</v>
      </c>
      <c r="F30" s="1">
        <v>678457.18</v>
      </c>
      <c r="G30" s="1"/>
      <c r="H30" s="1">
        <v>240801.6</v>
      </c>
      <c r="I30" s="1"/>
      <c r="J30" s="1">
        <v>191806.74</v>
      </c>
      <c r="K30" s="1"/>
      <c r="L30" s="1">
        <v>116046.51</v>
      </c>
      <c r="M30" s="1"/>
      <c r="N30" s="1">
        <v>0</v>
      </c>
      <c r="O30" s="1"/>
      <c r="P30" s="1">
        <v>33709.31</v>
      </c>
      <c r="Q30" s="1"/>
      <c r="R30" s="1">
        <v>52772.62</v>
      </c>
      <c r="S30" s="1"/>
      <c r="T30" s="1">
        <v>76585.509999999995</v>
      </c>
      <c r="U30" s="1"/>
      <c r="V30" s="1">
        <v>16290</v>
      </c>
      <c r="W30" s="1"/>
      <c r="X30" s="1">
        <v>0</v>
      </c>
      <c r="Y30" s="1"/>
      <c r="Z30" s="1">
        <v>16290</v>
      </c>
      <c r="AA30" s="1"/>
      <c r="AB30" s="1">
        <v>0</v>
      </c>
      <c r="AC30" s="1"/>
      <c r="AD30" s="1">
        <v>0</v>
      </c>
      <c r="AF30" s="4">
        <f t="shared" si="0"/>
        <v>1422759.4700000002</v>
      </c>
    </row>
    <row r="31" spans="1:55" s="4" customFormat="1">
      <c r="A31" s="4">
        <v>17</v>
      </c>
      <c r="B31" s="4" t="s">
        <v>593</v>
      </c>
      <c r="D31" s="4" t="s">
        <v>44</v>
      </c>
      <c r="F31" s="1">
        <v>464317.55</v>
      </c>
      <c r="G31" s="1"/>
      <c r="H31" s="1">
        <v>123191.77</v>
      </c>
      <c r="I31" s="1"/>
      <c r="J31" s="1">
        <v>163312.89000000001</v>
      </c>
      <c r="K31" s="1"/>
      <c r="L31" s="1">
        <v>140942.75</v>
      </c>
      <c r="M31" s="1"/>
      <c r="N31" s="1">
        <v>0</v>
      </c>
      <c r="O31" s="1"/>
      <c r="P31" s="1">
        <v>27021.54</v>
      </c>
      <c r="Q31" s="1"/>
      <c r="R31" s="1">
        <v>7730.87</v>
      </c>
      <c r="S31" s="1"/>
      <c r="T31" s="1">
        <v>34018.129999999997</v>
      </c>
      <c r="U31" s="1"/>
      <c r="V31" s="1">
        <v>0</v>
      </c>
      <c r="W31" s="1"/>
      <c r="X31" s="1">
        <v>0</v>
      </c>
      <c r="Y31" s="1"/>
      <c r="Z31" s="1">
        <v>3701</v>
      </c>
      <c r="AA31" s="1"/>
      <c r="AB31" s="1">
        <v>0</v>
      </c>
      <c r="AC31" s="1"/>
      <c r="AD31" s="1">
        <v>0</v>
      </c>
      <c r="AF31" s="4">
        <f t="shared" si="0"/>
        <v>964236.5</v>
      </c>
    </row>
    <row r="32" spans="1:55" s="4" customFormat="1">
      <c r="A32" s="4">
        <v>141</v>
      </c>
      <c r="B32" s="4" t="s">
        <v>84</v>
      </c>
      <c r="D32" s="4" t="s">
        <v>57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2079367</v>
      </c>
      <c r="S32" s="1">
        <v>0</v>
      </c>
      <c r="T32" s="1">
        <v>63399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F32" s="4">
        <f t="shared" si="0"/>
        <v>2142766</v>
      </c>
    </row>
    <row r="33" spans="1:55" s="4" customFormat="1">
      <c r="A33" s="4">
        <v>217</v>
      </c>
      <c r="B33" s="4" t="s">
        <v>357</v>
      </c>
      <c r="D33" s="4" t="s">
        <v>22</v>
      </c>
      <c r="F33" s="1">
        <v>588018.23</v>
      </c>
      <c r="G33" s="1"/>
      <c r="H33" s="1">
        <v>145551.29</v>
      </c>
      <c r="I33" s="1"/>
      <c r="J33" s="1">
        <v>226326.89</v>
      </c>
      <c r="K33" s="1"/>
      <c r="L33" s="1">
        <v>140008.99</v>
      </c>
      <c r="M33" s="1"/>
      <c r="N33" s="1">
        <v>0</v>
      </c>
      <c r="O33" s="1"/>
      <c r="P33" s="1">
        <v>26396.75</v>
      </c>
      <c r="Q33" s="1"/>
      <c r="R33" s="1">
        <v>5824.56</v>
      </c>
      <c r="S33" s="1"/>
      <c r="T33" s="1">
        <v>216059.26</v>
      </c>
      <c r="U33" s="1"/>
      <c r="V33" s="1">
        <v>0</v>
      </c>
      <c r="W33" s="1"/>
      <c r="X33" s="1">
        <v>0</v>
      </c>
      <c r="Y33" s="1"/>
      <c r="Z33" s="1">
        <v>70742</v>
      </c>
      <c r="AA33" s="1"/>
      <c r="AB33" s="1">
        <v>0</v>
      </c>
      <c r="AC33" s="1"/>
      <c r="AD33" s="1">
        <v>0</v>
      </c>
      <c r="AF33" s="4">
        <f t="shared" si="0"/>
        <v>1418927.97</v>
      </c>
    </row>
    <row r="34" spans="1:55" s="4" customFormat="1">
      <c r="A34" s="4">
        <v>19</v>
      </c>
      <c r="B34" s="4" t="s">
        <v>21</v>
      </c>
      <c r="D34" s="4" t="s">
        <v>13</v>
      </c>
      <c r="F34" s="1">
        <v>259433</v>
      </c>
      <c r="G34" s="1">
        <v>0</v>
      </c>
      <c r="H34" s="1">
        <v>0</v>
      </c>
      <c r="I34" s="1">
        <v>0</v>
      </c>
      <c r="J34" s="1">
        <v>71702</v>
      </c>
      <c r="K34" s="1">
        <v>0</v>
      </c>
      <c r="L34" s="1">
        <v>46683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2490</v>
      </c>
      <c r="S34" s="1">
        <v>0</v>
      </c>
      <c r="T34" s="1">
        <v>9243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70000</v>
      </c>
      <c r="AA34" s="1">
        <v>0</v>
      </c>
      <c r="AB34" s="1">
        <v>0</v>
      </c>
      <c r="AC34" s="1">
        <v>0</v>
      </c>
      <c r="AD34" s="1">
        <v>0</v>
      </c>
      <c r="AF34" s="4">
        <f t="shared" si="0"/>
        <v>459551</v>
      </c>
    </row>
    <row r="35" spans="1:55" s="4" customFormat="1">
      <c r="A35" s="4">
        <v>20</v>
      </c>
      <c r="B35" s="4" t="s">
        <v>85</v>
      </c>
      <c r="D35" s="4" t="s">
        <v>13</v>
      </c>
      <c r="F35" s="1">
        <v>199736.34</v>
      </c>
      <c r="G35" s="1"/>
      <c r="H35" s="1">
        <v>100323.1</v>
      </c>
      <c r="I35" s="1"/>
      <c r="J35" s="1">
        <v>57342.47</v>
      </c>
      <c r="K35" s="1"/>
      <c r="L35" s="1">
        <v>66506.649999999994</v>
      </c>
      <c r="M35" s="1"/>
      <c r="N35" s="1">
        <v>0</v>
      </c>
      <c r="O35" s="1"/>
      <c r="P35" s="1">
        <v>15845.07</v>
      </c>
      <c r="Q35" s="1"/>
      <c r="R35" s="1">
        <v>10185</v>
      </c>
      <c r="S35" s="1"/>
      <c r="T35" s="1">
        <v>6358.49</v>
      </c>
      <c r="U35" s="1"/>
      <c r="V35" s="1">
        <v>0</v>
      </c>
      <c r="W35" s="1"/>
      <c r="X35" s="1">
        <v>0</v>
      </c>
      <c r="Y35" s="1"/>
      <c r="Z35" s="1">
        <v>0</v>
      </c>
      <c r="AA35" s="1"/>
      <c r="AB35" s="1">
        <v>0</v>
      </c>
      <c r="AC35" s="1"/>
      <c r="AD35" s="1">
        <v>408</v>
      </c>
      <c r="AF35" s="4">
        <f t="shared" si="0"/>
        <v>456705.12000000005</v>
      </c>
    </row>
    <row r="36" spans="1:55" s="4" customFormat="1">
      <c r="A36" s="4">
        <v>137</v>
      </c>
      <c r="B36" s="4" t="s">
        <v>86</v>
      </c>
      <c r="D36" s="4" t="s">
        <v>87</v>
      </c>
      <c r="F36" s="1">
        <v>24161</v>
      </c>
      <c r="G36" s="1">
        <v>0</v>
      </c>
      <c r="H36" s="1">
        <v>6382</v>
      </c>
      <c r="I36" s="1">
        <v>0</v>
      </c>
      <c r="J36" s="1">
        <v>14982</v>
      </c>
      <c r="K36" s="1">
        <v>0</v>
      </c>
      <c r="L36" s="1">
        <v>10184</v>
      </c>
      <c r="M36" s="1">
        <v>0</v>
      </c>
      <c r="N36" s="1">
        <v>0</v>
      </c>
      <c r="O36" s="1">
        <v>0</v>
      </c>
      <c r="P36" s="1">
        <v>5112</v>
      </c>
      <c r="Q36" s="1">
        <v>0</v>
      </c>
      <c r="R36" s="1">
        <v>219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F36" s="4">
        <f t="shared" si="0"/>
        <v>61040</v>
      </c>
    </row>
    <row r="37" spans="1:55" s="4" customFormat="1">
      <c r="A37" s="4">
        <v>110</v>
      </c>
      <c r="B37" s="4" t="s">
        <v>88</v>
      </c>
      <c r="D37" s="4" t="s">
        <v>89</v>
      </c>
      <c r="F37" s="1">
        <v>0</v>
      </c>
      <c r="G37" s="1">
        <v>0</v>
      </c>
      <c r="H37" s="1">
        <v>0</v>
      </c>
      <c r="I37" s="1">
        <v>0</v>
      </c>
      <c r="J37" s="1">
        <v>90264</v>
      </c>
      <c r="K37" s="1">
        <v>0</v>
      </c>
      <c r="L37" s="1">
        <v>704355</v>
      </c>
      <c r="M37" s="1">
        <v>0</v>
      </c>
      <c r="N37" s="1">
        <v>67231</v>
      </c>
      <c r="O37" s="1">
        <v>0</v>
      </c>
      <c r="P37" s="1">
        <v>0</v>
      </c>
      <c r="Q37" s="1">
        <v>0</v>
      </c>
      <c r="R37" s="1">
        <v>5509</v>
      </c>
      <c r="S37" s="1">
        <v>0</v>
      </c>
      <c r="T37" s="1">
        <v>4416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F37" s="4">
        <f t="shared" si="0"/>
        <v>871775</v>
      </c>
    </row>
    <row r="38" spans="1:55" s="4" customFormat="1">
      <c r="A38" s="4">
        <v>203</v>
      </c>
      <c r="B38" s="4" t="s">
        <v>90</v>
      </c>
      <c r="D38" s="4" t="s">
        <v>45</v>
      </c>
      <c r="F38" s="1">
        <v>47005</v>
      </c>
      <c r="G38" s="1">
        <v>0</v>
      </c>
      <c r="H38" s="1">
        <v>5776</v>
      </c>
      <c r="I38" s="1">
        <v>0</v>
      </c>
      <c r="J38" s="1">
        <v>17391</v>
      </c>
      <c r="K38" s="1">
        <v>0</v>
      </c>
      <c r="L38" s="1">
        <v>27023</v>
      </c>
      <c r="M38" s="1">
        <v>0</v>
      </c>
      <c r="N38" s="1">
        <v>0</v>
      </c>
      <c r="O38" s="1">
        <v>0</v>
      </c>
      <c r="P38" s="1">
        <v>5248</v>
      </c>
      <c r="Q38" s="1">
        <v>0</v>
      </c>
      <c r="R38" s="1">
        <v>431</v>
      </c>
      <c r="S38" s="1">
        <v>0</v>
      </c>
      <c r="T38" s="1">
        <v>5655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15000</v>
      </c>
      <c r="AA38" s="1">
        <v>0</v>
      </c>
      <c r="AB38" s="1">
        <v>0</v>
      </c>
      <c r="AC38" s="1">
        <v>0</v>
      </c>
      <c r="AD38" s="1">
        <v>0</v>
      </c>
      <c r="AF38" s="4">
        <f t="shared" si="0"/>
        <v>123529</v>
      </c>
    </row>
    <row r="39" spans="1:55" s="4" customFormat="1">
      <c r="A39" s="4">
        <v>74</v>
      </c>
      <c r="B39" s="4" t="s">
        <v>299</v>
      </c>
      <c r="D39" s="4" t="s">
        <v>92</v>
      </c>
      <c r="F39" s="1">
        <v>1001869.27</v>
      </c>
      <c r="G39" s="1">
        <v>0</v>
      </c>
      <c r="H39" s="1">
        <v>333478.26</v>
      </c>
      <c r="I39" s="1">
        <v>0</v>
      </c>
      <c r="J39" s="1">
        <v>248594.45</v>
      </c>
      <c r="K39" s="1">
        <v>0</v>
      </c>
      <c r="L39" s="1">
        <v>270508.63</v>
      </c>
      <c r="M39" s="1">
        <v>0</v>
      </c>
      <c r="N39" s="1">
        <v>0</v>
      </c>
      <c r="O39" s="1">
        <v>0</v>
      </c>
      <c r="P39" s="1">
        <v>60035.040000000001</v>
      </c>
      <c r="Q39" s="1">
        <v>0</v>
      </c>
      <c r="R39" s="1">
        <v>4520.51</v>
      </c>
      <c r="S39" s="1">
        <v>0</v>
      </c>
      <c r="T39" s="1">
        <v>77253.440000000002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F39" s="4">
        <f t="shared" si="0"/>
        <v>1996259.5999999999</v>
      </c>
    </row>
    <row r="40" spans="1:55" s="4" customFormat="1">
      <c r="A40" s="4">
        <v>200</v>
      </c>
      <c r="B40" s="4" t="s">
        <v>93</v>
      </c>
      <c r="D40" s="4" t="s">
        <v>94</v>
      </c>
      <c r="F40" s="1">
        <v>1046949</v>
      </c>
      <c r="G40" s="1">
        <v>0</v>
      </c>
      <c r="H40" s="1">
        <v>313685</v>
      </c>
      <c r="I40" s="1">
        <v>0</v>
      </c>
      <c r="J40" s="1">
        <v>183341</v>
      </c>
      <c r="K40" s="1">
        <v>0</v>
      </c>
      <c r="L40" s="1">
        <v>237458</v>
      </c>
      <c r="M40" s="1">
        <v>0</v>
      </c>
      <c r="N40" s="1">
        <v>0</v>
      </c>
      <c r="O40" s="1">
        <v>0</v>
      </c>
      <c r="P40" s="1">
        <v>30772</v>
      </c>
      <c r="Q40" s="1">
        <v>0</v>
      </c>
      <c r="R40" s="1">
        <v>5756</v>
      </c>
      <c r="S40" s="1">
        <v>0</v>
      </c>
      <c r="T40" s="1">
        <v>35039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2696</v>
      </c>
      <c r="AA40" s="1">
        <v>0</v>
      </c>
      <c r="AB40" s="1">
        <v>4400</v>
      </c>
      <c r="AC40" s="1">
        <v>0</v>
      </c>
      <c r="AD40" s="1">
        <v>0</v>
      </c>
      <c r="AF40" s="4">
        <f t="shared" ref="AF40:AF72" si="1">SUM(F40:AD40)</f>
        <v>1860096</v>
      </c>
    </row>
    <row r="41" spans="1:55" s="4" customFormat="1">
      <c r="A41" s="4">
        <v>35</v>
      </c>
      <c r="B41" s="4" t="s">
        <v>95</v>
      </c>
      <c r="D41" s="4" t="s">
        <v>69</v>
      </c>
      <c r="F41" s="1">
        <v>0</v>
      </c>
      <c r="G41" s="1">
        <v>0</v>
      </c>
      <c r="H41" s="1">
        <v>0</v>
      </c>
      <c r="I41" s="1">
        <v>0</v>
      </c>
      <c r="J41" s="1">
        <v>21471</v>
      </c>
      <c r="K41" s="1">
        <v>0</v>
      </c>
      <c r="L41" s="1">
        <v>2753</v>
      </c>
      <c r="M41" s="1">
        <v>0</v>
      </c>
      <c r="N41" s="1">
        <v>35103</v>
      </c>
      <c r="O41" s="1">
        <v>0</v>
      </c>
      <c r="P41" s="1">
        <v>0</v>
      </c>
      <c r="Q41" s="1">
        <v>0</v>
      </c>
      <c r="R41" s="1">
        <f>87038+412716</f>
        <v>499754</v>
      </c>
      <c r="S41" s="1">
        <v>0</v>
      </c>
      <c r="T41" s="1">
        <v>0</v>
      </c>
      <c r="U41" s="1">
        <v>0</v>
      </c>
      <c r="V41" s="1">
        <v>6312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F41" s="4">
        <f t="shared" si="1"/>
        <v>565393</v>
      </c>
    </row>
    <row r="42" spans="1:55" s="4" customFormat="1">
      <c r="A42" s="4">
        <v>204</v>
      </c>
      <c r="B42" s="4" t="s">
        <v>96</v>
      </c>
      <c r="D42" s="4" t="s">
        <v>45</v>
      </c>
      <c r="F42" s="1">
        <v>64631.1</v>
      </c>
      <c r="G42" s="1"/>
      <c r="H42" s="1">
        <v>10049.780000000001</v>
      </c>
      <c r="I42" s="1"/>
      <c r="J42" s="1">
        <v>14742.14</v>
      </c>
      <c r="K42" s="1"/>
      <c r="L42" s="1">
        <v>20618.5</v>
      </c>
      <c r="M42" s="1"/>
      <c r="N42" s="1">
        <v>0</v>
      </c>
      <c r="O42" s="1"/>
      <c r="P42" s="1">
        <v>4493.5200000000004</v>
      </c>
      <c r="Q42" s="1"/>
      <c r="R42" s="1">
        <v>8185.5</v>
      </c>
      <c r="S42" s="1"/>
      <c r="T42" s="1">
        <v>57134.69</v>
      </c>
      <c r="U42" s="1"/>
      <c r="V42" s="1">
        <v>0</v>
      </c>
      <c r="W42" s="1"/>
      <c r="X42" s="1">
        <v>0</v>
      </c>
      <c r="Y42" s="1"/>
      <c r="Z42" s="1">
        <v>6272</v>
      </c>
      <c r="AA42" s="1"/>
      <c r="AB42" s="1">
        <v>0</v>
      </c>
      <c r="AC42" s="1"/>
      <c r="AD42" s="1">
        <v>1848</v>
      </c>
      <c r="AF42" s="4">
        <f t="shared" si="1"/>
        <v>187975.23</v>
      </c>
    </row>
    <row r="43" spans="1:55" s="4" customFormat="1">
      <c r="A43" s="4">
        <v>3</v>
      </c>
      <c r="B43" s="4" t="s">
        <v>300</v>
      </c>
      <c r="D43" s="4" t="s">
        <v>97</v>
      </c>
      <c r="F43" s="1">
        <v>160415.79999999999</v>
      </c>
      <c r="G43" s="1"/>
      <c r="H43" s="1">
        <v>50717.48</v>
      </c>
      <c r="I43" s="1"/>
      <c r="J43" s="1">
        <v>59208.36</v>
      </c>
      <c r="K43" s="1"/>
      <c r="L43" s="1">
        <v>31108.17</v>
      </c>
      <c r="M43" s="1"/>
      <c r="N43" s="1">
        <v>0</v>
      </c>
      <c r="O43" s="1"/>
      <c r="P43" s="1">
        <v>6800.03</v>
      </c>
      <c r="Q43" s="1"/>
      <c r="R43" s="1">
        <v>3389.25</v>
      </c>
      <c r="S43" s="1"/>
      <c r="T43" s="1">
        <v>521.82000000000005</v>
      </c>
      <c r="U43" s="1"/>
      <c r="V43" s="1">
        <v>0</v>
      </c>
      <c r="W43" s="1"/>
      <c r="X43" s="1">
        <v>0</v>
      </c>
      <c r="Y43" s="1"/>
      <c r="Z43" s="1">
        <v>0</v>
      </c>
      <c r="AA43" s="1"/>
      <c r="AB43" s="1">
        <v>0</v>
      </c>
      <c r="AC43" s="1"/>
      <c r="AD43" s="1">
        <v>0</v>
      </c>
      <c r="AF43" s="4">
        <f t="shared" si="1"/>
        <v>312160.91000000003</v>
      </c>
    </row>
    <row r="44" spans="1:55" s="14" customFormat="1">
      <c r="A44" s="4">
        <v>101</v>
      </c>
      <c r="B44" s="4" t="s">
        <v>98</v>
      </c>
      <c r="C44" s="4"/>
      <c r="D44" s="4" t="s">
        <v>46</v>
      </c>
      <c r="E44" s="4"/>
      <c r="F44" s="1">
        <v>93697.17</v>
      </c>
      <c r="G44" s="1"/>
      <c r="H44" s="1">
        <v>24058.65</v>
      </c>
      <c r="I44" s="1"/>
      <c r="J44" s="1">
        <v>36177.69</v>
      </c>
      <c r="K44" s="1"/>
      <c r="L44" s="1">
        <v>20784.080000000002</v>
      </c>
      <c r="M44" s="1"/>
      <c r="N44" s="1">
        <v>0</v>
      </c>
      <c r="O44" s="1"/>
      <c r="P44" s="1">
        <v>4401.1499999999996</v>
      </c>
      <c r="Q44" s="1"/>
      <c r="R44" s="1">
        <v>1148</v>
      </c>
      <c r="S44" s="1"/>
      <c r="T44" s="1">
        <v>1257.3900000000001</v>
      </c>
      <c r="U44" s="1"/>
      <c r="V44" s="1">
        <v>0</v>
      </c>
      <c r="W44" s="1"/>
      <c r="X44" s="1">
        <v>0</v>
      </c>
      <c r="Y44" s="1"/>
      <c r="Z44" s="1">
        <v>0</v>
      </c>
      <c r="AA44" s="1"/>
      <c r="AB44" s="1">
        <v>0</v>
      </c>
      <c r="AC44" s="1"/>
      <c r="AD44" s="1">
        <v>0</v>
      </c>
      <c r="AE44" s="4"/>
      <c r="AF44" s="4">
        <f t="shared" si="1"/>
        <v>181524.13000000003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4" customFormat="1">
      <c r="A45" s="4">
        <v>162</v>
      </c>
      <c r="B45" s="4" t="s">
        <v>99</v>
      </c>
      <c r="D45" s="4" t="s">
        <v>53</v>
      </c>
      <c r="F45" s="1">
        <v>64613.77</v>
      </c>
      <c r="G45" s="1"/>
      <c r="H45" s="1">
        <v>14844.77</v>
      </c>
      <c r="I45" s="1"/>
      <c r="J45" s="1">
        <v>34906.11</v>
      </c>
      <c r="K45" s="1"/>
      <c r="L45" s="1">
        <v>18884.060000000001</v>
      </c>
      <c r="M45" s="1"/>
      <c r="N45" s="1">
        <v>0</v>
      </c>
      <c r="O45" s="1"/>
      <c r="P45" s="1">
        <v>7655.49</v>
      </c>
      <c r="Q45" s="1"/>
      <c r="R45" s="1">
        <v>1102.68</v>
      </c>
      <c r="S45" s="1"/>
      <c r="T45" s="1">
        <v>7538.78</v>
      </c>
      <c r="U45" s="1"/>
      <c r="V45" s="1">
        <v>0</v>
      </c>
      <c r="W45" s="1"/>
      <c r="X45" s="1">
        <v>0</v>
      </c>
      <c r="Y45" s="1"/>
      <c r="Z45" s="1">
        <v>0</v>
      </c>
      <c r="AA45" s="1"/>
      <c r="AB45" s="1">
        <v>0</v>
      </c>
      <c r="AC45" s="1"/>
      <c r="AD45" s="1">
        <v>0</v>
      </c>
      <c r="AF45" s="4">
        <f t="shared" si="1"/>
        <v>149545.65999999997</v>
      </c>
    </row>
    <row r="46" spans="1:55" s="4" customFormat="1">
      <c r="A46" s="39">
        <v>130.1</v>
      </c>
      <c r="B46" s="4" t="s">
        <v>581</v>
      </c>
      <c r="D46" s="4" t="s">
        <v>582</v>
      </c>
      <c r="F46" s="1">
        <v>1016086</v>
      </c>
      <c r="G46" s="1">
        <v>0</v>
      </c>
      <c r="H46" s="1">
        <v>409702</v>
      </c>
      <c r="I46" s="1">
        <v>0</v>
      </c>
      <c r="J46" s="1">
        <v>175140</v>
      </c>
      <c r="K46" s="1">
        <v>0</v>
      </c>
      <c r="L46" s="1">
        <v>114613</v>
      </c>
      <c r="M46" s="1">
        <v>0</v>
      </c>
      <c r="N46" s="1">
        <v>0</v>
      </c>
      <c r="O46" s="1">
        <v>0</v>
      </c>
      <c r="P46" s="1">
        <v>28046</v>
      </c>
      <c r="Q46" s="1">
        <v>0</v>
      </c>
      <c r="R46" s="1">
        <v>5052</v>
      </c>
      <c r="S46" s="1">
        <v>0</v>
      </c>
      <c r="T46" s="1">
        <v>12045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F46" s="4">
        <f t="shared" si="1"/>
        <v>1760684</v>
      </c>
    </row>
    <row r="47" spans="1:55" s="4" customFormat="1">
      <c r="A47" s="4">
        <v>223</v>
      </c>
      <c r="B47" s="4" t="s">
        <v>500</v>
      </c>
      <c r="D47" s="4" t="s">
        <v>56</v>
      </c>
      <c r="F47" s="1">
        <v>151968.51999999999</v>
      </c>
      <c r="G47" s="1"/>
      <c r="H47" s="1">
        <v>40234.67</v>
      </c>
      <c r="I47" s="1"/>
      <c r="J47" s="1">
        <v>31999.33</v>
      </c>
      <c r="K47" s="1"/>
      <c r="L47" s="1">
        <v>70610.12</v>
      </c>
      <c r="M47" s="1"/>
      <c r="N47" s="1">
        <v>0</v>
      </c>
      <c r="O47" s="1"/>
      <c r="P47" s="1">
        <v>6898.45</v>
      </c>
      <c r="Q47" s="1"/>
      <c r="R47" s="1">
        <v>6920.49</v>
      </c>
      <c r="S47" s="1"/>
      <c r="T47" s="1">
        <v>3780.34</v>
      </c>
      <c r="U47" s="1"/>
      <c r="V47" s="1">
        <v>0</v>
      </c>
      <c r="W47" s="1"/>
      <c r="X47" s="1">
        <v>0</v>
      </c>
      <c r="Y47" s="1"/>
      <c r="Z47" s="1">
        <v>0</v>
      </c>
      <c r="AA47" s="1"/>
      <c r="AB47" s="1">
        <v>0</v>
      </c>
      <c r="AC47" s="1"/>
      <c r="AD47" s="1">
        <v>0</v>
      </c>
      <c r="AF47" s="4">
        <f t="shared" si="1"/>
        <v>312411.92000000004</v>
      </c>
    </row>
    <row r="48" spans="1:55" s="4" customFormat="1">
      <c r="A48" s="4">
        <v>23</v>
      </c>
      <c r="B48" s="4" t="s">
        <v>475</v>
      </c>
      <c r="D48" s="4" t="s">
        <v>47</v>
      </c>
      <c r="F48" s="1">
        <v>488668.36</v>
      </c>
      <c r="G48" s="1"/>
      <c r="H48" s="1">
        <v>115361.34</v>
      </c>
      <c r="I48" s="1"/>
      <c r="J48" s="1">
        <v>189206.29</v>
      </c>
      <c r="K48" s="1"/>
      <c r="L48" s="1">
        <v>170904.35</v>
      </c>
      <c r="M48" s="1"/>
      <c r="N48" s="1">
        <v>0</v>
      </c>
      <c r="O48" s="1"/>
      <c r="P48" s="1">
        <v>18770.02</v>
      </c>
      <c r="Q48" s="1"/>
      <c r="R48" s="1">
        <v>69.95</v>
      </c>
      <c r="S48" s="1"/>
      <c r="T48" s="1">
        <v>49014.67</v>
      </c>
      <c r="U48" s="1"/>
      <c r="V48" s="1">
        <v>0</v>
      </c>
      <c r="W48" s="1"/>
      <c r="X48" s="1">
        <v>0</v>
      </c>
      <c r="Y48" s="1"/>
      <c r="Z48" s="1">
        <v>30000</v>
      </c>
      <c r="AA48" s="1"/>
      <c r="AB48" s="1">
        <v>7500</v>
      </c>
      <c r="AC48" s="1"/>
      <c r="AD48" s="1">
        <v>0</v>
      </c>
      <c r="AF48" s="4">
        <f t="shared" si="1"/>
        <v>1069494.98</v>
      </c>
    </row>
    <row r="49" spans="1:32" s="4" customFormat="1">
      <c r="A49" s="4">
        <v>194</v>
      </c>
      <c r="B49" s="4" t="s">
        <v>101</v>
      </c>
      <c r="D49" s="4" t="s">
        <v>102</v>
      </c>
      <c r="F49" s="1">
        <v>53703.03</v>
      </c>
      <c r="G49" s="1">
        <v>0</v>
      </c>
      <c r="H49" s="1">
        <v>7329.1</v>
      </c>
      <c r="I49" s="1">
        <v>0</v>
      </c>
      <c r="J49" s="1">
        <v>27536.67</v>
      </c>
      <c r="K49" s="1">
        <v>0</v>
      </c>
      <c r="L49" s="1">
        <v>7327.91</v>
      </c>
      <c r="M49" s="1">
        <v>0</v>
      </c>
      <c r="N49" s="1">
        <v>0</v>
      </c>
      <c r="O49" s="1">
        <v>0</v>
      </c>
      <c r="P49" s="1">
        <v>2345.4</v>
      </c>
      <c r="Q49" s="1">
        <v>0</v>
      </c>
      <c r="R49" s="1">
        <v>579.49</v>
      </c>
      <c r="S49" s="1">
        <v>0</v>
      </c>
      <c r="T49" s="1">
        <v>1309.22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F49" s="4">
        <f t="shared" si="1"/>
        <v>100130.81999999999</v>
      </c>
    </row>
    <row r="50" spans="1:32" s="4" customFormat="1">
      <c r="A50" s="4">
        <v>46</v>
      </c>
      <c r="B50" s="4" t="s">
        <v>103</v>
      </c>
      <c r="D50" s="4" t="s">
        <v>52</v>
      </c>
      <c r="F50" s="1">
        <v>295934.82</v>
      </c>
      <c r="G50" s="1">
        <v>0</v>
      </c>
      <c r="H50" s="1">
        <v>0</v>
      </c>
      <c r="I50" s="1">
        <v>0</v>
      </c>
      <c r="J50" s="1">
        <v>122534.82</v>
      </c>
      <c r="K50" s="1">
        <v>0</v>
      </c>
      <c r="L50" s="1">
        <v>37374.980000000003</v>
      </c>
      <c r="M50" s="1">
        <v>0</v>
      </c>
      <c r="N50" s="1">
        <v>0</v>
      </c>
      <c r="O50" s="1">
        <v>0</v>
      </c>
      <c r="P50" s="1">
        <v>19031.87</v>
      </c>
      <c r="Q50" s="1">
        <v>0</v>
      </c>
      <c r="R50" s="1">
        <v>4065.84</v>
      </c>
      <c r="S50" s="1">
        <v>0</v>
      </c>
      <c r="T50" s="1">
        <v>8565.0499999999993</v>
      </c>
      <c r="U50" s="1">
        <v>0</v>
      </c>
      <c r="V50" s="1">
        <v>62544.67</v>
      </c>
      <c r="W50" s="1">
        <v>0</v>
      </c>
      <c r="X50" s="1">
        <v>8358.58</v>
      </c>
      <c r="Y50" s="1">
        <v>0</v>
      </c>
      <c r="Z50" s="1">
        <v>264389.17</v>
      </c>
      <c r="AA50" s="1">
        <v>0</v>
      </c>
      <c r="AB50" s="1">
        <v>0</v>
      </c>
      <c r="AC50" s="1">
        <v>0</v>
      </c>
      <c r="AD50" s="1">
        <v>0</v>
      </c>
      <c r="AF50" s="4">
        <f t="shared" si="1"/>
        <v>822799.8</v>
      </c>
    </row>
    <row r="51" spans="1:32" s="4" customFormat="1">
      <c r="A51" s="4">
        <v>89</v>
      </c>
      <c r="B51" s="4" t="s">
        <v>104</v>
      </c>
      <c r="D51" s="4" t="s">
        <v>17</v>
      </c>
      <c r="F51" s="1">
        <v>373782.37</v>
      </c>
      <c r="G51" s="1"/>
      <c r="H51" s="1">
        <v>81526.179999999993</v>
      </c>
      <c r="I51" s="1"/>
      <c r="J51" s="1">
        <v>108622.6</v>
      </c>
      <c r="K51" s="1"/>
      <c r="L51" s="1">
        <v>103503.96</v>
      </c>
      <c r="M51" s="1"/>
      <c r="N51" s="1">
        <v>0</v>
      </c>
      <c r="O51" s="1"/>
      <c r="P51" s="1">
        <v>23052.18</v>
      </c>
      <c r="Q51" s="1"/>
      <c r="R51" s="1">
        <v>7774.84</v>
      </c>
      <c r="S51" s="1"/>
      <c r="T51" s="1">
        <v>14568.29</v>
      </c>
      <c r="U51" s="1"/>
      <c r="V51" s="1">
        <v>15000</v>
      </c>
      <c r="W51" s="1"/>
      <c r="X51" s="1">
        <v>2079</v>
      </c>
      <c r="Y51" s="1"/>
      <c r="Z51" s="1">
        <v>0</v>
      </c>
      <c r="AA51" s="1"/>
      <c r="AB51" s="1">
        <v>0</v>
      </c>
      <c r="AC51" s="1"/>
      <c r="AD51" s="1">
        <v>0</v>
      </c>
      <c r="AF51" s="4">
        <f t="shared" si="1"/>
        <v>729909.42</v>
      </c>
    </row>
    <row r="52" spans="1:32" s="4" customFormat="1">
      <c r="A52" s="4">
        <v>179</v>
      </c>
      <c r="B52" s="4" t="s">
        <v>105</v>
      </c>
      <c r="D52" s="4" t="s">
        <v>106</v>
      </c>
      <c r="F52" s="1">
        <v>220542.54</v>
      </c>
      <c r="G52" s="1"/>
      <c r="H52" s="1">
        <v>64496.99</v>
      </c>
      <c r="I52" s="1"/>
      <c r="J52" s="1">
        <v>50613.27</v>
      </c>
      <c r="K52" s="1"/>
      <c r="L52" s="1">
        <v>24509</v>
      </c>
      <c r="M52" s="1"/>
      <c r="N52" s="1">
        <v>0</v>
      </c>
      <c r="O52" s="1"/>
      <c r="P52" s="1">
        <v>1621.57</v>
      </c>
      <c r="Q52" s="1"/>
      <c r="R52" s="1">
        <v>1179.68</v>
      </c>
      <c r="S52" s="1"/>
      <c r="T52" s="1">
        <v>8999.16</v>
      </c>
      <c r="U52" s="1"/>
      <c r="V52" s="1">
        <v>0</v>
      </c>
      <c r="W52" s="1"/>
      <c r="X52" s="1">
        <v>0</v>
      </c>
      <c r="Y52" s="1"/>
      <c r="Z52" s="1">
        <v>0</v>
      </c>
      <c r="AA52" s="1"/>
      <c r="AB52" s="1">
        <v>0</v>
      </c>
      <c r="AC52" s="1"/>
      <c r="AD52" s="1">
        <v>0</v>
      </c>
      <c r="AF52" s="4">
        <f t="shared" si="1"/>
        <v>371962.21</v>
      </c>
    </row>
    <row r="53" spans="1:32" s="4" customFormat="1">
      <c r="A53" s="4">
        <v>209</v>
      </c>
      <c r="B53" s="4" t="s">
        <v>107</v>
      </c>
      <c r="D53" s="4" t="s">
        <v>25</v>
      </c>
      <c r="F53" s="1">
        <v>416523.73</v>
      </c>
      <c r="G53" s="1"/>
      <c r="H53" s="1">
        <v>97620.33</v>
      </c>
      <c r="I53" s="1"/>
      <c r="J53" s="1">
        <v>130354.99</v>
      </c>
      <c r="K53" s="1"/>
      <c r="L53" s="1">
        <v>106153.42</v>
      </c>
      <c r="M53" s="1"/>
      <c r="N53" s="1">
        <v>0</v>
      </c>
      <c r="O53" s="1"/>
      <c r="P53" s="1">
        <v>7948.13</v>
      </c>
      <c r="Q53" s="1"/>
      <c r="R53" s="1">
        <v>2131.06</v>
      </c>
      <c r="S53" s="1"/>
      <c r="T53" s="1">
        <v>15559.89</v>
      </c>
      <c r="U53" s="1"/>
      <c r="V53" s="1">
        <v>0</v>
      </c>
      <c r="W53" s="1"/>
      <c r="X53" s="1">
        <v>0</v>
      </c>
      <c r="Y53" s="1"/>
      <c r="Z53" s="1">
        <v>0</v>
      </c>
      <c r="AA53" s="1"/>
      <c r="AB53" s="1">
        <v>0</v>
      </c>
      <c r="AC53" s="1"/>
      <c r="AD53" s="1">
        <v>0</v>
      </c>
      <c r="AF53" s="4">
        <f t="shared" si="1"/>
        <v>776291.55000000016</v>
      </c>
    </row>
    <row r="54" spans="1:32" s="4" customFormat="1">
      <c r="A54" s="4">
        <v>174</v>
      </c>
      <c r="B54" s="4" t="s">
        <v>108</v>
      </c>
      <c r="D54" s="4" t="s">
        <v>68</v>
      </c>
      <c r="F54" s="1">
        <v>90835</v>
      </c>
      <c r="G54" s="1">
        <v>0</v>
      </c>
      <c r="H54" s="1">
        <v>14689</v>
      </c>
      <c r="I54" s="1">
        <v>0</v>
      </c>
      <c r="J54" s="1">
        <v>43107</v>
      </c>
      <c r="K54" s="1">
        <v>0</v>
      </c>
      <c r="L54" s="1">
        <v>31846</v>
      </c>
      <c r="M54" s="1">
        <v>0</v>
      </c>
      <c r="N54" s="1">
        <v>0</v>
      </c>
      <c r="O54" s="1">
        <v>0</v>
      </c>
      <c r="P54" s="1">
        <v>4151</v>
      </c>
      <c r="Q54" s="1">
        <v>0</v>
      </c>
      <c r="R54" s="1">
        <v>2259</v>
      </c>
      <c r="S54" s="1">
        <v>0</v>
      </c>
      <c r="T54" s="1">
        <v>26023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F54" s="4">
        <f t="shared" si="1"/>
        <v>212910</v>
      </c>
    </row>
    <row r="55" spans="1:32" s="4" customFormat="1">
      <c r="A55" s="4">
        <v>73</v>
      </c>
      <c r="B55" s="4" t="s">
        <v>109</v>
      </c>
      <c r="D55" s="4" t="s">
        <v>110</v>
      </c>
      <c r="F55" s="1">
        <v>0</v>
      </c>
      <c r="G55" s="1">
        <v>0</v>
      </c>
      <c r="H55" s="1">
        <v>0</v>
      </c>
      <c r="I55" s="1">
        <v>0</v>
      </c>
      <c r="J55" s="1">
        <v>15129</v>
      </c>
      <c r="K55" s="1">
        <v>0</v>
      </c>
      <c r="L55" s="1">
        <v>360897</v>
      </c>
      <c r="M55" s="1">
        <v>0</v>
      </c>
      <c r="N55" s="1">
        <v>94574</v>
      </c>
      <c r="O55" s="1">
        <v>0</v>
      </c>
      <c r="P55" s="1">
        <v>0</v>
      </c>
      <c r="Q55" s="1">
        <v>0</v>
      </c>
      <c r="R55" s="1">
        <f>37881+292414</f>
        <v>330295</v>
      </c>
      <c r="S55" s="1">
        <v>0</v>
      </c>
      <c r="T55" s="1">
        <v>13545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F55" s="4">
        <f t="shared" si="1"/>
        <v>814440</v>
      </c>
    </row>
    <row r="56" spans="1:32" s="4" customFormat="1">
      <c r="A56" s="4">
        <v>27</v>
      </c>
      <c r="B56" s="4" t="s">
        <v>594</v>
      </c>
      <c r="D56" s="4" t="s">
        <v>48</v>
      </c>
      <c r="F56" s="1">
        <v>360563.63</v>
      </c>
      <c r="G56" s="1"/>
      <c r="H56" s="1">
        <v>116229.89</v>
      </c>
      <c r="I56" s="1"/>
      <c r="J56" s="1">
        <v>62187.9</v>
      </c>
      <c r="K56" s="1"/>
      <c r="L56" s="1">
        <v>54530.63</v>
      </c>
      <c r="M56" s="1"/>
      <c r="N56" s="1">
        <v>0</v>
      </c>
      <c r="O56" s="1"/>
      <c r="P56" s="1">
        <v>29895.72</v>
      </c>
      <c r="Q56" s="1"/>
      <c r="R56" s="1">
        <v>20804.240000000002</v>
      </c>
      <c r="S56" s="1"/>
      <c r="T56" s="1">
        <v>4866.68</v>
      </c>
      <c r="U56" s="1"/>
      <c r="V56" s="1">
        <v>0</v>
      </c>
      <c r="W56" s="1"/>
      <c r="X56" s="1">
        <v>0</v>
      </c>
      <c r="Y56" s="1"/>
      <c r="Z56" s="1">
        <v>0</v>
      </c>
      <c r="AA56" s="1"/>
      <c r="AB56" s="1">
        <v>0</v>
      </c>
      <c r="AC56" s="1"/>
      <c r="AD56" s="1">
        <v>5639</v>
      </c>
      <c r="AF56" s="4">
        <f t="shared" si="1"/>
        <v>654717.69000000006</v>
      </c>
    </row>
    <row r="57" spans="1:32" s="4" customFormat="1">
      <c r="A57" s="4">
        <v>121</v>
      </c>
      <c r="B57" s="4" t="s">
        <v>111</v>
      </c>
      <c r="D57" s="4" t="s">
        <v>16</v>
      </c>
      <c r="F57" s="1">
        <v>114637.18</v>
      </c>
      <c r="G57" s="1">
        <v>0</v>
      </c>
      <c r="H57" s="1">
        <v>19014.490000000002</v>
      </c>
      <c r="I57" s="1">
        <v>0</v>
      </c>
      <c r="J57" s="1">
        <v>63978.28</v>
      </c>
      <c r="K57" s="1">
        <v>0</v>
      </c>
      <c r="L57" s="1">
        <v>44818.87</v>
      </c>
      <c r="M57" s="1">
        <v>0</v>
      </c>
      <c r="N57" s="1">
        <v>0</v>
      </c>
      <c r="O57" s="1">
        <v>0</v>
      </c>
      <c r="P57" s="1">
        <v>12714.17</v>
      </c>
      <c r="Q57" s="1">
        <v>0</v>
      </c>
      <c r="R57" s="1">
        <v>4402.8100000000004</v>
      </c>
      <c r="S57" s="1">
        <v>0</v>
      </c>
      <c r="T57" s="1">
        <v>12966.35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F57" s="4">
        <f t="shared" si="1"/>
        <v>272532.14999999997</v>
      </c>
    </row>
    <row r="58" spans="1:32" s="4" customFormat="1">
      <c r="A58" s="4">
        <v>28</v>
      </c>
      <c r="B58" s="4" t="s">
        <v>595</v>
      </c>
      <c r="D58" s="4" t="s">
        <v>62</v>
      </c>
      <c r="F58" s="1">
        <v>435216.61</v>
      </c>
      <c r="G58" s="1"/>
      <c r="H58" s="1">
        <v>97618.06</v>
      </c>
      <c r="I58" s="1"/>
      <c r="J58" s="1">
        <v>145725.97</v>
      </c>
      <c r="K58" s="1"/>
      <c r="L58" s="1">
        <v>90181.98</v>
      </c>
      <c r="M58" s="1"/>
      <c r="N58" s="1">
        <v>0</v>
      </c>
      <c r="O58" s="1"/>
      <c r="P58" s="1">
        <v>24934.83</v>
      </c>
      <c r="Q58" s="1"/>
      <c r="R58" s="1">
        <v>2908.95</v>
      </c>
      <c r="S58" s="1"/>
      <c r="T58" s="1">
        <v>13314.12</v>
      </c>
      <c r="U58" s="1"/>
      <c r="V58" s="1">
        <v>0</v>
      </c>
      <c r="W58" s="1"/>
      <c r="X58" s="1">
        <v>0</v>
      </c>
      <c r="Y58" s="1"/>
      <c r="Z58" s="1">
        <v>50047</v>
      </c>
      <c r="AA58" s="1"/>
      <c r="AB58" s="1">
        <v>0</v>
      </c>
      <c r="AC58" s="1"/>
      <c r="AD58" s="1">
        <v>0</v>
      </c>
      <c r="AF58" s="4">
        <f t="shared" si="1"/>
        <v>859947.51999999979</v>
      </c>
    </row>
    <row r="59" spans="1:32" s="4" customFormat="1">
      <c r="A59" s="4">
        <v>199</v>
      </c>
      <c r="B59" s="4" t="s">
        <v>112</v>
      </c>
      <c r="D59" s="4" t="s">
        <v>49</v>
      </c>
      <c r="F59" s="1">
        <v>1041242.04</v>
      </c>
      <c r="G59" s="1"/>
      <c r="H59" s="1">
        <v>389609.32</v>
      </c>
      <c r="I59" s="1"/>
      <c r="J59" s="1">
        <v>343374.04</v>
      </c>
      <c r="K59" s="1"/>
      <c r="L59" s="1">
        <v>176151.29</v>
      </c>
      <c r="M59" s="1"/>
      <c r="N59" s="1">
        <v>0</v>
      </c>
      <c r="O59" s="1"/>
      <c r="P59" s="1">
        <v>49261.46</v>
      </c>
      <c r="Q59" s="1"/>
      <c r="R59" s="1">
        <v>6282.34</v>
      </c>
      <c r="S59" s="1"/>
      <c r="T59" s="1">
        <v>153695.59</v>
      </c>
      <c r="U59" s="1"/>
      <c r="V59" s="1">
        <v>0</v>
      </c>
      <c r="W59" s="1"/>
      <c r="X59" s="1">
        <v>0</v>
      </c>
      <c r="Y59" s="1"/>
      <c r="Z59" s="1">
        <v>0</v>
      </c>
      <c r="AA59" s="1"/>
      <c r="AB59" s="1">
        <v>0</v>
      </c>
      <c r="AC59" s="1"/>
      <c r="AD59" s="1">
        <v>0</v>
      </c>
      <c r="AF59" s="4">
        <f t="shared" si="1"/>
        <v>2159616.08</v>
      </c>
    </row>
    <row r="60" spans="1:32" s="4" customFormat="1">
      <c r="A60" s="4">
        <v>199</v>
      </c>
      <c r="B60" s="4" t="s">
        <v>625</v>
      </c>
      <c r="D60" s="4" t="s">
        <v>580</v>
      </c>
      <c r="F60" s="1">
        <v>24862028</v>
      </c>
      <c r="G60" s="1">
        <v>0</v>
      </c>
      <c r="H60" s="1">
        <v>0</v>
      </c>
      <c r="I60" s="1">
        <v>0</v>
      </c>
      <c r="J60" s="1">
        <v>12637587</v>
      </c>
      <c r="K60" s="1">
        <v>0</v>
      </c>
      <c r="L60" s="1">
        <v>0</v>
      </c>
      <c r="M60" s="1">
        <v>0</v>
      </c>
      <c r="N60" s="1">
        <v>11000973</v>
      </c>
      <c r="O60" s="1">
        <v>0</v>
      </c>
      <c r="P60" s="1">
        <v>0</v>
      </c>
      <c r="Q60" s="1">
        <v>0</v>
      </c>
      <c r="R60" s="1">
        <f>2734740+4738872</f>
        <v>7473612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2500000</v>
      </c>
      <c r="AA60" s="1">
        <v>0</v>
      </c>
      <c r="AB60" s="1">
        <v>0</v>
      </c>
      <c r="AC60" s="1">
        <v>0</v>
      </c>
      <c r="AD60" s="1">
        <v>0</v>
      </c>
      <c r="AF60" s="4">
        <f t="shared" si="1"/>
        <v>58474200</v>
      </c>
    </row>
    <row r="61" spans="1:32" s="4" customFormat="1">
      <c r="A61" s="4">
        <v>32</v>
      </c>
      <c r="B61" s="4" t="s">
        <v>113</v>
      </c>
      <c r="D61" s="4" t="s">
        <v>114</v>
      </c>
      <c r="F61" s="1">
        <v>1801226</v>
      </c>
      <c r="G61" s="1">
        <v>0</v>
      </c>
      <c r="H61" s="1">
        <v>752501</v>
      </c>
      <c r="I61" s="1">
        <v>0</v>
      </c>
      <c r="J61" s="1">
        <v>643411</v>
      </c>
      <c r="K61" s="1">
        <v>0</v>
      </c>
      <c r="L61" s="1">
        <v>275300</v>
      </c>
      <c r="M61" s="1">
        <v>0</v>
      </c>
      <c r="N61" s="1">
        <v>0</v>
      </c>
      <c r="O61" s="1">
        <v>0</v>
      </c>
      <c r="P61" s="1">
        <v>46322</v>
      </c>
      <c r="Q61" s="1">
        <v>0</v>
      </c>
      <c r="R61" s="1">
        <v>14338</v>
      </c>
      <c r="S61" s="1">
        <v>0</v>
      </c>
      <c r="T61" s="1">
        <v>276198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F61" s="4">
        <f t="shared" si="1"/>
        <v>3809296</v>
      </c>
    </row>
    <row r="62" spans="1:32" s="4" customFormat="1">
      <c r="A62" s="4">
        <v>231</v>
      </c>
      <c r="B62" s="4" t="s">
        <v>301</v>
      </c>
      <c r="D62" s="4" t="s">
        <v>26</v>
      </c>
      <c r="F62" s="1">
        <v>158617.42000000001</v>
      </c>
      <c r="G62" s="1"/>
      <c r="H62" s="1">
        <v>53046.13</v>
      </c>
      <c r="I62" s="1"/>
      <c r="J62" s="1">
        <v>79885.31</v>
      </c>
      <c r="K62" s="1"/>
      <c r="L62" s="1">
        <v>35757.93</v>
      </c>
      <c r="M62" s="1"/>
      <c r="N62" s="1">
        <v>0</v>
      </c>
      <c r="O62" s="1"/>
      <c r="P62" s="1">
        <v>8193.9599999999991</v>
      </c>
      <c r="Q62" s="1"/>
      <c r="R62" s="1">
        <v>500</v>
      </c>
      <c r="S62" s="1"/>
      <c r="T62" s="1">
        <v>4374.38</v>
      </c>
      <c r="U62" s="1"/>
      <c r="V62" s="1">
        <v>0</v>
      </c>
      <c r="W62" s="1"/>
      <c r="X62" s="1">
        <v>0</v>
      </c>
      <c r="Y62" s="1"/>
      <c r="Z62" s="1">
        <v>0</v>
      </c>
      <c r="AA62" s="1"/>
      <c r="AB62" s="1">
        <v>0</v>
      </c>
      <c r="AC62" s="1"/>
      <c r="AD62" s="1">
        <v>0</v>
      </c>
      <c r="AF62" s="4">
        <f t="shared" si="1"/>
        <v>340375.13</v>
      </c>
    </row>
    <row r="63" spans="1:32" s="4" customFormat="1">
      <c r="A63" s="4">
        <v>34</v>
      </c>
      <c r="B63" s="4" t="s">
        <v>115</v>
      </c>
      <c r="D63" s="4" t="s">
        <v>116</v>
      </c>
      <c r="F63" s="1">
        <v>0</v>
      </c>
      <c r="G63" s="1">
        <v>0</v>
      </c>
      <c r="H63" s="1">
        <v>0</v>
      </c>
      <c r="I63" s="1">
        <v>0</v>
      </c>
      <c r="J63" s="1">
        <v>457347</v>
      </c>
      <c r="K63" s="1">
        <v>0</v>
      </c>
      <c r="L63" s="1">
        <v>3188782</v>
      </c>
      <c r="M63" s="1">
        <v>0</v>
      </c>
      <c r="N63" s="1">
        <v>987958</v>
      </c>
      <c r="O63" s="1">
        <v>0</v>
      </c>
      <c r="P63" s="1">
        <v>0</v>
      </c>
      <c r="Q63" s="1">
        <v>0</v>
      </c>
      <c r="R63" s="1">
        <f>1242267+662989</f>
        <v>1905256</v>
      </c>
      <c r="S63" s="1">
        <v>0</v>
      </c>
      <c r="T63" s="1">
        <v>1270570</v>
      </c>
      <c r="U63" s="1">
        <v>0</v>
      </c>
      <c r="V63" s="1">
        <v>236281</v>
      </c>
      <c r="W63" s="1">
        <v>0</v>
      </c>
      <c r="X63" s="1">
        <v>125214</v>
      </c>
      <c r="Y63" s="1">
        <v>0</v>
      </c>
      <c r="Z63" s="1">
        <v>923000</v>
      </c>
      <c r="AA63" s="1">
        <v>0</v>
      </c>
      <c r="AB63" s="1">
        <v>1007000</v>
      </c>
      <c r="AC63" s="1">
        <v>0</v>
      </c>
      <c r="AD63" s="1">
        <v>7086</v>
      </c>
      <c r="AF63" s="4">
        <f t="shared" si="1"/>
        <v>10108494</v>
      </c>
    </row>
    <row r="64" spans="1:32" s="4" customFormat="1">
      <c r="A64" s="4">
        <v>49</v>
      </c>
      <c r="B64" s="4" t="s">
        <v>427</v>
      </c>
      <c r="D64" s="4" t="s">
        <v>19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>5633984+1518458</f>
        <v>7152442</v>
      </c>
      <c r="S64" s="1">
        <v>0</v>
      </c>
      <c r="T64" s="1">
        <v>314798</v>
      </c>
      <c r="U64" s="1">
        <v>0</v>
      </c>
      <c r="V64" s="1">
        <v>81484</v>
      </c>
      <c r="W64" s="1">
        <v>0</v>
      </c>
      <c r="X64" s="1">
        <v>21507</v>
      </c>
      <c r="Y64" s="1">
        <v>0</v>
      </c>
      <c r="Z64" s="1">
        <v>614500</v>
      </c>
      <c r="AA64" s="1">
        <v>0</v>
      </c>
      <c r="AB64" s="1">
        <v>0</v>
      </c>
      <c r="AC64" s="1">
        <v>0</v>
      </c>
      <c r="AD64" s="1">
        <v>0</v>
      </c>
      <c r="AF64" s="4">
        <f t="shared" si="1"/>
        <v>8184731</v>
      </c>
    </row>
    <row r="65" spans="1:32" s="4" customFormat="1">
      <c r="A65" s="4">
        <v>50</v>
      </c>
      <c r="B65" s="4" t="s">
        <v>428</v>
      </c>
      <c r="D65" s="4" t="s">
        <v>19</v>
      </c>
      <c r="F65" s="1">
        <v>0</v>
      </c>
      <c r="G65" s="1">
        <v>0</v>
      </c>
      <c r="H65" s="1">
        <v>0</v>
      </c>
      <c r="I65" s="1">
        <v>0</v>
      </c>
      <c r="J65" s="1">
        <v>38157071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21482092</v>
      </c>
      <c r="S65" s="1">
        <v>0</v>
      </c>
      <c r="T65" s="1">
        <v>2899706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5054600</v>
      </c>
      <c r="AA65" s="1">
        <v>0</v>
      </c>
      <c r="AB65" s="1">
        <v>0</v>
      </c>
      <c r="AC65" s="1">
        <v>0</v>
      </c>
      <c r="AD65" s="1">
        <v>0</v>
      </c>
      <c r="AF65" s="4">
        <f t="shared" si="1"/>
        <v>67593469</v>
      </c>
    </row>
    <row r="66" spans="1:32" s="4" customFormat="1">
      <c r="A66" s="4">
        <v>201</v>
      </c>
      <c r="B66" s="4" t="s">
        <v>453</v>
      </c>
      <c r="D66" s="4" t="s">
        <v>94</v>
      </c>
      <c r="F66" s="1">
        <v>263524.46999999997</v>
      </c>
      <c r="G66" s="1"/>
      <c r="H66" s="1">
        <v>54943.87</v>
      </c>
      <c r="I66" s="1"/>
      <c r="J66" s="1">
        <v>63651.45</v>
      </c>
      <c r="K66" s="1"/>
      <c r="L66" s="1">
        <v>73931.710000000006</v>
      </c>
      <c r="M66" s="1"/>
      <c r="N66" s="1">
        <v>0</v>
      </c>
      <c r="O66" s="1"/>
      <c r="P66" s="1">
        <v>14423.73</v>
      </c>
      <c r="Q66" s="1"/>
      <c r="R66" s="1">
        <v>8356.42</v>
      </c>
      <c r="S66" s="1"/>
      <c r="T66" s="1">
        <v>7510.02</v>
      </c>
      <c r="U66" s="1"/>
      <c r="V66" s="1">
        <v>59106.04</v>
      </c>
      <c r="W66" s="1"/>
      <c r="X66" s="1">
        <v>16483.62</v>
      </c>
      <c r="Y66" s="1"/>
      <c r="Z66" s="1">
        <v>75590</v>
      </c>
      <c r="AA66" s="1"/>
      <c r="AB66" s="1">
        <v>0</v>
      </c>
      <c r="AC66" s="1"/>
      <c r="AD66" s="1">
        <v>0</v>
      </c>
      <c r="AF66" s="4">
        <f t="shared" si="1"/>
        <v>637521.32999999996</v>
      </c>
    </row>
    <row r="67" spans="1:32" s="4" customFormat="1">
      <c r="A67" s="4">
        <v>158</v>
      </c>
      <c r="B67" s="4" t="s">
        <v>492</v>
      </c>
      <c r="D67" s="4" t="s">
        <v>50</v>
      </c>
      <c r="F67" s="1">
        <v>95658.23</v>
      </c>
      <c r="G67" s="1"/>
      <c r="H67" s="1">
        <v>26073.27</v>
      </c>
      <c r="I67" s="1"/>
      <c r="J67" s="1">
        <v>30552.04</v>
      </c>
      <c r="K67" s="1"/>
      <c r="L67" s="1">
        <v>17532.61</v>
      </c>
      <c r="M67" s="1"/>
      <c r="N67" s="1">
        <v>0</v>
      </c>
      <c r="O67" s="1"/>
      <c r="P67" s="1">
        <v>3486.07</v>
      </c>
      <c r="Q67" s="1"/>
      <c r="R67" s="1">
        <v>2132.77</v>
      </c>
      <c r="S67" s="1"/>
      <c r="T67" s="1">
        <v>1183.8</v>
      </c>
      <c r="U67" s="1"/>
      <c r="V67" s="1">
        <v>0</v>
      </c>
      <c r="W67" s="1"/>
      <c r="X67" s="1">
        <v>0</v>
      </c>
      <c r="Y67" s="1"/>
      <c r="Z67" s="1">
        <v>0</v>
      </c>
      <c r="AA67" s="1"/>
      <c r="AB67" s="1">
        <v>0</v>
      </c>
      <c r="AC67" s="1"/>
      <c r="AD67" s="1">
        <v>0</v>
      </c>
      <c r="AF67" s="4">
        <f t="shared" si="1"/>
        <v>176618.79</v>
      </c>
    </row>
    <row r="68" spans="1:32" s="4" customFormat="1">
      <c r="A68" s="4">
        <v>38</v>
      </c>
      <c r="B68" s="4" t="s">
        <v>454</v>
      </c>
      <c r="D68" s="4" t="s">
        <v>51</v>
      </c>
      <c r="F68" s="1">
        <v>312398.13</v>
      </c>
      <c r="G68" s="1"/>
      <c r="H68" s="1">
        <v>75710.259999999995</v>
      </c>
      <c r="I68" s="1"/>
      <c r="J68" s="1">
        <v>78528.070000000007</v>
      </c>
      <c r="K68" s="1"/>
      <c r="L68" s="1">
        <v>128716.68</v>
      </c>
      <c r="M68" s="1"/>
      <c r="N68" s="1">
        <v>0</v>
      </c>
      <c r="O68" s="1"/>
      <c r="P68" s="1">
        <v>19061.59</v>
      </c>
      <c r="Q68" s="1"/>
      <c r="R68" s="1">
        <v>5190.3999999999996</v>
      </c>
      <c r="S68" s="1"/>
      <c r="T68" s="1">
        <v>38535.300000000003</v>
      </c>
      <c r="U68" s="1"/>
      <c r="V68" s="1">
        <v>0</v>
      </c>
      <c r="W68" s="1"/>
      <c r="X68" s="1">
        <v>0</v>
      </c>
      <c r="Y68" s="1"/>
      <c r="Z68" s="1">
        <v>0</v>
      </c>
      <c r="AA68" s="1"/>
      <c r="AB68" s="1">
        <v>0</v>
      </c>
      <c r="AC68" s="1"/>
      <c r="AD68" s="1">
        <v>0</v>
      </c>
      <c r="AF68" s="4">
        <f t="shared" si="1"/>
        <v>658140.43000000005</v>
      </c>
    </row>
    <row r="69" spans="1:32" s="4" customFormat="1">
      <c r="A69" s="4">
        <v>76</v>
      </c>
      <c r="B69" s="4" t="s">
        <v>118</v>
      </c>
      <c r="D69" s="4" t="s">
        <v>92</v>
      </c>
      <c r="F69" s="1">
        <v>22994943</v>
      </c>
      <c r="G69" s="1">
        <v>0</v>
      </c>
      <c r="H69" s="1">
        <v>7130610</v>
      </c>
      <c r="I69" s="1">
        <v>0</v>
      </c>
      <c r="J69" s="1">
        <v>7471225</v>
      </c>
      <c r="K69" s="1">
        <v>0</v>
      </c>
      <c r="L69" s="1">
        <v>4738556</v>
      </c>
      <c r="M69" s="1">
        <v>0</v>
      </c>
      <c r="N69" s="1">
        <v>0</v>
      </c>
      <c r="O69" s="1">
        <v>0</v>
      </c>
      <c r="P69" s="1">
        <v>912006</v>
      </c>
      <c r="Q69" s="1">
        <v>0</v>
      </c>
      <c r="R69" s="1">
        <v>1852840</v>
      </c>
      <c r="S69" s="1">
        <v>0</v>
      </c>
      <c r="T69" s="1">
        <v>817618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44200</v>
      </c>
      <c r="AC69" s="1">
        <v>0</v>
      </c>
      <c r="AD69" s="1">
        <v>0</v>
      </c>
      <c r="AF69" s="4">
        <f t="shared" si="1"/>
        <v>45961998</v>
      </c>
    </row>
    <row r="70" spans="1:32" s="4" customFormat="1">
      <c r="A70" s="4">
        <v>63</v>
      </c>
      <c r="B70" s="4" t="s">
        <v>455</v>
      </c>
      <c r="D70" s="4" t="s">
        <v>70</v>
      </c>
      <c r="F70" s="1">
        <v>423938.62</v>
      </c>
      <c r="G70" s="1"/>
      <c r="H70" s="1">
        <v>126233.74</v>
      </c>
      <c r="I70" s="1"/>
      <c r="J70" s="1">
        <v>134448.6</v>
      </c>
      <c r="K70" s="1"/>
      <c r="L70" s="1">
        <v>92318.35</v>
      </c>
      <c r="M70" s="1"/>
      <c r="N70" s="1">
        <v>0</v>
      </c>
      <c r="O70" s="1"/>
      <c r="P70" s="1">
        <v>14629.99</v>
      </c>
      <c r="Q70" s="1"/>
      <c r="R70" s="1">
        <v>1433.95</v>
      </c>
      <c r="S70" s="1"/>
      <c r="T70" s="1">
        <v>154392.18</v>
      </c>
      <c r="U70" s="1"/>
      <c r="V70" s="1">
        <v>0</v>
      </c>
      <c r="W70" s="1"/>
      <c r="X70" s="1">
        <v>0</v>
      </c>
      <c r="Y70" s="1"/>
      <c r="Z70" s="1">
        <v>537741</v>
      </c>
      <c r="AA70" s="1"/>
      <c r="AB70" s="1">
        <v>0</v>
      </c>
      <c r="AC70" s="1"/>
      <c r="AD70" s="1">
        <v>0</v>
      </c>
      <c r="AF70" s="4">
        <f t="shared" si="1"/>
        <v>1485136.43</v>
      </c>
    </row>
    <row r="71" spans="1:32" s="4" customFormat="1">
      <c r="A71" s="4">
        <v>10</v>
      </c>
      <c r="B71" s="4" t="s">
        <v>119</v>
      </c>
      <c r="D71" s="4" t="s">
        <v>43</v>
      </c>
      <c r="F71" s="1">
        <v>319188</v>
      </c>
      <c r="G71" s="1">
        <v>0</v>
      </c>
      <c r="H71" s="1">
        <v>91449</v>
      </c>
      <c r="I71" s="1">
        <v>0</v>
      </c>
      <c r="J71" s="1">
        <v>46604</v>
      </c>
      <c r="K71" s="1">
        <v>0</v>
      </c>
      <c r="L71" s="1">
        <v>28235</v>
      </c>
      <c r="M71" s="1">
        <v>0</v>
      </c>
      <c r="N71" s="1">
        <v>0</v>
      </c>
      <c r="O71" s="1">
        <v>0</v>
      </c>
      <c r="P71" s="1">
        <v>20968</v>
      </c>
      <c r="Q71" s="1">
        <v>0</v>
      </c>
      <c r="R71" s="1">
        <v>4006</v>
      </c>
      <c r="S71" s="1">
        <v>0</v>
      </c>
      <c r="T71" s="1">
        <v>13664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F71" s="4">
        <f t="shared" si="1"/>
        <v>524114</v>
      </c>
    </row>
    <row r="72" spans="1:32" s="4" customFormat="1">
      <c r="A72" s="4">
        <v>45</v>
      </c>
      <c r="B72" s="4" t="s">
        <v>120</v>
      </c>
      <c r="D72" s="4" t="s">
        <v>121</v>
      </c>
      <c r="F72" s="1">
        <v>655257</v>
      </c>
      <c r="G72" s="1">
        <v>0</v>
      </c>
      <c r="H72" s="1">
        <v>237721</v>
      </c>
      <c r="I72" s="1">
        <v>0</v>
      </c>
      <c r="J72" s="1">
        <v>206908</v>
      </c>
      <c r="K72" s="1">
        <v>0</v>
      </c>
      <c r="L72" s="1">
        <v>79898</v>
      </c>
      <c r="M72" s="1">
        <v>0</v>
      </c>
      <c r="N72" s="1">
        <v>0</v>
      </c>
      <c r="O72" s="1">
        <v>0</v>
      </c>
      <c r="P72" s="1">
        <v>19654</v>
      </c>
      <c r="Q72" s="1">
        <v>0</v>
      </c>
      <c r="R72" s="1">
        <v>4328</v>
      </c>
      <c r="S72" s="1">
        <v>0</v>
      </c>
      <c r="T72" s="1">
        <v>23906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49009</v>
      </c>
      <c r="AA72" s="1">
        <v>0</v>
      </c>
      <c r="AB72" s="1">
        <v>0</v>
      </c>
      <c r="AC72" s="1">
        <v>0</v>
      </c>
      <c r="AD72" s="1">
        <v>0</v>
      </c>
      <c r="AF72" s="4">
        <f t="shared" si="1"/>
        <v>1276681</v>
      </c>
    </row>
    <row r="73" spans="1:32" s="4" customFormat="1">
      <c r="A73" s="4">
        <v>47</v>
      </c>
      <c r="B73" s="4" t="s">
        <v>122</v>
      </c>
      <c r="D73" s="4" t="s">
        <v>52</v>
      </c>
      <c r="F73" s="1">
        <v>227279.37</v>
      </c>
      <c r="G73" s="1"/>
      <c r="H73" s="1">
        <v>36818.620000000003</v>
      </c>
      <c r="I73" s="1"/>
      <c r="J73" s="1">
        <v>71378.509999999995</v>
      </c>
      <c r="K73" s="1"/>
      <c r="L73" s="1">
        <v>84350.05</v>
      </c>
      <c r="M73" s="1"/>
      <c r="N73" s="1">
        <v>0</v>
      </c>
      <c r="O73" s="1"/>
      <c r="P73" s="1">
        <v>12181.62</v>
      </c>
      <c r="Q73" s="1"/>
      <c r="R73" s="1">
        <v>4088.41</v>
      </c>
      <c r="S73" s="1"/>
      <c r="T73" s="1">
        <v>10449</v>
      </c>
      <c r="U73" s="1"/>
      <c r="V73" s="1">
        <v>0</v>
      </c>
      <c r="W73" s="1"/>
      <c r="X73" s="1">
        <v>0</v>
      </c>
      <c r="Y73" s="1"/>
      <c r="Z73" s="1">
        <v>0</v>
      </c>
      <c r="AA73" s="1"/>
      <c r="AB73" s="1">
        <v>0</v>
      </c>
      <c r="AC73" s="1"/>
      <c r="AD73" s="1">
        <v>0</v>
      </c>
      <c r="AF73" s="4">
        <f t="shared" ref="AF73:AF84" si="2">SUM(F73:AD73)</f>
        <v>446545.57999999996</v>
      </c>
    </row>
    <row r="74" spans="1:32" s="4" customFormat="1">
      <c r="A74" s="4">
        <v>51</v>
      </c>
      <c r="B74" s="4" t="s">
        <v>596</v>
      </c>
      <c r="D74" s="4" t="s">
        <v>19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37407131</v>
      </c>
      <c r="M74" s="1">
        <v>0</v>
      </c>
      <c r="N74" s="1">
        <v>5337363</v>
      </c>
      <c r="O74" s="1">
        <v>0</v>
      </c>
      <c r="P74" s="1">
        <v>0</v>
      </c>
      <c r="Q74" s="1">
        <v>0</v>
      </c>
      <c r="R74" s="1">
        <f>2901655+12426863</f>
        <v>15328518</v>
      </c>
      <c r="S74" s="1">
        <v>0</v>
      </c>
      <c r="T74" s="1">
        <v>1452320</v>
      </c>
      <c r="U74" s="1">
        <v>0</v>
      </c>
      <c r="V74" s="1">
        <v>0</v>
      </c>
      <c r="W74" s="1">
        <v>0</v>
      </c>
      <c r="X74" s="1">
        <f>1089756+650401</f>
        <v>1740157</v>
      </c>
      <c r="Y74" s="1">
        <v>0</v>
      </c>
      <c r="Z74" s="1">
        <v>9264008</v>
      </c>
      <c r="AA74" s="1">
        <v>0</v>
      </c>
      <c r="AB74" s="1">
        <v>0</v>
      </c>
      <c r="AC74" s="1">
        <v>0</v>
      </c>
      <c r="AD74" s="1">
        <v>71542</v>
      </c>
      <c r="AF74" s="4">
        <f t="shared" si="2"/>
        <v>70601039</v>
      </c>
    </row>
    <row r="75" spans="1:32" s="4" customFormat="1">
      <c r="B75" s="4" t="s">
        <v>618</v>
      </c>
      <c r="D75" s="4" t="s">
        <v>22</v>
      </c>
      <c r="F75" s="1">
        <v>1117362</v>
      </c>
      <c r="G75" s="1">
        <v>0</v>
      </c>
      <c r="H75" s="1">
        <v>348474</v>
      </c>
      <c r="I75" s="1">
        <v>0</v>
      </c>
      <c r="J75" s="1">
        <v>529254</v>
      </c>
      <c r="K75" s="1">
        <v>0</v>
      </c>
      <c r="L75" s="1">
        <v>390234</v>
      </c>
      <c r="M75" s="1">
        <v>0</v>
      </c>
      <c r="N75" s="1">
        <v>0</v>
      </c>
      <c r="O75" s="1">
        <v>0</v>
      </c>
      <c r="P75" s="1">
        <v>55480</v>
      </c>
      <c r="Q75" s="1">
        <v>0</v>
      </c>
      <c r="R75" s="1">
        <v>15088</v>
      </c>
      <c r="S75" s="1">
        <v>0</v>
      </c>
      <c r="T75" s="1">
        <v>1679576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F75" s="4">
        <f t="shared" si="2"/>
        <v>4135468</v>
      </c>
    </row>
    <row r="76" spans="1:32" s="4" customFormat="1">
      <c r="A76" s="4">
        <v>169</v>
      </c>
      <c r="B76" s="4" t="s">
        <v>124</v>
      </c>
      <c r="D76" s="4" t="s">
        <v>55</v>
      </c>
      <c r="F76" s="1">
        <v>0</v>
      </c>
      <c r="G76" s="1">
        <v>0</v>
      </c>
      <c r="H76" s="1">
        <v>0</v>
      </c>
      <c r="I76" s="1">
        <v>0</v>
      </c>
      <c r="J76" s="1">
        <v>904385</v>
      </c>
      <c r="K76" s="1">
        <v>0</v>
      </c>
      <c r="L76" s="1">
        <v>16447613</v>
      </c>
      <c r="M76" s="1">
        <v>0</v>
      </c>
      <c r="N76" s="1">
        <v>509288</v>
      </c>
      <c r="O76" s="1">
        <v>0</v>
      </c>
      <c r="P76" s="1">
        <v>0</v>
      </c>
      <c r="Q76" s="1">
        <v>0</v>
      </c>
      <c r="R76" s="1">
        <f>5227184+2840098</f>
        <v>8067282</v>
      </c>
      <c r="S76" s="1">
        <v>0</v>
      </c>
      <c r="T76" s="1">
        <v>419202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3053148</v>
      </c>
      <c r="AA76" s="1">
        <v>0</v>
      </c>
      <c r="AB76" s="1">
        <v>0</v>
      </c>
      <c r="AC76" s="1">
        <v>0</v>
      </c>
      <c r="AD76" s="1">
        <v>0</v>
      </c>
      <c r="AF76" s="4">
        <f t="shared" si="2"/>
        <v>29400918</v>
      </c>
    </row>
    <row r="77" spans="1:32" s="4" customFormat="1">
      <c r="A77" s="4">
        <v>62</v>
      </c>
      <c r="B77" s="4" t="s">
        <v>125</v>
      </c>
      <c r="D77" s="4" t="s">
        <v>126</v>
      </c>
      <c r="F77" s="1">
        <v>677053.87</v>
      </c>
      <c r="G77" s="1">
        <v>0</v>
      </c>
      <c r="H77" s="1">
        <v>174677.74</v>
      </c>
      <c r="I77" s="1">
        <v>0</v>
      </c>
      <c r="J77" s="1">
        <v>473728.16</v>
      </c>
      <c r="K77" s="1">
        <v>0</v>
      </c>
      <c r="L77" s="1">
        <v>200923.26</v>
      </c>
      <c r="M77" s="1">
        <v>0</v>
      </c>
      <c r="N77" s="1">
        <v>0</v>
      </c>
      <c r="O77" s="1">
        <v>0</v>
      </c>
      <c r="P77" s="1">
        <v>35253.660000000003</v>
      </c>
      <c r="Q77" s="1">
        <v>0</v>
      </c>
      <c r="R77" s="1">
        <v>8762.14</v>
      </c>
      <c r="S77" s="1">
        <v>0</v>
      </c>
      <c r="T77" s="1">
        <v>55432.92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40000</v>
      </c>
      <c r="AA77" s="1">
        <v>0</v>
      </c>
      <c r="AB77" s="1">
        <v>30060</v>
      </c>
      <c r="AC77" s="1">
        <v>0</v>
      </c>
      <c r="AD77" s="1">
        <v>0</v>
      </c>
      <c r="AF77" s="4">
        <f t="shared" si="2"/>
        <v>1695891.7499999998</v>
      </c>
    </row>
    <row r="78" spans="1:32" s="4" customFormat="1">
      <c r="A78" s="4">
        <v>64</v>
      </c>
      <c r="B78" s="4" t="s">
        <v>127</v>
      </c>
      <c r="D78" s="4" t="s">
        <v>70</v>
      </c>
      <c r="F78" s="1">
        <v>1801158</v>
      </c>
      <c r="G78" s="1">
        <v>0</v>
      </c>
      <c r="H78" s="1">
        <v>0</v>
      </c>
      <c r="I78" s="1">
        <v>0</v>
      </c>
      <c r="J78" s="1">
        <v>915707</v>
      </c>
      <c r="K78" s="1">
        <v>0</v>
      </c>
      <c r="L78" s="1">
        <v>436769</v>
      </c>
      <c r="M78" s="1">
        <v>0</v>
      </c>
      <c r="N78" s="1">
        <v>0</v>
      </c>
      <c r="O78" s="1">
        <v>0</v>
      </c>
      <c r="P78" s="1">
        <v>220539</v>
      </c>
      <c r="Q78" s="1">
        <v>0</v>
      </c>
      <c r="R78" s="1">
        <v>605637</v>
      </c>
      <c r="S78" s="1">
        <v>0</v>
      </c>
      <c r="T78" s="1">
        <v>4435309</v>
      </c>
      <c r="U78" s="1">
        <v>0</v>
      </c>
      <c r="V78" s="1">
        <v>150000</v>
      </c>
      <c r="W78" s="1">
        <v>0</v>
      </c>
      <c r="X78" s="1">
        <v>6608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F78" s="4">
        <f t="shared" si="2"/>
        <v>8571727</v>
      </c>
    </row>
    <row r="79" spans="1:32" s="4" customFormat="1">
      <c r="A79" s="4">
        <v>4</v>
      </c>
      <c r="B79" s="4" t="s">
        <v>128</v>
      </c>
      <c r="D79" s="4" t="s">
        <v>97</v>
      </c>
      <c r="F79" s="1">
        <v>217314.54</v>
      </c>
      <c r="G79" s="1"/>
      <c r="H79" s="1">
        <v>32780.75</v>
      </c>
      <c r="I79" s="1"/>
      <c r="J79" s="1">
        <v>30480.44</v>
      </c>
      <c r="K79" s="1"/>
      <c r="L79" s="1">
        <v>64104.5</v>
      </c>
      <c r="M79" s="1"/>
      <c r="N79" s="1">
        <v>0</v>
      </c>
      <c r="O79" s="1"/>
      <c r="P79" s="1">
        <v>20109.439999999999</v>
      </c>
      <c r="Q79" s="1"/>
      <c r="R79" s="1">
        <v>4471.8500000000004</v>
      </c>
      <c r="S79" s="1"/>
      <c r="T79" s="1">
        <v>0</v>
      </c>
      <c r="U79" s="1"/>
      <c r="V79" s="1">
        <v>0</v>
      </c>
      <c r="W79" s="1"/>
      <c r="X79" s="1">
        <v>0</v>
      </c>
      <c r="Y79" s="1"/>
      <c r="Z79" s="1">
        <v>0</v>
      </c>
      <c r="AA79" s="1"/>
      <c r="AB79" s="1">
        <v>0</v>
      </c>
      <c r="AC79" s="1"/>
      <c r="AD79" s="1">
        <v>0</v>
      </c>
      <c r="AF79" s="4">
        <f t="shared" si="2"/>
        <v>369261.51999999996</v>
      </c>
    </row>
    <row r="80" spans="1:32" s="4" customFormat="1">
      <c r="A80" s="4">
        <v>83</v>
      </c>
      <c r="B80" s="4" t="s">
        <v>129</v>
      </c>
      <c r="D80" s="4" t="s">
        <v>42</v>
      </c>
      <c r="F80" s="1">
        <v>233929.06</v>
      </c>
      <c r="G80" s="1"/>
      <c r="H80" s="1">
        <v>48719.28</v>
      </c>
      <c r="I80" s="1"/>
      <c r="J80" s="1">
        <v>32127.56</v>
      </c>
      <c r="K80" s="1"/>
      <c r="L80" s="1">
        <v>41231.79</v>
      </c>
      <c r="M80" s="1"/>
      <c r="N80" s="1">
        <v>0</v>
      </c>
      <c r="O80" s="1"/>
      <c r="P80" s="1">
        <v>8085.16</v>
      </c>
      <c r="Q80" s="1"/>
      <c r="R80" s="1">
        <v>2914.49</v>
      </c>
      <c r="S80" s="1"/>
      <c r="T80" s="1">
        <v>7616.24</v>
      </c>
      <c r="U80" s="1"/>
      <c r="V80" s="1">
        <v>0</v>
      </c>
      <c r="W80" s="1"/>
      <c r="X80" s="1">
        <v>0</v>
      </c>
      <c r="Y80" s="1"/>
      <c r="Z80" s="1">
        <v>175044</v>
      </c>
      <c r="AA80" s="1"/>
      <c r="AB80" s="1">
        <v>0</v>
      </c>
      <c r="AC80" s="1"/>
      <c r="AD80" s="1">
        <v>0</v>
      </c>
      <c r="AF80" s="4">
        <f t="shared" si="2"/>
        <v>549667.57999999984</v>
      </c>
    </row>
    <row r="81" spans="1:32" s="4" customFormat="1">
      <c r="A81" s="4">
        <v>258</v>
      </c>
      <c r="B81" s="4" t="s">
        <v>130</v>
      </c>
      <c r="D81" s="15" t="s">
        <v>63</v>
      </c>
      <c r="F81" s="1">
        <v>144306</v>
      </c>
      <c r="G81" s="1">
        <v>0</v>
      </c>
      <c r="H81" s="1">
        <v>62504</v>
      </c>
      <c r="I81" s="1">
        <v>0</v>
      </c>
      <c r="J81" s="1">
        <v>37408</v>
      </c>
      <c r="K81" s="1">
        <v>0</v>
      </c>
      <c r="L81" s="1">
        <v>26245</v>
      </c>
      <c r="M81" s="1">
        <v>0</v>
      </c>
      <c r="N81" s="1">
        <v>0</v>
      </c>
      <c r="O81" s="1">
        <v>0</v>
      </c>
      <c r="P81" s="1">
        <v>3672</v>
      </c>
      <c r="Q81" s="1">
        <v>0</v>
      </c>
      <c r="R81" s="1">
        <v>9607</v>
      </c>
      <c r="S81" s="1">
        <v>0</v>
      </c>
      <c r="T81" s="1">
        <v>2134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50000</v>
      </c>
      <c r="AA81" s="1">
        <v>0</v>
      </c>
      <c r="AB81" s="1">
        <v>0</v>
      </c>
      <c r="AC81" s="1">
        <v>0</v>
      </c>
      <c r="AD81" s="1">
        <v>0</v>
      </c>
      <c r="AF81" s="4">
        <f t="shared" si="2"/>
        <v>335876</v>
      </c>
    </row>
    <row r="82" spans="1:32" s="4" customFormat="1">
      <c r="A82" s="4">
        <v>232</v>
      </c>
      <c r="B82" s="4" t="s">
        <v>131</v>
      </c>
      <c r="D82" s="4" t="s">
        <v>26</v>
      </c>
      <c r="F82" s="1">
        <v>401216</v>
      </c>
      <c r="G82" s="1">
        <v>0</v>
      </c>
      <c r="H82" s="1">
        <v>79928</v>
      </c>
      <c r="I82" s="1">
        <v>0</v>
      </c>
      <c r="J82" s="1">
        <v>70344</v>
      </c>
      <c r="K82" s="1">
        <v>0</v>
      </c>
      <c r="L82" s="1">
        <v>119787</v>
      </c>
      <c r="M82" s="1">
        <v>0</v>
      </c>
      <c r="N82" s="1">
        <v>0</v>
      </c>
      <c r="O82" s="1">
        <v>0</v>
      </c>
      <c r="P82" s="1">
        <v>16705</v>
      </c>
      <c r="Q82" s="1">
        <v>0</v>
      </c>
      <c r="R82" s="1">
        <v>3775</v>
      </c>
      <c r="S82" s="1">
        <v>0</v>
      </c>
      <c r="T82" s="1">
        <v>11152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F82" s="4">
        <f t="shared" si="2"/>
        <v>702907</v>
      </c>
    </row>
    <row r="83" spans="1:32" s="4" customFormat="1">
      <c r="A83" s="4">
        <v>88</v>
      </c>
      <c r="B83" s="4" t="s">
        <v>336</v>
      </c>
      <c r="D83" s="4" t="s">
        <v>132</v>
      </c>
      <c r="F83" s="1">
        <v>399457.81</v>
      </c>
      <c r="G83" s="1"/>
      <c r="H83" s="1">
        <v>137441.26</v>
      </c>
      <c r="I83" s="1"/>
      <c r="J83" s="1">
        <v>109742.39</v>
      </c>
      <c r="K83" s="1"/>
      <c r="L83" s="1">
        <v>175023.98</v>
      </c>
      <c r="M83" s="1"/>
      <c r="N83" s="1">
        <v>0</v>
      </c>
      <c r="O83" s="1"/>
      <c r="P83" s="1">
        <v>25199.35</v>
      </c>
      <c r="Q83" s="1"/>
      <c r="R83" s="1">
        <v>7641.57</v>
      </c>
      <c r="S83" s="1"/>
      <c r="T83" s="1">
        <v>475750.77</v>
      </c>
      <c r="U83" s="1"/>
      <c r="V83" s="1">
        <v>0</v>
      </c>
      <c r="W83" s="1"/>
      <c r="X83" s="1">
        <v>0</v>
      </c>
      <c r="Y83" s="1"/>
      <c r="Z83" s="1">
        <v>150000</v>
      </c>
      <c r="AA83" s="1"/>
      <c r="AB83" s="1">
        <v>0</v>
      </c>
      <c r="AC83" s="1"/>
      <c r="AD83" s="1">
        <v>0</v>
      </c>
      <c r="AF83" s="4">
        <f t="shared" si="2"/>
        <v>1480257.13</v>
      </c>
    </row>
    <row r="84" spans="1:32" s="4" customFormat="1">
      <c r="A84" s="4">
        <v>138</v>
      </c>
      <c r="B84" s="4" t="s">
        <v>133</v>
      </c>
      <c r="D84" s="4" t="s">
        <v>87</v>
      </c>
      <c r="F84" s="1">
        <v>32359.18</v>
      </c>
      <c r="G84" s="1">
        <v>0</v>
      </c>
      <c r="H84" s="1">
        <v>4667.78</v>
      </c>
      <c r="I84" s="1">
        <v>0</v>
      </c>
      <c r="J84" s="1">
        <v>13075.38</v>
      </c>
      <c r="K84" s="1">
        <v>0</v>
      </c>
      <c r="L84" s="1">
        <v>10807.51</v>
      </c>
      <c r="M84" s="1">
        <v>0</v>
      </c>
      <c r="N84" s="1">
        <v>0</v>
      </c>
      <c r="O84" s="1">
        <v>0</v>
      </c>
      <c r="P84" s="1">
        <v>5742.56</v>
      </c>
      <c r="Q84" s="1">
        <v>0</v>
      </c>
      <c r="R84" s="1">
        <v>0</v>
      </c>
      <c r="S84" s="1">
        <v>0</v>
      </c>
      <c r="T84" s="1">
        <v>31136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F84" s="4">
        <f t="shared" si="2"/>
        <v>97788.41</v>
      </c>
    </row>
    <row r="85" spans="1:32" s="4" customFormat="1"/>
    <row r="86" spans="1:32">
      <c r="B86" s="3" t="s">
        <v>526</v>
      </c>
    </row>
    <row r="87" spans="1:32">
      <c r="B87" s="3" t="s">
        <v>635</v>
      </c>
    </row>
    <row r="88" spans="1:32">
      <c r="B88" s="41" t="s">
        <v>7</v>
      </c>
    </row>
    <row r="90" spans="1:32" s="36" customFormat="1">
      <c r="B90" s="41"/>
      <c r="L90" s="36" t="s">
        <v>8</v>
      </c>
    </row>
    <row r="91" spans="1:32" s="36" customFormat="1">
      <c r="J91" s="36" t="s">
        <v>323</v>
      </c>
      <c r="L91" s="36" t="s">
        <v>555</v>
      </c>
      <c r="N91" s="36" t="s">
        <v>554</v>
      </c>
      <c r="X91" s="36" t="s">
        <v>330</v>
      </c>
      <c r="AD91" s="36" t="s">
        <v>0</v>
      </c>
    </row>
    <row r="92" spans="1:32" s="36" customFormat="1">
      <c r="H92" s="36" t="s">
        <v>321</v>
      </c>
      <c r="J92" s="36" t="s">
        <v>324</v>
      </c>
      <c r="L92" s="36" t="s">
        <v>325</v>
      </c>
      <c r="N92" s="36" t="s">
        <v>552</v>
      </c>
      <c r="T92" s="36" t="s">
        <v>30</v>
      </c>
      <c r="V92" s="36" t="s">
        <v>328</v>
      </c>
      <c r="X92" s="36" t="s">
        <v>331</v>
      </c>
      <c r="AD92" s="36" t="s">
        <v>296</v>
      </c>
    </row>
    <row r="93" spans="1:32" s="36" customFormat="1" ht="12" customHeight="1">
      <c r="A93" s="36" t="s">
        <v>578</v>
      </c>
      <c r="B93" s="37" t="s">
        <v>8</v>
      </c>
      <c r="C93" s="45"/>
      <c r="D93" s="37" t="s">
        <v>6</v>
      </c>
      <c r="E93" s="45"/>
      <c r="F93" s="37" t="s">
        <v>2</v>
      </c>
      <c r="G93" s="45"/>
      <c r="H93" s="37" t="s">
        <v>561</v>
      </c>
      <c r="I93" s="45"/>
      <c r="J93" s="37" t="s">
        <v>29</v>
      </c>
      <c r="K93" s="45"/>
      <c r="L93" s="37" t="s">
        <v>326</v>
      </c>
      <c r="M93" s="45"/>
      <c r="N93" s="37" t="s">
        <v>553</v>
      </c>
      <c r="O93" s="45"/>
      <c r="P93" s="37" t="s">
        <v>4</v>
      </c>
      <c r="Q93" s="45"/>
      <c r="R93" s="37" t="s">
        <v>0</v>
      </c>
      <c r="S93" s="45"/>
      <c r="T93" s="37" t="s">
        <v>327</v>
      </c>
      <c r="U93" s="45"/>
      <c r="V93" s="37" t="s">
        <v>329</v>
      </c>
      <c r="W93" s="45"/>
      <c r="X93" s="37" t="s">
        <v>332</v>
      </c>
      <c r="Y93" s="45"/>
      <c r="Z93" s="37" t="s">
        <v>506</v>
      </c>
      <c r="AA93" s="45"/>
      <c r="AB93" s="37" t="s">
        <v>507</v>
      </c>
      <c r="AC93" s="45"/>
      <c r="AD93" s="37" t="s">
        <v>333</v>
      </c>
      <c r="AE93" s="45"/>
      <c r="AF93" s="46" t="s">
        <v>28</v>
      </c>
    </row>
    <row r="94" spans="1:32" s="4" customFormat="1">
      <c r="A94" s="4">
        <v>52</v>
      </c>
      <c r="B94" s="4" t="s">
        <v>456</v>
      </c>
      <c r="D94" s="4" t="s">
        <v>19</v>
      </c>
      <c r="F94" s="2">
        <v>846031.95</v>
      </c>
      <c r="G94" s="2"/>
      <c r="H94" s="2">
        <v>827740.68</v>
      </c>
      <c r="I94" s="2"/>
      <c r="J94" s="2">
        <v>684920.37</v>
      </c>
      <c r="K94" s="2"/>
      <c r="L94" s="2">
        <v>120610.26</v>
      </c>
      <c r="M94" s="2"/>
      <c r="N94" s="2">
        <v>0</v>
      </c>
      <c r="O94" s="2"/>
      <c r="P94" s="2">
        <v>35007.06</v>
      </c>
      <c r="Q94" s="2"/>
      <c r="R94" s="2">
        <v>46343.48</v>
      </c>
      <c r="S94" s="2"/>
      <c r="T94" s="2">
        <v>47911.75</v>
      </c>
      <c r="U94" s="2"/>
      <c r="V94" s="2">
        <v>0</v>
      </c>
      <c r="W94" s="2"/>
      <c r="X94" s="2">
        <v>0</v>
      </c>
      <c r="Y94" s="2"/>
      <c r="Z94" s="2">
        <v>0</v>
      </c>
      <c r="AA94" s="2"/>
      <c r="AB94" s="2">
        <v>0</v>
      </c>
      <c r="AC94" s="2"/>
      <c r="AD94" s="2">
        <v>0</v>
      </c>
      <c r="AF94" s="7">
        <f t="shared" ref="AF94:AF95" si="3">SUM(F94:AD94)</f>
        <v>2608565.5499999998</v>
      </c>
    </row>
    <row r="95" spans="1:32" s="4" customFormat="1">
      <c r="A95" s="4">
        <v>39</v>
      </c>
      <c r="B95" s="3" t="s">
        <v>567</v>
      </c>
      <c r="C95" s="3"/>
      <c r="D95" s="3" t="s">
        <v>51</v>
      </c>
      <c r="E95" s="3"/>
      <c r="F95" s="1">
        <v>251746.59</v>
      </c>
      <c r="G95" s="1"/>
      <c r="H95" s="1">
        <v>152174.20000000001</v>
      </c>
      <c r="I95" s="1"/>
      <c r="J95" s="1">
        <v>117346.58</v>
      </c>
      <c r="K95" s="1"/>
      <c r="L95" s="1">
        <v>40061.71</v>
      </c>
      <c r="M95" s="1"/>
      <c r="N95" s="1">
        <v>0</v>
      </c>
      <c r="O95" s="1"/>
      <c r="P95" s="1">
        <v>6490.84</v>
      </c>
      <c r="Q95" s="1"/>
      <c r="R95" s="1">
        <v>8081</v>
      </c>
      <c r="S95" s="1"/>
      <c r="T95" s="1">
        <v>9807.4599999999991</v>
      </c>
      <c r="U95" s="1"/>
      <c r="V95" s="1">
        <v>0</v>
      </c>
      <c r="W95" s="1"/>
      <c r="X95" s="1">
        <v>0</v>
      </c>
      <c r="Y95" s="1"/>
      <c r="Z95" s="1">
        <v>0</v>
      </c>
      <c r="AA95" s="1"/>
      <c r="AB95" s="1">
        <v>0</v>
      </c>
      <c r="AC95" s="1"/>
      <c r="AD95" s="1">
        <v>0</v>
      </c>
      <c r="AE95" s="7"/>
      <c r="AF95" s="4">
        <f t="shared" si="3"/>
        <v>585708.38</v>
      </c>
    </row>
    <row r="96" spans="1:32" s="4" customFormat="1">
      <c r="A96" s="4">
        <v>40</v>
      </c>
      <c r="B96" s="4" t="s">
        <v>134</v>
      </c>
      <c r="D96" s="4" t="s">
        <v>51</v>
      </c>
      <c r="F96" s="1">
        <v>172564.15</v>
      </c>
      <c r="G96" s="1"/>
      <c r="H96" s="1">
        <v>60560.39</v>
      </c>
      <c r="I96" s="1"/>
      <c r="J96" s="1">
        <v>33474.78</v>
      </c>
      <c r="K96" s="1"/>
      <c r="L96" s="1">
        <v>56204.24</v>
      </c>
      <c r="M96" s="1"/>
      <c r="N96" s="1">
        <v>0</v>
      </c>
      <c r="O96" s="1"/>
      <c r="P96" s="1">
        <v>12878.48</v>
      </c>
      <c r="Q96" s="1"/>
      <c r="R96" s="1">
        <v>429.86</v>
      </c>
      <c r="S96" s="1"/>
      <c r="T96" s="1">
        <v>1950</v>
      </c>
      <c r="U96" s="1"/>
      <c r="V96" s="1">
        <v>0</v>
      </c>
      <c r="W96" s="1"/>
      <c r="X96" s="1">
        <v>0</v>
      </c>
      <c r="Y96" s="1"/>
      <c r="Z96" s="1">
        <v>0</v>
      </c>
      <c r="AA96" s="1"/>
      <c r="AB96" s="1">
        <v>0</v>
      </c>
      <c r="AC96" s="1"/>
      <c r="AD96" s="1">
        <v>0</v>
      </c>
      <c r="AF96" s="4">
        <f t="shared" ref="AF96:AF129" si="4">SUM(F96:AD96)</f>
        <v>338061.89999999991</v>
      </c>
    </row>
    <row r="97" spans="1:32" s="4" customFormat="1">
      <c r="A97" s="4">
        <v>155</v>
      </c>
      <c r="B97" s="4" t="s">
        <v>429</v>
      </c>
      <c r="D97" s="4" t="s">
        <v>20</v>
      </c>
      <c r="F97" s="1">
        <v>0</v>
      </c>
      <c r="G97" s="1">
        <v>0</v>
      </c>
      <c r="H97" s="1">
        <v>0</v>
      </c>
      <c r="I97" s="1">
        <v>0</v>
      </c>
      <c r="J97" s="1">
        <v>201237</v>
      </c>
      <c r="K97" s="1">
        <v>0</v>
      </c>
      <c r="L97" s="1">
        <v>508720</v>
      </c>
      <c r="M97" s="1">
        <v>0</v>
      </c>
      <c r="N97" s="1">
        <v>211703</v>
      </c>
      <c r="O97" s="1">
        <v>0</v>
      </c>
      <c r="P97" s="1">
        <v>0</v>
      </c>
      <c r="Q97" s="1">
        <v>0</v>
      </c>
      <c r="R97" s="1">
        <f>554429+391678</f>
        <v>946107</v>
      </c>
      <c r="S97" s="1">
        <v>0</v>
      </c>
      <c r="T97" s="1">
        <v>11452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8964</v>
      </c>
      <c r="AA97" s="1">
        <v>0</v>
      </c>
      <c r="AB97" s="1">
        <v>0</v>
      </c>
      <c r="AC97" s="1">
        <v>0</v>
      </c>
      <c r="AD97" s="1">
        <v>0</v>
      </c>
      <c r="AF97" s="4">
        <f t="shared" si="4"/>
        <v>1888183</v>
      </c>
    </row>
    <row r="98" spans="1:32" s="4" customFormat="1">
      <c r="A98" s="4">
        <v>142</v>
      </c>
      <c r="B98" s="4" t="s">
        <v>135</v>
      </c>
      <c r="D98" s="4" t="s">
        <v>57</v>
      </c>
      <c r="F98" s="1">
        <v>1739758</v>
      </c>
      <c r="G98" s="1">
        <v>0</v>
      </c>
      <c r="H98" s="1">
        <v>535853</v>
      </c>
      <c r="I98" s="1">
        <v>0</v>
      </c>
      <c r="J98" s="1">
        <v>610329</v>
      </c>
      <c r="K98" s="1">
        <v>0</v>
      </c>
      <c r="L98" s="1">
        <v>433994</v>
      </c>
      <c r="M98" s="1">
        <v>0</v>
      </c>
      <c r="N98" s="1">
        <v>0</v>
      </c>
      <c r="O98" s="1">
        <v>0</v>
      </c>
      <c r="P98" s="1">
        <v>38749</v>
      </c>
      <c r="Q98" s="1">
        <v>0</v>
      </c>
      <c r="R98" s="1">
        <v>4697</v>
      </c>
      <c r="S98" s="1">
        <v>0</v>
      </c>
      <c r="T98" s="1">
        <v>44987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F98" s="4">
        <f t="shared" si="4"/>
        <v>3408367</v>
      </c>
    </row>
    <row r="99" spans="1:32" s="4" customFormat="1">
      <c r="A99" s="4">
        <v>53</v>
      </c>
      <c r="B99" s="4" t="s">
        <v>18</v>
      </c>
      <c r="D99" s="4" t="s">
        <v>19</v>
      </c>
      <c r="F99" s="1">
        <v>2977175</v>
      </c>
      <c r="G99" s="1">
        <v>0</v>
      </c>
      <c r="H99" s="1">
        <v>0</v>
      </c>
      <c r="I99" s="1">
        <v>0</v>
      </c>
      <c r="J99" s="1">
        <v>685934</v>
      </c>
      <c r="K99" s="1">
        <v>0</v>
      </c>
      <c r="L99" s="1">
        <v>670448</v>
      </c>
      <c r="M99" s="1">
        <v>0</v>
      </c>
      <c r="N99" s="1">
        <v>0</v>
      </c>
      <c r="O99" s="1">
        <v>0</v>
      </c>
      <c r="P99" s="1">
        <v>77972</v>
      </c>
      <c r="Q99" s="1">
        <v>0</v>
      </c>
      <c r="R99" s="1">
        <v>12221</v>
      </c>
      <c r="S99" s="1">
        <v>0</v>
      </c>
      <c r="T99" s="1">
        <v>246861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F99" s="4">
        <f t="shared" si="4"/>
        <v>4670611</v>
      </c>
    </row>
    <row r="100" spans="1:32" s="4" customFormat="1">
      <c r="A100" s="4">
        <v>84</v>
      </c>
      <c r="B100" s="4" t="s">
        <v>136</v>
      </c>
      <c r="D100" s="4" t="s">
        <v>42</v>
      </c>
      <c r="F100" s="1">
        <v>126812.32</v>
      </c>
      <c r="G100" s="1"/>
      <c r="H100" s="1">
        <v>33207.089999999997</v>
      </c>
      <c r="I100" s="1"/>
      <c r="J100" s="1">
        <v>36487.040000000001</v>
      </c>
      <c r="K100" s="1"/>
      <c r="L100" s="1">
        <v>22745.71</v>
      </c>
      <c r="M100" s="1"/>
      <c r="N100" s="1">
        <v>0</v>
      </c>
      <c r="O100" s="1"/>
      <c r="P100" s="1">
        <v>20036.25</v>
      </c>
      <c r="Q100" s="1"/>
      <c r="R100" s="1">
        <v>2812.01</v>
      </c>
      <c r="S100" s="1"/>
      <c r="T100" s="1">
        <v>7390.19</v>
      </c>
      <c r="U100" s="1"/>
      <c r="V100" s="1">
        <v>0</v>
      </c>
      <c r="W100" s="1"/>
      <c r="X100" s="1">
        <v>0</v>
      </c>
      <c r="Y100" s="1"/>
      <c r="Z100" s="1">
        <v>0</v>
      </c>
      <c r="AA100" s="1"/>
      <c r="AB100" s="1">
        <v>0</v>
      </c>
      <c r="AC100" s="1"/>
      <c r="AD100" s="1">
        <v>0</v>
      </c>
      <c r="AF100" s="4">
        <f t="shared" si="4"/>
        <v>249490.61000000002</v>
      </c>
    </row>
    <row r="101" spans="1:32" s="4" customFormat="1">
      <c r="B101" s="4" t="s">
        <v>637</v>
      </c>
      <c r="D101" s="4" t="s">
        <v>89</v>
      </c>
      <c r="F101" s="1">
        <v>397712</v>
      </c>
      <c r="G101" s="1">
        <v>0</v>
      </c>
      <c r="H101" s="1">
        <v>95835</v>
      </c>
      <c r="I101" s="1">
        <v>0</v>
      </c>
      <c r="J101" s="1">
        <v>72780</v>
      </c>
      <c r="K101" s="1">
        <v>0</v>
      </c>
      <c r="L101" s="1">
        <v>15448</v>
      </c>
      <c r="M101" s="1">
        <v>0</v>
      </c>
      <c r="N101" s="1">
        <v>0</v>
      </c>
      <c r="O101" s="1">
        <v>0</v>
      </c>
      <c r="P101" s="1">
        <v>11969</v>
      </c>
      <c r="Q101" s="1">
        <v>0</v>
      </c>
      <c r="R101" s="1">
        <v>26040</v>
      </c>
      <c r="S101" s="1">
        <v>0</v>
      </c>
      <c r="T101" s="1">
        <v>1000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F101" s="4">
        <f t="shared" si="4"/>
        <v>620784</v>
      </c>
    </row>
    <row r="102" spans="1:32" s="4" customFormat="1">
      <c r="A102" s="4">
        <v>70</v>
      </c>
      <c r="B102" s="4" t="s">
        <v>437</v>
      </c>
      <c r="D102" s="4" t="s">
        <v>67</v>
      </c>
      <c r="F102" s="1">
        <v>1312551</v>
      </c>
      <c r="G102" s="1">
        <v>0</v>
      </c>
      <c r="H102" s="1">
        <v>418361</v>
      </c>
      <c r="I102" s="1">
        <v>0</v>
      </c>
      <c r="J102" s="1">
        <v>509097</v>
      </c>
      <c r="K102" s="1">
        <v>0</v>
      </c>
      <c r="L102" s="1">
        <v>331159</v>
      </c>
      <c r="M102" s="1">
        <v>0</v>
      </c>
      <c r="N102" s="1">
        <v>0</v>
      </c>
      <c r="O102" s="1">
        <v>0</v>
      </c>
      <c r="P102" s="1">
        <v>70822</v>
      </c>
      <c r="Q102" s="1">
        <v>0</v>
      </c>
      <c r="R102" s="1">
        <v>8771</v>
      </c>
      <c r="S102" s="1">
        <v>0</v>
      </c>
      <c r="T102" s="1">
        <v>90688</v>
      </c>
      <c r="U102" s="1">
        <v>0</v>
      </c>
      <c r="V102" s="1">
        <v>50367</v>
      </c>
      <c r="W102" s="1">
        <v>0</v>
      </c>
      <c r="X102" s="1">
        <v>22164</v>
      </c>
      <c r="Y102" s="1">
        <v>0</v>
      </c>
      <c r="Z102" s="1">
        <v>72331</v>
      </c>
      <c r="AA102" s="1">
        <v>0</v>
      </c>
      <c r="AB102" s="1">
        <v>0</v>
      </c>
      <c r="AC102" s="1">
        <v>0</v>
      </c>
      <c r="AD102" s="1">
        <v>0</v>
      </c>
      <c r="AF102" s="4">
        <f t="shared" si="4"/>
        <v>2886311</v>
      </c>
    </row>
    <row r="103" spans="1:32" s="4" customFormat="1">
      <c r="A103" s="4">
        <v>123</v>
      </c>
      <c r="B103" s="4" t="s">
        <v>137</v>
      </c>
      <c r="D103" s="4" t="s">
        <v>15</v>
      </c>
      <c r="F103" s="1">
        <v>200631</v>
      </c>
      <c r="G103" s="1">
        <v>0</v>
      </c>
      <c r="H103" s="1">
        <v>60708</v>
      </c>
      <c r="I103" s="1">
        <v>0</v>
      </c>
      <c r="J103" s="1">
        <v>47633</v>
      </c>
      <c r="K103" s="1">
        <v>0</v>
      </c>
      <c r="L103" s="1">
        <v>49017</v>
      </c>
      <c r="M103" s="1">
        <v>0</v>
      </c>
      <c r="N103" s="1">
        <v>0</v>
      </c>
      <c r="O103" s="1">
        <v>0</v>
      </c>
      <c r="P103" s="1">
        <v>10421</v>
      </c>
      <c r="Q103" s="1">
        <v>0</v>
      </c>
      <c r="R103" s="1">
        <v>2210</v>
      </c>
      <c r="S103" s="1">
        <v>0</v>
      </c>
      <c r="T103" s="1">
        <v>170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F103" s="4">
        <f t="shared" si="4"/>
        <v>370790</v>
      </c>
    </row>
    <row r="104" spans="1:32" s="4" customFormat="1">
      <c r="A104" s="4">
        <v>93</v>
      </c>
      <c r="B104" s="4" t="s">
        <v>597</v>
      </c>
      <c r="D104" s="4" t="s">
        <v>139</v>
      </c>
      <c r="F104" s="1">
        <v>1017441.27</v>
      </c>
      <c r="G104" s="1"/>
      <c r="H104" s="1">
        <v>413766.51</v>
      </c>
      <c r="I104" s="1"/>
      <c r="J104" s="1">
        <v>284542.53999999998</v>
      </c>
      <c r="K104" s="1"/>
      <c r="L104" s="1">
        <v>232690.6</v>
      </c>
      <c r="M104" s="1"/>
      <c r="N104" s="1">
        <v>0</v>
      </c>
      <c r="O104" s="1"/>
      <c r="P104" s="1">
        <v>75867.399999999994</v>
      </c>
      <c r="Q104" s="1"/>
      <c r="R104" s="1">
        <v>9718</v>
      </c>
      <c r="S104" s="1"/>
      <c r="T104" s="1">
        <v>184194.62</v>
      </c>
      <c r="U104" s="1"/>
      <c r="V104" s="1">
        <v>215000</v>
      </c>
      <c r="W104" s="1"/>
      <c r="X104" s="1">
        <v>18272.5</v>
      </c>
      <c r="Y104" s="1"/>
      <c r="Z104" s="1">
        <v>240285</v>
      </c>
      <c r="AA104" s="1"/>
      <c r="AB104" s="1">
        <v>0</v>
      </c>
      <c r="AC104" s="1"/>
      <c r="AD104" s="1">
        <v>0</v>
      </c>
      <c r="AF104" s="4">
        <f t="shared" si="4"/>
        <v>2691778.44</v>
      </c>
    </row>
    <row r="105" spans="1:32" s="4" customFormat="1" hidden="1">
      <c r="A105" s="4">
        <v>93</v>
      </c>
      <c r="B105" s="4" t="s">
        <v>365</v>
      </c>
      <c r="D105" s="4" t="s">
        <v>53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4">
        <v>0</v>
      </c>
      <c r="AA105" s="1">
        <v>0</v>
      </c>
      <c r="AB105" s="1">
        <v>0</v>
      </c>
      <c r="AC105" s="1">
        <v>0</v>
      </c>
      <c r="AD105" s="1">
        <v>0</v>
      </c>
      <c r="AF105" s="4">
        <f t="shared" si="4"/>
        <v>0</v>
      </c>
    </row>
    <row r="106" spans="1:32" s="4" customFormat="1">
      <c r="A106" s="4">
        <v>97</v>
      </c>
      <c r="B106" s="4" t="s">
        <v>140</v>
      </c>
      <c r="D106" s="4" t="s">
        <v>61</v>
      </c>
      <c r="F106" s="1">
        <v>47114.36</v>
      </c>
      <c r="G106" s="1"/>
      <c r="H106" s="1">
        <v>13324.45</v>
      </c>
      <c r="I106" s="1"/>
      <c r="J106" s="1">
        <v>22590.39</v>
      </c>
      <c r="K106" s="1"/>
      <c r="L106" s="1">
        <v>20293.98</v>
      </c>
      <c r="M106" s="1"/>
      <c r="N106" s="1">
        <v>0</v>
      </c>
      <c r="O106" s="1"/>
      <c r="P106" s="1">
        <v>3055.11</v>
      </c>
      <c r="Q106" s="1"/>
      <c r="R106" s="1">
        <v>1469</v>
      </c>
      <c r="S106" s="1"/>
      <c r="T106" s="1">
        <v>406.09</v>
      </c>
      <c r="U106" s="1"/>
      <c r="V106" s="1">
        <v>0</v>
      </c>
      <c r="W106" s="1"/>
      <c r="X106" s="1">
        <v>0</v>
      </c>
      <c r="Y106" s="1"/>
      <c r="Z106" s="1">
        <v>0</v>
      </c>
      <c r="AA106" s="1"/>
      <c r="AB106" s="1">
        <v>0</v>
      </c>
      <c r="AC106" s="1"/>
      <c r="AD106" s="1">
        <v>0</v>
      </c>
      <c r="AF106" s="4">
        <f t="shared" si="4"/>
        <v>108253.37999999999</v>
      </c>
    </row>
    <row r="107" spans="1:32" s="4" customFormat="1">
      <c r="A107" s="4">
        <v>159</v>
      </c>
      <c r="B107" s="4" t="s">
        <v>141</v>
      </c>
      <c r="D107" s="4" t="s">
        <v>50</v>
      </c>
      <c r="F107" s="1">
        <v>51188</v>
      </c>
      <c r="G107" s="1">
        <v>0</v>
      </c>
      <c r="H107" s="1">
        <v>7760</v>
      </c>
      <c r="I107" s="1">
        <v>0</v>
      </c>
      <c r="J107" s="1">
        <v>16215</v>
      </c>
      <c r="K107" s="1">
        <v>0</v>
      </c>
      <c r="L107" s="1">
        <v>20581</v>
      </c>
      <c r="M107" s="1">
        <v>0</v>
      </c>
      <c r="N107" s="1">
        <v>0</v>
      </c>
      <c r="O107" s="1">
        <v>0</v>
      </c>
      <c r="P107" s="1">
        <v>6224</v>
      </c>
      <c r="Q107" s="1">
        <v>0</v>
      </c>
      <c r="R107" s="1">
        <v>630</v>
      </c>
      <c r="S107" s="1">
        <v>0</v>
      </c>
      <c r="T107" s="1">
        <v>6968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F107" s="4">
        <f t="shared" si="4"/>
        <v>109566</v>
      </c>
    </row>
    <row r="108" spans="1:32" s="4" customFormat="1">
      <c r="A108" s="4">
        <v>240</v>
      </c>
      <c r="B108" s="4" t="s">
        <v>142</v>
      </c>
      <c r="D108" s="4" t="s">
        <v>54</v>
      </c>
      <c r="F108" s="1">
        <v>659889.44999999995</v>
      </c>
      <c r="G108" s="1"/>
      <c r="H108" s="1">
        <v>200600.59</v>
      </c>
      <c r="I108" s="1"/>
      <c r="J108" s="1">
        <v>219474.86</v>
      </c>
      <c r="K108" s="1"/>
      <c r="L108" s="1">
        <v>270849.52</v>
      </c>
      <c r="M108" s="1"/>
      <c r="N108" s="1">
        <v>0</v>
      </c>
      <c r="O108" s="1"/>
      <c r="P108" s="1">
        <v>28635.25</v>
      </c>
      <c r="Q108" s="1"/>
      <c r="R108" s="1">
        <v>2500</v>
      </c>
      <c r="S108" s="1"/>
      <c r="T108" s="1">
        <v>82999</v>
      </c>
      <c r="U108" s="1"/>
      <c r="V108" s="1">
        <v>0</v>
      </c>
      <c r="W108" s="1"/>
      <c r="X108" s="1">
        <v>0</v>
      </c>
      <c r="Y108" s="1"/>
      <c r="Z108" s="1">
        <v>213000</v>
      </c>
      <c r="AA108" s="1"/>
      <c r="AB108" s="1">
        <v>0</v>
      </c>
      <c r="AC108" s="1"/>
      <c r="AD108" s="1">
        <v>12816</v>
      </c>
      <c r="AF108" s="4">
        <f t="shared" si="4"/>
        <v>1690764.67</v>
      </c>
    </row>
    <row r="109" spans="1:32" s="4" customFormat="1">
      <c r="A109" s="4">
        <v>48</v>
      </c>
      <c r="B109" s="4" t="s">
        <v>143</v>
      </c>
      <c r="D109" s="4" t="s">
        <v>52</v>
      </c>
      <c r="F109" s="1">
        <v>273513.01</v>
      </c>
      <c r="G109" s="1"/>
      <c r="H109" s="1">
        <v>65302.05</v>
      </c>
      <c r="I109" s="1"/>
      <c r="J109" s="1">
        <v>130654.3</v>
      </c>
      <c r="K109" s="1"/>
      <c r="L109" s="1">
        <v>64184.39</v>
      </c>
      <c r="M109" s="1"/>
      <c r="N109" s="1">
        <v>0</v>
      </c>
      <c r="O109" s="1"/>
      <c r="P109" s="1">
        <v>13796.88</v>
      </c>
      <c r="Q109" s="1"/>
      <c r="R109" s="1">
        <v>2895.41</v>
      </c>
      <c r="S109" s="1"/>
      <c r="T109" s="1">
        <v>6539.49</v>
      </c>
      <c r="U109" s="1"/>
      <c r="V109" s="1">
        <v>0</v>
      </c>
      <c r="W109" s="1"/>
      <c r="X109" s="1">
        <v>0</v>
      </c>
      <c r="Y109" s="1"/>
      <c r="Z109" s="1">
        <v>0</v>
      </c>
      <c r="AA109" s="1"/>
      <c r="AB109" s="1">
        <v>0</v>
      </c>
      <c r="AC109" s="1"/>
      <c r="AD109" s="1">
        <v>0</v>
      </c>
      <c r="AF109" s="4">
        <f t="shared" si="4"/>
        <v>556885.53</v>
      </c>
    </row>
    <row r="110" spans="1:32" s="4" customFormat="1">
      <c r="A110" s="4">
        <v>190</v>
      </c>
      <c r="B110" s="4" t="s">
        <v>144</v>
      </c>
      <c r="D110" s="4" t="s">
        <v>145</v>
      </c>
      <c r="F110" s="1">
        <v>500937</v>
      </c>
      <c r="G110" s="1">
        <v>0</v>
      </c>
      <c r="H110" s="1">
        <v>153216</v>
      </c>
      <c r="I110" s="1">
        <v>0</v>
      </c>
      <c r="J110" s="1">
        <v>155704</v>
      </c>
      <c r="K110" s="1">
        <v>0</v>
      </c>
      <c r="L110" s="1">
        <v>120610</v>
      </c>
      <c r="M110" s="1">
        <v>0</v>
      </c>
      <c r="N110" s="1">
        <v>0</v>
      </c>
      <c r="O110" s="1">
        <v>0</v>
      </c>
      <c r="P110" s="1">
        <v>20731</v>
      </c>
      <c r="Q110" s="1">
        <v>0</v>
      </c>
      <c r="R110" s="1">
        <v>4728</v>
      </c>
      <c r="S110" s="1">
        <v>0</v>
      </c>
      <c r="T110" s="1">
        <v>90762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F110" s="4">
        <f t="shared" si="4"/>
        <v>1046688</v>
      </c>
    </row>
    <row r="111" spans="1:32" s="4" customFormat="1">
      <c r="A111" s="4">
        <v>90</v>
      </c>
      <c r="B111" s="4" t="s">
        <v>146</v>
      </c>
      <c r="D111" s="4" t="s">
        <v>17</v>
      </c>
      <c r="F111" s="1">
        <v>2833009</v>
      </c>
      <c r="G111" s="1">
        <v>0</v>
      </c>
      <c r="H111" s="1">
        <v>688390</v>
      </c>
      <c r="I111" s="1">
        <v>0</v>
      </c>
      <c r="J111" s="1">
        <v>809127</v>
      </c>
      <c r="K111" s="1">
        <v>0</v>
      </c>
      <c r="L111" s="1">
        <v>720206</v>
      </c>
      <c r="M111" s="1">
        <v>0</v>
      </c>
      <c r="N111" s="1">
        <v>0</v>
      </c>
      <c r="O111" s="1">
        <v>0</v>
      </c>
      <c r="P111" s="1">
        <v>93862</v>
      </c>
      <c r="Q111" s="1">
        <v>0</v>
      </c>
      <c r="R111" s="1">
        <v>13210</v>
      </c>
      <c r="S111" s="1">
        <v>0</v>
      </c>
      <c r="T111" s="1">
        <v>111863</v>
      </c>
      <c r="U111" s="1">
        <v>0</v>
      </c>
      <c r="V111" s="1">
        <v>20000</v>
      </c>
      <c r="W111" s="1"/>
      <c r="X111" s="1">
        <v>7700</v>
      </c>
      <c r="Y111" s="1">
        <v>0</v>
      </c>
      <c r="Z111" s="1">
        <v>687686</v>
      </c>
      <c r="AA111" s="1">
        <v>0</v>
      </c>
      <c r="AB111" s="1">
        <v>0</v>
      </c>
      <c r="AC111" s="1">
        <v>0</v>
      </c>
      <c r="AD111" s="1">
        <v>0</v>
      </c>
      <c r="AF111" s="4">
        <f t="shared" si="4"/>
        <v>5985053</v>
      </c>
    </row>
    <row r="112" spans="1:32" s="4" customFormat="1">
      <c r="A112" s="4">
        <v>170</v>
      </c>
      <c r="B112" s="4" t="s">
        <v>147</v>
      </c>
      <c r="D112" s="4" t="s">
        <v>55</v>
      </c>
      <c r="F112" s="1">
        <v>325069.28999999998</v>
      </c>
      <c r="G112" s="1"/>
      <c r="H112" s="1">
        <v>76861.27</v>
      </c>
      <c r="I112" s="1"/>
      <c r="J112" s="1">
        <v>67823.92</v>
      </c>
      <c r="K112" s="1"/>
      <c r="L112" s="1">
        <v>46434.63</v>
      </c>
      <c r="M112" s="1"/>
      <c r="N112" s="1">
        <v>0</v>
      </c>
      <c r="O112" s="1"/>
      <c r="P112" s="1">
        <v>9464.2099999999991</v>
      </c>
      <c r="Q112" s="1"/>
      <c r="R112" s="1">
        <v>4523.38</v>
      </c>
      <c r="S112" s="1"/>
      <c r="T112" s="1">
        <v>3184.7</v>
      </c>
      <c r="U112" s="1"/>
      <c r="V112" s="1">
        <v>64339.78</v>
      </c>
      <c r="W112" s="1"/>
      <c r="X112" s="1">
        <v>26491.22</v>
      </c>
      <c r="Y112" s="1"/>
      <c r="Z112" s="1">
        <v>0</v>
      </c>
      <c r="AA112" s="1"/>
      <c r="AB112" s="1">
        <v>0</v>
      </c>
      <c r="AC112" s="1"/>
      <c r="AD112" s="1">
        <v>0</v>
      </c>
      <c r="AF112" s="4">
        <f t="shared" si="4"/>
        <v>624192.39999999991</v>
      </c>
    </row>
    <row r="113" spans="1:32" s="4" customFormat="1">
      <c r="A113" s="4">
        <v>170</v>
      </c>
      <c r="B113" s="4" t="s">
        <v>34</v>
      </c>
      <c r="D113" s="4" t="s">
        <v>56</v>
      </c>
      <c r="F113" s="1">
        <v>372658.07</v>
      </c>
      <c r="G113" s="1"/>
      <c r="H113" s="1">
        <v>135630.5</v>
      </c>
      <c r="I113" s="1"/>
      <c r="J113" s="1">
        <v>75745.39</v>
      </c>
      <c r="K113" s="1"/>
      <c r="L113" s="1">
        <v>40540.74</v>
      </c>
      <c r="M113" s="1"/>
      <c r="N113" s="1">
        <v>0</v>
      </c>
      <c r="O113" s="1"/>
      <c r="P113" s="1">
        <v>18492.62</v>
      </c>
      <c r="Q113" s="1"/>
      <c r="R113" s="1">
        <v>245</v>
      </c>
      <c r="S113" s="1"/>
      <c r="T113" s="1">
        <v>0</v>
      </c>
      <c r="U113" s="1"/>
      <c r="V113" s="1">
        <v>0</v>
      </c>
      <c r="W113" s="1"/>
      <c r="X113" s="1">
        <v>0</v>
      </c>
      <c r="Y113" s="1"/>
      <c r="Z113" s="1">
        <v>0</v>
      </c>
      <c r="AA113" s="1"/>
      <c r="AB113" s="1">
        <v>0</v>
      </c>
      <c r="AC113" s="1"/>
      <c r="AD113" s="1">
        <v>0</v>
      </c>
      <c r="AF113" s="4">
        <f t="shared" ref="AF113" si="5">SUM(F113:AD113)</f>
        <v>643312.31999999995</v>
      </c>
    </row>
    <row r="114" spans="1:32" s="4" customFormat="1">
      <c r="A114" s="4">
        <v>224</v>
      </c>
      <c r="B114" s="4" t="s">
        <v>35</v>
      </c>
      <c r="D114" s="4" t="s">
        <v>26</v>
      </c>
      <c r="F114" s="1">
        <v>60956.22</v>
      </c>
      <c r="G114" s="1"/>
      <c r="H114" s="1">
        <v>9232.49</v>
      </c>
      <c r="I114" s="1"/>
      <c r="J114" s="1">
        <v>11656.83</v>
      </c>
      <c r="K114" s="1"/>
      <c r="L114" s="1">
        <v>11632.11</v>
      </c>
      <c r="M114" s="1"/>
      <c r="N114" s="1">
        <v>0</v>
      </c>
      <c r="O114" s="1"/>
      <c r="P114" s="1">
        <v>5061.79</v>
      </c>
      <c r="Q114" s="1"/>
      <c r="R114" s="1">
        <v>566</v>
      </c>
      <c r="S114" s="1"/>
      <c r="T114" s="1">
        <v>0</v>
      </c>
      <c r="U114" s="1"/>
      <c r="V114" s="1">
        <v>0</v>
      </c>
      <c r="W114" s="1"/>
      <c r="X114" s="1">
        <v>0</v>
      </c>
      <c r="Y114" s="1"/>
      <c r="Z114" s="1">
        <v>0</v>
      </c>
      <c r="AA114" s="1"/>
      <c r="AB114" s="1">
        <v>0</v>
      </c>
      <c r="AC114" s="1"/>
      <c r="AD114" s="1">
        <v>0</v>
      </c>
      <c r="AF114" s="4">
        <f t="shared" si="4"/>
        <v>99105.44</v>
      </c>
    </row>
    <row r="115" spans="1:32" s="4" customFormat="1">
      <c r="A115" s="4">
        <v>143</v>
      </c>
      <c r="B115" s="4" t="s">
        <v>148</v>
      </c>
      <c r="D115" s="4" t="s">
        <v>57</v>
      </c>
      <c r="F115" s="1">
        <v>215531.68</v>
      </c>
      <c r="G115" s="1"/>
      <c r="H115" s="1">
        <v>79211.67</v>
      </c>
      <c r="I115" s="1"/>
      <c r="J115" s="1">
        <v>92570.02</v>
      </c>
      <c r="K115" s="1"/>
      <c r="L115" s="1">
        <v>76221.25</v>
      </c>
      <c r="M115" s="1"/>
      <c r="N115" s="1">
        <v>0</v>
      </c>
      <c r="O115" s="1"/>
      <c r="P115" s="1">
        <v>6247.56</v>
      </c>
      <c r="Q115" s="1"/>
      <c r="R115" s="1">
        <v>5476.23</v>
      </c>
      <c r="S115" s="1"/>
      <c r="T115" s="1">
        <v>54878.5</v>
      </c>
      <c r="U115" s="1"/>
      <c r="V115" s="1">
        <v>0</v>
      </c>
      <c r="W115" s="1"/>
      <c r="X115" s="1">
        <v>0</v>
      </c>
      <c r="Y115" s="1"/>
      <c r="Z115" s="1">
        <v>0</v>
      </c>
      <c r="AA115" s="1"/>
      <c r="AB115" s="1">
        <v>0</v>
      </c>
      <c r="AC115" s="1"/>
      <c r="AD115" s="1">
        <v>0</v>
      </c>
      <c r="AF115" s="4">
        <f t="shared" si="4"/>
        <v>530136.90999999992</v>
      </c>
    </row>
    <row r="116" spans="1:32" s="4" customFormat="1">
      <c r="A116" s="4">
        <v>11</v>
      </c>
      <c r="B116" s="4" t="s">
        <v>304</v>
      </c>
      <c r="D116" s="4" t="s">
        <v>43</v>
      </c>
      <c r="F116" s="1">
        <v>95037.71</v>
      </c>
      <c r="G116" s="1"/>
      <c r="H116" s="1">
        <v>15045.44</v>
      </c>
      <c r="I116" s="1"/>
      <c r="J116" s="1">
        <v>23980.54</v>
      </c>
      <c r="K116" s="1"/>
      <c r="L116" s="1">
        <v>17338.810000000001</v>
      </c>
      <c r="M116" s="1"/>
      <c r="N116" s="1">
        <v>0</v>
      </c>
      <c r="O116" s="1"/>
      <c r="P116" s="1">
        <v>3802.81</v>
      </c>
      <c r="Q116" s="1"/>
      <c r="R116" s="1">
        <v>9555.2999999999993</v>
      </c>
      <c r="S116" s="1"/>
      <c r="T116" s="1">
        <v>11805.23</v>
      </c>
      <c r="U116" s="1"/>
      <c r="V116" s="1">
        <v>0</v>
      </c>
      <c r="W116" s="1"/>
      <c r="X116" s="1">
        <v>0</v>
      </c>
      <c r="Y116" s="1"/>
      <c r="Z116" s="1">
        <v>0</v>
      </c>
      <c r="AA116" s="1"/>
      <c r="AB116" s="1">
        <v>0</v>
      </c>
      <c r="AC116" s="1"/>
      <c r="AD116" s="1">
        <v>0</v>
      </c>
      <c r="AF116" s="4">
        <f t="shared" si="4"/>
        <v>176565.84</v>
      </c>
    </row>
    <row r="117" spans="1:32" s="4" customFormat="1">
      <c r="A117" s="4">
        <v>77</v>
      </c>
      <c r="B117" s="4" t="s">
        <v>149</v>
      </c>
      <c r="D117" s="4" t="s">
        <v>92</v>
      </c>
      <c r="F117" s="1">
        <v>1113413</v>
      </c>
      <c r="G117" s="1">
        <v>0</v>
      </c>
      <c r="H117" s="1">
        <v>463177</v>
      </c>
      <c r="I117" s="1">
        <v>0</v>
      </c>
      <c r="J117" s="1">
        <v>353046</v>
      </c>
      <c r="K117" s="1">
        <v>0</v>
      </c>
      <c r="L117" s="1">
        <v>296897</v>
      </c>
      <c r="M117" s="1">
        <v>0</v>
      </c>
      <c r="N117" s="1">
        <v>0</v>
      </c>
      <c r="O117" s="1">
        <v>0</v>
      </c>
      <c r="P117" s="1">
        <v>34596</v>
      </c>
      <c r="Q117" s="1">
        <v>0</v>
      </c>
      <c r="R117" s="1">
        <v>4937</v>
      </c>
      <c r="S117" s="1">
        <v>0</v>
      </c>
      <c r="T117" s="1">
        <v>54594</v>
      </c>
      <c r="U117" s="1">
        <v>0</v>
      </c>
      <c r="V117" s="1">
        <v>36000</v>
      </c>
      <c r="W117" s="1">
        <v>0</v>
      </c>
      <c r="X117" s="1">
        <v>4426</v>
      </c>
      <c r="Y117" s="1">
        <v>0</v>
      </c>
      <c r="Z117" s="1">
        <v>40455</v>
      </c>
      <c r="AA117" s="1">
        <v>0</v>
      </c>
      <c r="AB117" s="1">
        <v>0</v>
      </c>
      <c r="AC117" s="1">
        <v>0</v>
      </c>
      <c r="AD117" s="1">
        <v>0</v>
      </c>
      <c r="AF117" s="4">
        <f t="shared" si="4"/>
        <v>2401541</v>
      </c>
    </row>
    <row r="118" spans="1:32" s="4" customFormat="1" hidden="1">
      <c r="A118" s="4">
        <v>132</v>
      </c>
      <c r="B118" s="4" t="s">
        <v>150</v>
      </c>
      <c r="D118" s="4" t="s">
        <v>41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F118" s="4">
        <f t="shared" si="4"/>
        <v>0</v>
      </c>
    </row>
    <row r="119" spans="1:32" s="4" customFormat="1">
      <c r="A119" s="4">
        <v>91</v>
      </c>
      <c r="B119" s="4" t="s">
        <v>598</v>
      </c>
      <c r="D119" s="4" t="s">
        <v>152</v>
      </c>
      <c r="F119" s="1">
        <v>0</v>
      </c>
      <c r="G119" s="1">
        <v>0</v>
      </c>
      <c r="H119" s="1">
        <v>0</v>
      </c>
      <c r="I119" s="1">
        <v>0</v>
      </c>
      <c r="J119" s="1">
        <v>375769</v>
      </c>
      <c r="K119" s="1">
        <v>0</v>
      </c>
      <c r="L119" s="1">
        <f>3394092+664208+1418322</f>
        <v>5476622</v>
      </c>
      <c r="M119" s="1">
        <v>0</v>
      </c>
      <c r="N119" s="1">
        <v>771037</v>
      </c>
      <c r="O119" s="1">
        <v>0</v>
      </c>
      <c r="P119" s="1">
        <v>0</v>
      </c>
      <c r="Q119" s="1">
        <v>0</v>
      </c>
      <c r="R119" s="1">
        <f>1232066+25832</f>
        <v>1257898</v>
      </c>
      <c r="S119" s="1">
        <v>0</v>
      </c>
      <c r="T119" s="1">
        <v>211021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1000</v>
      </c>
      <c r="AA119" s="1">
        <v>0</v>
      </c>
      <c r="AB119" s="1">
        <v>0</v>
      </c>
      <c r="AC119" s="1">
        <v>0</v>
      </c>
      <c r="AD119" s="1">
        <v>0</v>
      </c>
      <c r="AF119" s="4">
        <f t="shared" si="4"/>
        <v>8093347</v>
      </c>
    </row>
    <row r="120" spans="1:32" s="4" customFormat="1">
      <c r="A120" s="4">
        <v>59</v>
      </c>
      <c r="B120" s="4" t="s">
        <v>153</v>
      </c>
      <c r="D120" s="4" t="s">
        <v>81</v>
      </c>
      <c r="F120" s="1">
        <v>340000</v>
      </c>
      <c r="G120" s="1"/>
      <c r="H120" s="1">
        <v>97751.5</v>
      </c>
      <c r="I120" s="1"/>
      <c r="J120" s="1">
        <v>98945.02</v>
      </c>
      <c r="K120" s="1"/>
      <c r="L120" s="1">
        <v>54821.05</v>
      </c>
      <c r="M120" s="1"/>
      <c r="N120" s="1">
        <v>0</v>
      </c>
      <c r="O120" s="1"/>
      <c r="P120" s="1">
        <v>25192.17</v>
      </c>
      <c r="Q120" s="1"/>
      <c r="R120" s="1">
        <v>3585.27</v>
      </c>
      <c r="S120" s="1"/>
      <c r="T120" s="1">
        <v>92442.29</v>
      </c>
      <c r="U120" s="1"/>
      <c r="V120" s="1">
        <v>0</v>
      </c>
      <c r="W120" s="1"/>
      <c r="X120" s="1">
        <v>107350.56</v>
      </c>
      <c r="Y120" s="1"/>
      <c r="Z120" s="1">
        <v>0</v>
      </c>
      <c r="AA120" s="1"/>
      <c r="AB120" s="1">
        <v>0</v>
      </c>
      <c r="AC120" s="1"/>
      <c r="AD120" s="1">
        <v>0</v>
      </c>
      <c r="AF120" s="4">
        <f t="shared" si="4"/>
        <v>820087.8600000001</v>
      </c>
    </row>
    <row r="121" spans="1:32" s="4" customFormat="1">
      <c r="A121" s="4">
        <v>92</v>
      </c>
      <c r="B121" s="4" t="s">
        <v>599</v>
      </c>
      <c r="D121" s="4" t="s">
        <v>154</v>
      </c>
      <c r="F121" s="1">
        <v>634373</v>
      </c>
      <c r="G121" s="1">
        <v>0</v>
      </c>
      <c r="H121" s="1">
        <v>318765</v>
      </c>
      <c r="I121" s="1">
        <v>0</v>
      </c>
      <c r="J121" s="1">
        <v>177104</v>
      </c>
      <c r="K121" s="1">
        <v>0</v>
      </c>
      <c r="L121" s="1">
        <v>178044</v>
      </c>
      <c r="M121" s="1">
        <v>0</v>
      </c>
      <c r="N121" s="1">
        <v>0</v>
      </c>
      <c r="O121" s="1">
        <v>0</v>
      </c>
      <c r="P121" s="1">
        <v>26717</v>
      </c>
      <c r="Q121" s="1">
        <v>0</v>
      </c>
      <c r="R121" s="1">
        <v>7792</v>
      </c>
      <c r="S121" s="1">
        <v>0</v>
      </c>
      <c r="T121" s="1">
        <v>1673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F121" s="4">
        <f t="shared" si="4"/>
        <v>1344468</v>
      </c>
    </row>
    <row r="122" spans="1:32" s="4" customFormat="1">
      <c r="A122" s="4">
        <v>12</v>
      </c>
      <c r="B122" s="4" t="s">
        <v>155</v>
      </c>
      <c r="D122" s="4" t="s">
        <v>43</v>
      </c>
      <c r="F122" s="1">
        <v>202108.03</v>
      </c>
      <c r="G122" s="1"/>
      <c r="H122" s="1">
        <v>53030.78</v>
      </c>
      <c r="I122" s="1"/>
      <c r="J122" s="1">
        <v>80387.48</v>
      </c>
      <c r="K122" s="1"/>
      <c r="L122" s="1">
        <v>61050.7</v>
      </c>
      <c r="M122" s="1"/>
      <c r="N122" s="1">
        <v>0</v>
      </c>
      <c r="O122" s="1"/>
      <c r="P122" s="1">
        <v>16741.8</v>
      </c>
      <c r="Q122" s="1"/>
      <c r="R122" s="1">
        <v>3217.24</v>
      </c>
      <c r="S122" s="1"/>
      <c r="T122" s="1">
        <v>11722.47</v>
      </c>
      <c r="U122" s="1"/>
      <c r="V122" s="1">
        <v>49491.26</v>
      </c>
      <c r="W122" s="1"/>
      <c r="X122" s="1">
        <v>43132.26</v>
      </c>
      <c r="Y122" s="1"/>
      <c r="Z122" s="1">
        <v>140354</v>
      </c>
      <c r="AA122" s="1"/>
      <c r="AB122" s="1">
        <v>0</v>
      </c>
      <c r="AC122" s="1"/>
      <c r="AD122" s="1">
        <v>0</v>
      </c>
      <c r="AF122" s="4">
        <f t="shared" si="4"/>
        <v>661236.02</v>
      </c>
    </row>
    <row r="123" spans="1:32" s="4" customFormat="1">
      <c r="A123" s="4">
        <v>98</v>
      </c>
      <c r="B123" s="4" t="s">
        <v>156</v>
      </c>
      <c r="D123" s="4" t="s">
        <v>61</v>
      </c>
      <c r="F123" s="1">
        <v>30483</v>
      </c>
      <c r="G123" s="1">
        <v>0</v>
      </c>
      <c r="H123" s="1">
        <v>4403</v>
      </c>
      <c r="I123" s="1">
        <v>0</v>
      </c>
      <c r="J123" s="1">
        <v>9544</v>
      </c>
      <c r="K123" s="1">
        <v>0</v>
      </c>
      <c r="L123" s="1">
        <v>7952</v>
      </c>
      <c r="M123" s="1">
        <v>0</v>
      </c>
      <c r="N123" s="1">
        <v>0</v>
      </c>
      <c r="O123" s="1">
        <v>0</v>
      </c>
      <c r="P123" s="1">
        <v>2963</v>
      </c>
      <c r="Q123" s="1">
        <v>0</v>
      </c>
      <c r="R123" s="1">
        <v>2936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F123" s="4">
        <f t="shared" si="4"/>
        <v>58281</v>
      </c>
    </row>
    <row r="124" spans="1:32" s="4" customFormat="1">
      <c r="A124" s="4">
        <v>181</v>
      </c>
      <c r="B124" s="4" t="s">
        <v>157</v>
      </c>
      <c r="D124" s="4" t="s">
        <v>158</v>
      </c>
      <c r="F124" s="1">
        <v>212975</v>
      </c>
      <c r="G124" s="1">
        <v>0</v>
      </c>
      <c r="H124" s="1">
        <v>43074</v>
      </c>
      <c r="I124" s="1">
        <v>0</v>
      </c>
      <c r="J124" s="1">
        <v>69172</v>
      </c>
      <c r="K124" s="1">
        <v>0</v>
      </c>
      <c r="L124" s="1">
        <v>27451</v>
      </c>
      <c r="M124" s="1">
        <v>0</v>
      </c>
      <c r="N124" s="1">
        <v>0</v>
      </c>
      <c r="O124" s="1">
        <v>0</v>
      </c>
      <c r="P124" s="1">
        <v>13950</v>
      </c>
      <c r="Q124" s="1">
        <v>0</v>
      </c>
      <c r="R124" s="1">
        <v>15409</v>
      </c>
      <c r="S124" s="1">
        <v>0</v>
      </c>
      <c r="T124" s="1">
        <v>23595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30000</v>
      </c>
      <c r="AA124" s="1">
        <v>0</v>
      </c>
      <c r="AB124" s="1">
        <v>0</v>
      </c>
      <c r="AC124" s="1">
        <v>0</v>
      </c>
      <c r="AD124" s="1">
        <v>0</v>
      </c>
      <c r="AF124" s="4">
        <f t="shared" si="4"/>
        <v>435626</v>
      </c>
    </row>
    <row r="125" spans="1:32" s="4" customFormat="1">
      <c r="A125" s="4">
        <v>13</v>
      </c>
      <c r="B125" s="4" t="s">
        <v>305</v>
      </c>
      <c r="D125" s="4" t="s">
        <v>43</v>
      </c>
      <c r="F125" s="1">
        <v>155104.44</v>
      </c>
      <c r="G125" s="1"/>
      <c r="H125" s="1">
        <v>37142.93</v>
      </c>
      <c r="I125" s="1"/>
      <c r="J125" s="1">
        <v>65235.45</v>
      </c>
      <c r="K125" s="1"/>
      <c r="L125" s="1">
        <v>73788.56</v>
      </c>
      <c r="M125" s="1"/>
      <c r="N125" s="1">
        <v>0</v>
      </c>
      <c r="O125" s="1"/>
      <c r="P125" s="1">
        <v>8717.8799999999992</v>
      </c>
      <c r="Q125" s="1"/>
      <c r="R125" s="1">
        <v>1048.71</v>
      </c>
      <c r="S125" s="1"/>
      <c r="T125" s="1">
        <v>8331.44</v>
      </c>
      <c r="U125" s="1"/>
      <c r="V125" s="1">
        <v>0</v>
      </c>
      <c r="W125" s="1"/>
      <c r="X125" s="1">
        <v>0</v>
      </c>
      <c r="Y125" s="1"/>
      <c r="Z125" s="1">
        <v>0</v>
      </c>
      <c r="AA125" s="1"/>
      <c r="AB125" s="1">
        <v>0</v>
      </c>
      <c r="AC125" s="1"/>
      <c r="AD125" s="1">
        <v>0</v>
      </c>
      <c r="AF125" s="4">
        <f t="shared" si="4"/>
        <v>349369.41000000003</v>
      </c>
    </row>
    <row r="126" spans="1:32" s="4" customFormat="1">
      <c r="A126" s="4">
        <v>239</v>
      </c>
      <c r="B126" s="4" t="s">
        <v>159</v>
      </c>
      <c r="D126" s="4" t="s">
        <v>160</v>
      </c>
      <c r="F126" s="1">
        <v>226550</v>
      </c>
      <c r="G126" s="1">
        <v>0</v>
      </c>
      <c r="H126" s="1">
        <v>72462</v>
      </c>
      <c r="I126" s="1">
        <v>0</v>
      </c>
      <c r="J126" s="1">
        <v>45746</v>
      </c>
      <c r="K126" s="1">
        <v>0</v>
      </c>
      <c r="L126" s="1">
        <v>53012</v>
      </c>
      <c r="M126" s="1">
        <v>0</v>
      </c>
      <c r="N126" s="1">
        <v>0</v>
      </c>
      <c r="O126" s="1">
        <v>0</v>
      </c>
      <c r="P126" s="1">
        <v>12273</v>
      </c>
      <c r="Q126" s="1">
        <v>0</v>
      </c>
      <c r="R126" s="1">
        <v>2332</v>
      </c>
      <c r="S126" s="1">
        <v>0</v>
      </c>
      <c r="T126" s="1">
        <v>64224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F126" s="4">
        <f t="shared" si="4"/>
        <v>476599</v>
      </c>
    </row>
    <row r="127" spans="1:32" s="4" customFormat="1">
      <c r="A127" s="4">
        <v>144</v>
      </c>
      <c r="B127" s="4" t="s">
        <v>458</v>
      </c>
      <c r="D127" s="4" t="s">
        <v>57</v>
      </c>
      <c r="F127" s="1">
        <v>242525.73</v>
      </c>
      <c r="G127" s="1"/>
      <c r="H127" s="1">
        <v>72056.86</v>
      </c>
      <c r="I127" s="1"/>
      <c r="J127" s="1">
        <v>86201.3</v>
      </c>
      <c r="K127" s="1"/>
      <c r="L127" s="1">
        <v>74222.789999999994</v>
      </c>
      <c r="M127" s="1"/>
      <c r="N127" s="1">
        <v>0</v>
      </c>
      <c r="O127" s="1"/>
      <c r="P127" s="1">
        <v>12034.1</v>
      </c>
      <c r="Q127" s="1"/>
      <c r="R127" s="1">
        <v>2458.58</v>
      </c>
      <c r="S127" s="1"/>
      <c r="T127" s="1">
        <v>17665.8</v>
      </c>
      <c r="U127" s="1"/>
      <c r="V127" s="1">
        <v>0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2641</v>
      </c>
      <c r="AF127" s="4">
        <f t="shared" si="4"/>
        <v>509806.16</v>
      </c>
    </row>
    <row r="128" spans="1:32" s="4" customFormat="1">
      <c r="A128" s="4">
        <v>107</v>
      </c>
      <c r="B128" s="4" t="s">
        <v>617</v>
      </c>
      <c r="D128" s="4" t="s">
        <v>58</v>
      </c>
      <c r="F128" s="1">
        <v>669036.23</v>
      </c>
      <c r="G128" s="1"/>
      <c r="H128" s="1">
        <v>184686.34</v>
      </c>
      <c r="I128" s="1"/>
      <c r="J128" s="1">
        <v>179621.15</v>
      </c>
      <c r="K128" s="1"/>
      <c r="L128" s="1">
        <v>95532.93</v>
      </c>
      <c r="M128" s="1"/>
      <c r="N128" s="1">
        <v>0</v>
      </c>
      <c r="O128" s="1"/>
      <c r="P128" s="1">
        <v>13450.35</v>
      </c>
      <c r="Q128" s="1"/>
      <c r="R128" s="1">
        <v>10924.5</v>
      </c>
      <c r="S128" s="1"/>
      <c r="T128" s="1">
        <v>11811.46</v>
      </c>
      <c r="U128" s="1"/>
      <c r="V128" s="1">
        <v>0</v>
      </c>
      <c r="W128" s="1"/>
      <c r="X128" s="1">
        <v>0</v>
      </c>
      <c r="Y128" s="1"/>
      <c r="Z128" s="1">
        <v>0</v>
      </c>
      <c r="AA128" s="1"/>
      <c r="AB128" s="1">
        <v>0</v>
      </c>
      <c r="AC128" s="1"/>
      <c r="AD128" s="1">
        <v>0</v>
      </c>
      <c r="AF128" s="4">
        <f t="shared" si="4"/>
        <v>1165062.96</v>
      </c>
    </row>
    <row r="129" spans="1:32" s="4" customFormat="1">
      <c r="A129" s="4">
        <v>103</v>
      </c>
      <c r="B129" s="4" t="s">
        <v>162</v>
      </c>
      <c r="D129" s="4" t="s">
        <v>60</v>
      </c>
      <c r="F129" s="1">
        <v>60984.2</v>
      </c>
      <c r="G129" s="1">
        <v>0</v>
      </c>
      <c r="H129" s="1">
        <v>9448.91</v>
      </c>
      <c r="I129" s="1">
        <v>0</v>
      </c>
      <c r="J129" s="1">
        <v>23713.71</v>
      </c>
      <c r="K129" s="1">
        <v>0</v>
      </c>
      <c r="L129" s="1">
        <v>8523.43</v>
      </c>
      <c r="M129" s="1">
        <v>0</v>
      </c>
      <c r="N129" s="1">
        <v>0</v>
      </c>
      <c r="O129" s="1">
        <v>0</v>
      </c>
      <c r="P129" s="1">
        <v>6399.55</v>
      </c>
      <c r="Q129" s="1">
        <v>0</v>
      </c>
      <c r="R129" s="1">
        <v>1626.08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F129" s="4">
        <f t="shared" si="4"/>
        <v>110695.88</v>
      </c>
    </row>
    <row r="130" spans="1:32" s="4" customFormat="1">
      <c r="A130" s="4">
        <v>109</v>
      </c>
      <c r="B130" s="4" t="s">
        <v>600</v>
      </c>
      <c r="D130" s="4" t="s">
        <v>163</v>
      </c>
      <c r="F130" s="1">
        <v>551855.91</v>
      </c>
      <c r="G130" s="1"/>
      <c r="H130" s="1">
        <v>155811.76999999999</v>
      </c>
      <c r="I130" s="1"/>
      <c r="J130" s="1">
        <v>206783.07</v>
      </c>
      <c r="K130" s="1"/>
      <c r="L130" s="1">
        <v>113631.1</v>
      </c>
      <c r="M130" s="1"/>
      <c r="N130" s="1">
        <v>0</v>
      </c>
      <c r="O130" s="1"/>
      <c r="P130" s="1">
        <v>16551.18</v>
      </c>
      <c r="Q130" s="1"/>
      <c r="R130" s="1">
        <v>17264.849999999999</v>
      </c>
      <c r="S130" s="1"/>
      <c r="T130" s="1">
        <v>36149.64</v>
      </c>
      <c r="U130" s="1"/>
      <c r="V130" s="1">
        <v>0</v>
      </c>
      <c r="W130" s="1"/>
      <c r="X130" s="1">
        <v>0</v>
      </c>
      <c r="Y130" s="1"/>
      <c r="Z130" s="1">
        <v>225000</v>
      </c>
      <c r="AA130" s="1"/>
      <c r="AB130" s="1">
        <v>8782</v>
      </c>
      <c r="AC130" s="1"/>
      <c r="AD130" s="1">
        <v>0</v>
      </c>
      <c r="AF130" s="4">
        <f t="shared" ref="AF130:AF161" si="6">SUM(F130:AD130)</f>
        <v>1331829.52</v>
      </c>
    </row>
    <row r="131" spans="1:32" s="4" customFormat="1">
      <c r="A131" s="4">
        <v>133</v>
      </c>
      <c r="B131" s="4" t="s">
        <v>306</v>
      </c>
      <c r="D131" s="4" t="s">
        <v>41</v>
      </c>
      <c r="F131" s="1">
        <v>111658.66</v>
      </c>
      <c r="G131" s="1"/>
      <c r="H131" s="1">
        <v>19146.93</v>
      </c>
      <c r="I131" s="1"/>
      <c r="J131" s="1">
        <v>19943.48</v>
      </c>
      <c r="K131" s="1"/>
      <c r="L131" s="1">
        <v>17539.96</v>
      </c>
      <c r="M131" s="1"/>
      <c r="N131" s="1">
        <v>0</v>
      </c>
      <c r="O131" s="1"/>
      <c r="P131" s="1">
        <v>2730.49</v>
      </c>
      <c r="Q131" s="1"/>
      <c r="R131" s="1">
        <v>150</v>
      </c>
      <c r="S131" s="1"/>
      <c r="T131" s="1">
        <v>0</v>
      </c>
      <c r="U131" s="1"/>
      <c r="V131" s="1">
        <v>0</v>
      </c>
      <c r="W131" s="1"/>
      <c r="X131" s="1">
        <v>0</v>
      </c>
      <c r="Y131" s="1"/>
      <c r="Z131" s="1">
        <v>0</v>
      </c>
      <c r="AA131" s="1"/>
      <c r="AB131" s="1">
        <v>0</v>
      </c>
      <c r="AC131" s="1"/>
      <c r="AD131" s="1">
        <v>0</v>
      </c>
      <c r="AF131" s="4">
        <f t="shared" si="6"/>
        <v>171169.52</v>
      </c>
    </row>
    <row r="132" spans="1:32" s="4" customFormat="1">
      <c r="A132" s="4">
        <v>225</v>
      </c>
      <c r="B132" s="4" t="s">
        <v>459</v>
      </c>
      <c r="D132" s="4" t="s">
        <v>56</v>
      </c>
      <c r="F132" s="1">
        <v>333274.58</v>
      </c>
      <c r="G132" s="1"/>
      <c r="H132" s="1">
        <v>114016.83</v>
      </c>
      <c r="I132" s="1"/>
      <c r="J132" s="1">
        <v>77020.67</v>
      </c>
      <c r="K132" s="1"/>
      <c r="L132" s="1">
        <v>79969.490000000005</v>
      </c>
      <c r="M132" s="1"/>
      <c r="N132" s="1">
        <v>0</v>
      </c>
      <c r="O132" s="1"/>
      <c r="P132" s="1">
        <v>33166.519999999997</v>
      </c>
      <c r="Q132" s="1"/>
      <c r="R132" s="1">
        <v>1782.15</v>
      </c>
      <c r="S132" s="1"/>
      <c r="T132" s="1">
        <v>20395.39</v>
      </c>
      <c r="U132" s="1"/>
      <c r="V132" s="1">
        <v>0</v>
      </c>
      <c r="W132" s="1"/>
      <c r="X132" s="1">
        <v>0</v>
      </c>
      <c r="Y132" s="1"/>
      <c r="Z132" s="1">
        <v>55236</v>
      </c>
      <c r="AA132" s="1"/>
      <c r="AB132" s="1">
        <v>0</v>
      </c>
      <c r="AC132" s="1"/>
      <c r="AD132" s="1">
        <v>0</v>
      </c>
      <c r="AF132" s="4">
        <f t="shared" si="6"/>
        <v>714861.63000000012</v>
      </c>
    </row>
    <row r="133" spans="1:32" s="4" customFormat="1" hidden="1">
      <c r="A133" s="4">
        <v>218</v>
      </c>
      <c r="B133" s="4" t="s">
        <v>337</v>
      </c>
      <c r="D133" s="4" t="s">
        <v>22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F133" s="4">
        <f t="shared" si="6"/>
        <v>0</v>
      </c>
    </row>
    <row r="134" spans="1:32" s="4" customFormat="1">
      <c r="A134" s="4">
        <v>66</v>
      </c>
      <c r="B134" s="4" t="s">
        <v>166</v>
      </c>
      <c r="D134" s="4" t="s">
        <v>167</v>
      </c>
      <c r="F134" s="1">
        <v>279776.71999999997</v>
      </c>
      <c r="G134" s="1"/>
      <c r="H134" s="1">
        <v>88607.03</v>
      </c>
      <c r="I134" s="1"/>
      <c r="J134" s="1">
        <v>139079.18</v>
      </c>
      <c r="K134" s="1"/>
      <c r="L134" s="1">
        <v>36436.32</v>
      </c>
      <c r="M134" s="1"/>
      <c r="N134" s="1">
        <v>0</v>
      </c>
      <c r="O134" s="1"/>
      <c r="P134" s="1">
        <v>11770.5</v>
      </c>
      <c r="Q134" s="1"/>
      <c r="R134" s="1">
        <v>1218.82</v>
      </c>
      <c r="S134" s="1"/>
      <c r="T134" s="1">
        <v>16706.330000000002</v>
      </c>
      <c r="U134" s="1"/>
      <c r="V134" s="1">
        <v>0</v>
      </c>
      <c r="W134" s="1"/>
      <c r="X134" s="1">
        <v>0</v>
      </c>
      <c r="Y134" s="1"/>
      <c r="Z134" s="1">
        <v>37443</v>
      </c>
      <c r="AA134" s="1"/>
      <c r="AB134" s="1">
        <v>4400</v>
      </c>
      <c r="AC134" s="1"/>
      <c r="AD134" s="1">
        <v>0</v>
      </c>
      <c r="AF134" s="4">
        <f t="shared" si="6"/>
        <v>615437.89999999991</v>
      </c>
    </row>
    <row r="135" spans="1:32" s="4" customFormat="1">
      <c r="A135" s="4">
        <v>148</v>
      </c>
      <c r="B135" s="4" t="s">
        <v>37</v>
      </c>
      <c r="D135" s="4" t="s">
        <v>12</v>
      </c>
      <c r="F135" s="1">
        <v>200742.16</v>
      </c>
      <c r="G135" s="1"/>
      <c r="H135" s="1">
        <v>31886.7</v>
      </c>
      <c r="I135" s="1"/>
      <c r="J135" s="1">
        <v>76036.78</v>
      </c>
      <c r="K135" s="1"/>
      <c r="L135" s="1">
        <v>55590.29</v>
      </c>
      <c r="M135" s="1"/>
      <c r="N135" s="1">
        <v>0</v>
      </c>
      <c r="O135" s="1"/>
      <c r="P135" s="1">
        <v>7351.79</v>
      </c>
      <c r="Q135" s="1"/>
      <c r="R135" s="1">
        <v>150</v>
      </c>
      <c r="S135" s="1"/>
      <c r="T135" s="1">
        <v>1847.95</v>
      </c>
      <c r="U135" s="1"/>
      <c r="V135" s="1">
        <v>30000</v>
      </c>
      <c r="W135" s="1"/>
      <c r="X135" s="1">
        <v>50082.5</v>
      </c>
      <c r="Y135" s="1"/>
      <c r="Z135" s="1">
        <v>0</v>
      </c>
      <c r="AA135" s="1"/>
      <c r="AB135" s="1">
        <v>0</v>
      </c>
      <c r="AC135" s="1"/>
      <c r="AD135" s="1">
        <v>0</v>
      </c>
      <c r="AF135" s="4">
        <f t="shared" si="6"/>
        <v>453688.17</v>
      </c>
    </row>
    <row r="136" spans="1:32" s="4" customFormat="1" hidden="1">
      <c r="A136" s="4">
        <v>182</v>
      </c>
      <c r="B136" s="4" t="s">
        <v>168</v>
      </c>
      <c r="D136" s="4" t="s">
        <v>158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F136" s="4">
        <f t="shared" si="6"/>
        <v>0</v>
      </c>
    </row>
    <row r="137" spans="1:32" s="4" customFormat="1">
      <c r="A137" s="4">
        <v>164</v>
      </c>
      <c r="B137" s="4" t="s">
        <v>339</v>
      </c>
      <c r="D137" s="4" t="s">
        <v>53</v>
      </c>
      <c r="F137" s="1">
        <v>143930.62</v>
      </c>
      <c r="G137" s="1"/>
      <c r="H137" s="1">
        <v>22186.37</v>
      </c>
      <c r="I137" s="1"/>
      <c r="J137" s="1">
        <v>24401.05</v>
      </c>
      <c r="K137" s="1"/>
      <c r="L137" s="1">
        <v>18228.34</v>
      </c>
      <c r="M137" s="1"/>
      <c r="N137" s="1">
        <v>0</v>
      </c>
      <c r="O137" s="1"/>
      <c r="P137" s="1">
        <v>2316.36</v>
      </c>
      <c r="Q137" s="1"/>
      <c r="R137" s="1">
        <v>1188</v>
      </c>
      <c r="S137" s="1"/>
      <c r="T137" s="1">
        <v>752.81</v>
      </c>
      <c r="U137" s="1"/>
      <c r="V137" s="1">
        <v>0</v>
      </c>
      <c r="W137" s="1"/>
      <c r="X137" s="1">
        <v>0</v>
      </c>
      <c r="Y137" s="1"/>
      <c r="Z137" s="1">
        <v>0</v>
      </c>
      <c r="AA137" s="1"/>
      <c r="AB137" s="1">
        <v>0</v>
      </c>
      <c r="AC137" s="1"/>
      <c r="AD137" s="1">
        <v>0</v>
      </c>
      <c r="AF137" s="4">
        <f t="shared" si="6"/>
        <v>213003.54999999996</v>
      </c>
    </row>
    <row r="138" spans="1:32" s="4" customFormat="1">
      <c r="A138" s="4">
        <v>115</v>
      </c>
      <c r="B138" s="4" t="s">
        <v>169</v>
      </c>
      <c r="D138" s="4" t="s">
        <v>170</v>
      </c>
      <c r="F138" s="1">
        <v>182484.94</v>
      </c>
      <c r="G138" s="1"/>
      <c r="H138" s="1">
        <v>93086.73</v>
      </c>
      <c r="I138" s="1"/>
      <c r="J138" s="1">
        <v>46910.69</v>
      </c>
      <c r="K138" s="1"/>
      <c r="L138" s="1">
        <v>40983.22</v>
      </c>
      <c r="M138" s="1"/>
      <c r="N138" s="1">
        <v>0</v>
      </c>
      <c r="O138" s="1"/>
      <c r="P138" s="1">
        <v>10297.77</v>
      </c>
      <c r="Q138" s="1"/>
      <c r="R138" s="1">
        <v>1098</v>
      </c>
      <c r="S138" s="1"/>
      <c r="T138" s="1">
        <v>46045.96</v>
      </c>
      <c r="U138" s="1"/>
      <c r="V138" s="1">
        <v>0</v>
      </c>
      <c r="W138" s="1"/>
      <c r="X138" s="1">
        <v>0</v>
      </c>
      <c r="Y138" s="1"/>
      <c r="Z138" s="1">
        <v>0</v>
      </c>
      <c r="AA138" s="1"/>
      <c r="AB138" s="1">
        <v>0</v>
      </c>
      <c r="AC138" s="1"/>
      <c r="AD138" s="1">
        <v>0</v>
      </c>
      <c r="AF138" s="4">
        <f t="shared" si="6"/>
        <v>420907.31</v>
      </c>
    </row>
    <row r="139" spans="1:32" s="4" customFormat="1">
      <c r="A139" s="4">
        <v>173</v>
      </c>
      <c r="B139" s="4" t="s">
        <v>338</v>
      </c>
      <c r="D139" s="4" t="s">
        <v>59</v>
      </c>
      <c r="F139" s="1">
        <v>227892.55</v>
      </c>
      <c r="G139" s="1"/>
      <c r="H139" s="1">
        <v>67275.520000000004</v>
      </c>
      <c r="I139" s="1"/>
      <c r="J139" s="1">
        <v>89010.76</v>
      </c>
      <c r="K139" s="1"/>
      <c r="L139" s="1">
        <v>34095.57</v>
      </c>
      <c r="M139" s="1"/>
      <c r="N139" s="1">
        <v>0</v>
      </c>
      <c r="O139" s="1"/>
      <c r="P139" s="1">
        <v>16202.64</v>
      </c>
      <c r="Q139" s="1"/>
      <c r="R139" s="1">
        <v>4938.6899999999996</v>
      </c>
      <c r="S139" s="1"/>
      <c r="T139" s="1">
        <v>9134.68</v>
      </c>
      <c r="U139" s="1"/>
      <c r="V139" s="1">
        <v>0</v>
      </c>
      <c r="W139" s="1"/>
      <c r="X139" s="1">
        <v>0</v>
      </c>
      <c r="Y139" s="1"/>
      <c r="Z139" s="1">
        <v>0</v>
      </c>
      <c r="AA139" s="1"/>
      <c r="AB139" s="1">
        <v>0</v>
      </c>
      <c r="AC139" s="1"/>
      <c r="AD139" s="1">
        <v>0</v>
      </c>
      <c r="AF139" s="4">
        <f t="shared" si="6"/>
        <v>448550.41000000003</v>
      </c>
    </row>
    <row r="140" spans="1:32" s="4" customFormat="1">
      <c r="A140" s="4">
        <v>205</v>
      </c>
      <c r="B140" s="4" t="s">
        <v>171</v>
      </c>
      <c r="D140" s="4" t="s">
        <v>45</v>
      </c>
      <c r="F140" s="1">
        <v>398332.85</v>
      </c>
      <c r="G140" s="1">
        <v>0</v>
      </c>
      <c r="H140" s="1">
        <v>0</v>
      </c>
      <c r="I140" s="1">
        <v>0</v>
      </c>
      <c r="J140" s="1">
        <v>80656.710000000006</v>
      </c>
      <c r="K140" s="1">
        <v>0</v>
      </c>
      <c r="L140" s="1">
        <v>75263.490000000005</v>
      </c>
      <c r="M140" s="1">
        <v>0</v>
      </c>
      <c r="N140" s="1">
        <v>0</v>
      </c>
      <c r="O140" s="1">
        <v>0</v>
      </c>
      <c r="P140" s="1">
        <v>18340.45</v>
      </c>
      <c r="Q140" s="1">
        <v>0</v>
      </c>
      <c r="R140" s="1">
        <v>6480</v>
      </c>
      <c r="S140" s="1">
        <v>0</v>
      </c>
      <c r="T140" s="1">
        <v>16680.310000000001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F140" s="4">
        <f t="shared" si="6"/>
        <v>595753.81000000006</v>
      </c>
    </row>
    <row r="141" spans="1:32" s="4" customFormat="1">
      <c r="A141" s="4">
        <v>191</v>
      </c>
      <c r="B141" s="4" t="s">
        <v>172</v>
      </c>
      <c r="D141" s="4" t="s">
        <v>173</v>
      </c>
      <c r="F141" s="1">
        <v>767227.46</v>
      </c>
      <c r="G141" s="1"/>
      <c r="H141" s="1">
        <v>155607.75</v>
      </c>
      <c r="I141" s="1"/>
      <c r="J141" s="1">
        <v>280992.12</v>
      </c>
      <c r="K141" s="1"/>
      <c r="L141" s="1">
        <v>190808.28</v>
      </c>
      <c r="M141" s="1"/>
      <c r="N141" s="1">
        <v>0</v>
      </c>
      <c r="O141" s="1"/>
      <c r="P141" s="1">
        <v>29982.04</v>
      </c>
      <c r="Q141" s="1"/>
      <c r="R141" s="1">
        <v>13402.76</v>
      </c>
      <c r="S141" s="1"/>
      <c r="T141" s="1">
        <v>31695.49</v>
      </c>
      <c r="U141" s="1"/>
      <c r="V141" s="1">
        <v>0</v>
      </c>
      <c r="W141" s="1"/>
      <c r="X141" s="1">
        <v>0</v>
      </c>
      <c r="Y141" s="1"/>
      <c r="Z141" s="1">
        <v>0</v>
      </c>
      <c r="AA141" s="1"/>
      <c r="AB141" s="1">
        <v>0</v>
      </c>
      <c r="AC141" s="1"/>
      <c r="AD141" s="1">
        <v>0</v>
      </c>
      <c r="AF141" s="4">
        <f t="shared" si="6"/>
        <v>1469715.9000000001</v>
      </c>
    </row>
    <row r="142" spans="1:32" s="4" customFormat="1">
      <c r="A142" s="4">
        <v>14</v>
      </c>
      <c r="B142" s="4" t="s">
        <v>174</v>
      </c>
      <c r="D142" s="4" t="s">
        <v>43</v>
      </c>
      <c r="F142" s="1">
        <v>190371.13</v>
      </c>
      <c r="G142" s="1"/>
      <c r="H142" s="1">
        <v>32433.119999999999</v>
      </c>
      <c r="I142" s="1"/>
      <c r="J142" s="1">
        <v>43024.73</v>
      </c>
      <c r="K142" s="1"/>
      <c r="L142" s="1">
        <v>39540.22</v>
      </c>
      <c r="M142" s="1"/>
      <c r="N142" s="1">
        <v>0</v>
      </c>
      <c r="O142" s="1"/>
      <c r="P142" s="1">
        <v>11408.57</v>
      </c>
      <c r="Q142" s="1"/>
      <c r="R142" s="1">
        <v>9113.9500000000007</v>
      </c>
      <c r="S142" s="1"/>
      <c r="T142" s="1">
        <v>300.16000000000003</v>
      </c>
      <c r="U142" s="1"/>
      <c r="V142" s="1">
        <v>0</v>
      </c>
      <c r="W142" s="1"/>
      <c r="X142" s="1">
        <v>0</v>
      </c>
      <c r="Y142" s="1"/>
      <c r="Z142" s="1">
        <v>0</v>
      </c>
      <c r="AA142" s="1"/>
      <c r="AB142" s="1">
        <v>0</v>
      </c>
      <c r="AC142" s="1"/>
      <c r="AD142" s="1">
        <v>0</v>
      </c>
      <c r="AF142" s="4">
        <f t="shared" si="6"/>
        <v>326191.87999999995</v>
      </c>
    </row>
    <row r="143" spans="1:32" s="4" customFormat="1">
      <c r="A143" s="4">
        <v>226</v>
      </c>
      <c r="B143" s="4" t="s">
        <v>175</v>
      </c>
      <c r="D143" s="4" t="s">
        <v>56</v>
      </c>
      <c r="F143" s="1">
        <v>247380.01</v>
      </c>
      <c r="G143" s="1"/>
      <c r="H143" s="1">
        <v>79031.19</v>
      </c>
      <c r="I143" s="1"/>
      <c r="J143" s="1">
        <v>46869.29</v>
      </c>
      <c r="K143" s="1"/>
      <c r="L143" s="1">
        <v>45073.51</v>
      </c>
      <c r="M143" s="1"/>
      <c r="N143" s="1">
        <v>0</v>
      </c>
      <c r="O143" s="1"/>
      <c r="P143" s="1">
        <v>4949.21</v>
      </c>
      <c r="Q143" s="1"/>
      <c r="R143" s="1">
        <v>10754.85</v>
      </c>
      <c r="S143" s="1"/>
      <c r="T143" s="1">
        <v>14792.83</v>
      </c>
      <c r="U143" s="1"/>
      <c r="V143" s="1">
        <v>0</v>
      </c>
      <c r="W143" s="1"/>
      <c r="X143" s="1">
        <v>0</v>
      </c>
      <c r="Y143" s="1"/>
      <c r="Z143" s="1">
        <v>0</v>
      </c>
      <c r="AA143" s="1"/>
      <c r="AB143" s="1">
        <v>0</v>
      </c>
      <c r="AC143" s="1"/>
      <c r="AD143" s="1">
        <v>0</v>
      </c>
      <c r="AF143" s="4">
        <f t="shared" si="6"/>
        <v>448850.89</v>
      </c>
    </row>
    <row r="144" spans="1:32" s="4" customFormat="1">
      <c r="A144" s="4">
        <v>124</v>
      </c>
      <c r="B144" s="4" t="s">
        <v>176</v>
      </c>
      <c r="D144" s="4" t="s">
        <v>15</v>
      </c>
      <c r="F144" s="1">
        <v>418060.43</v>
      </c>
      <c r="G144" s="1"/>
      <c r="H144" s="1">
        <v>87847.16</v>
      </c>
      <c r="I144" s="1"/>
      <c r="J144" s="1">
        <v>116288.05</v>
      </c>
      <c r="K144" s="1"/>
      <c r="L144" s="1">
        <v>128784.9</v>
      </c>
      <c r="M144" s="1"/>
      <c r="N144" s="1">
        <v>0</v>
      </c>
      <c r="O144" s="1"/>
      <c r="P144" s="1">
        <v>13300.03</v>
      </c>
      <c r="Q144" s="1"/>
      <c r="R144" s="1">
        <v>5255.05</v>
      </c>
      <c r="S144" s="1"/>
      <c r="T144" s="1">
        <v>6840.03</v>
      </c>
      <c r="U144" s="1"/>
      <c r="V144" s="1">
        <v>0</v>
      </c>
      <c r="W144" s="1"/>
      <c r="X144" s="1">
        <v>0</v>
      </c>
      <c r="Y144" s="1"/>
      <c r="Z144" s="1">
        <v>100000</v>
      </c>
      <c r="AA144" s="1"/>
      <c r="AB144" s="1">
        <v>9400</v>
      </c>
      <c r="AC144" s="1"/>
      <c r="AD144" s="1">
        <v>0</v>
      </c>
      <c r="AF144" s="4">
        <f t="shared" si="6"/>
        <v>885775.65000000014</v>
      </c>
    </row>
    <row r="145" spans="1:32" s="4" customFormat="1">
      <c r="A145" s="4">
        <v>54</v>
      </c>
      <c r="B145" s="15" t="s">
        <v>438</v>
      </c>
      <c r="C145" s="15"/>
      <c r="D145" s="15" t="s">
        <v>19</v>
      </c>
      <c r="E145" s="15"/>
      <c r="F145" s="1">
        <v>0</v>
      </c>
      <c r="G145" s="1">
        <v>0</v>
      </c>
      <c r="H145" s="1">
        <v>0</v>
      </c>
      <c r="I145" s="1">
        <v>0</v>
      </c>
      <c r="J145" s="1">
        <v>61097</v>
      </c>
      <c r="K145" s="1">
        <v>0</v>
      </c>
      <c r="L145" s="1">
        <v>1390501</v>
      </c>
      <c r="M145" s="1">
        <v>0</v>
      </c>
      <c r="N145" s="1">
        <v>729443</v>
      </c>
      <c r="O145" s="1">
        <v>0</v>
      </c>
      <c r="P145" s="1">
        <v>0</v>
      </c>
      <c r="Q145" s="1">
        <v>0</v>
      </c>
      <c r="R145" s="1">
        <f>1273655+304217</f>
        <v>1577872</v>
      </c>
      <c r="S145" s="1">
        <v>0</v>
      </c>
      <c r="T145" s="1">
        <v>35278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5"/>
      <c r="AF145" s="4">
        <f t="shared" si="6"/>
        <v>3794191</v>
      </c>
    </row>
    <row r="146" spans="1:32" s="4" customFormat="1" hidden="1">
      <c r="A146" s="4">
        <v>25</v>
      </c>
      <c r="B146" s="4" t="s">
        <v>9</v>
      </c>
      <c r="D146" s="4" t="s">
        <v>10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F146" s="4">
        <f t="shared" si="6"/>
        <v>0</v>
      </c>
    </row>
    <row r="147" spans="1:32" s="4" customFormat="1">
      <c r="A147" s="4">
        <v>241</v>
      </c>
      <c r="B147" s="4" t="s">
        <v>177</v>
      </c>
      <c r="D147" s="4" t="s">
        <v>54</v>
      </c>
      <c r="F147" s="1">
        <v>438922.32</v>
      </c>
      <c r="G147" s="1"/>
      <c r="H147" s="1">
        <v>170527.05</v>
      </c>
      <c r="I147" s="1"/>
      <c r="J147" s="1">
        <v>126635.15</v>
      </c>
      <c r="K147" s="1"/>
      <c r="L147" s="1">
        <v>236000.52</v>
      </c>
      <c r="M147" s="1"/>
      <c r="N147" s="1">
        <v>0</v>
      </c>
      <c r="O147" s="1"/>
      <c r="P147" s="1">
        <v>54921.3</v>
      </c>
      <c r="Q147" s="1"/>
      <c r="R147" s="1">
        <v>17927.55</v>
      </c>
      <c r="S147" s="1"/>
      <c r="T147" s="1">
        <v>161348.48000000001</v>
      </c>
      <c r="U147" s="1"/>
      <c r="V147" s="1">
        <v>0</v>
      </c>
      <c r="W147" s="1"/>
      <c r="X147" s="1">
        <v>0</v>
      </c>
      <c r="Y147" s="1"/>
      <c r="Z147" s="1">
        <v>0</v>
      </c>
      <c r="AA147" s="1"/>
      <c r="AB147" s="1">
        <v>19105</v>
      </c>
      <c r="AC147" s="1"/>
      <c r="AD147" s="1">
        <v>1717</v>
      </c>
      <c r="AF147" s="4">
        <f t="shared" si="6"/>
        <v>1227104.3700000001</v>
      </c>
    </row>
    <row r="148" spans="1:32" s="4" customFormat="1">
      <c r="A148" s="4">
        <v>41</v>
      </c>
      <c r="B148" s="4" t="s">
        <v>307</v>
      </c>
      <c r="D148" s="4" t="s">
        <v>51</v>
      </c>
      <c r="F148" s="1">
        <v>85837.37</v>
      </c>
      <c r="G148" s="1"/>
      <c r="H148" s="1">
        <v>27459.69</v>
      </c>
      <c r="I148" s="1"/>
      <c r="J148" s="1">
        <v>46681.06</v>
      </c>
      <c r="K148" s="1"/>
      <c r="L148" s="1">
        <v>22132.34</v>
      </c>
      <c r="M148" s="1"/>
      <c r="N148" s="1">
        <v>0</v>
      </c>
      <c r="O148" s="1"/>
      <c r="P148" s="1">
        <v>2451.23</v>
      </c>
      <c r="Q148" s="1"/>
      <c r="R148" s="1">
        <v>4139</v>
      </c>
      <c r="S148" s="1"/>
      <c r="T148" s="1">
        <v>6082.66</v>
      </c>
      <c r="U148" s="1"/>
      <c r="V148" s="1">
        <v>51482.19</v>
      </c>
      <c r="W148" s="1"/>
      <c r="X148" s="1">
        <v>0</v>
      </c>
      <c r="Y148" s="1"/>
      <c r="Z148" s="1">
        <v>58067</v>
      </c>
      <c r="AA148" s="1"/>
      <c r="AB148" s="1">
        <v>0</v>
      </c>
      <c r="AC148" s="1"/>
      <c r="AD148" s="1">
        <v>0</v>
      </c>
      <c r="AF148" s="4">
        <f t="shared" si="6"/>
        <v>304332.54000000004</v>
      </c>
    </row>
    <row r="149" spans="1:32" s="4" customFormat="1">
      <c r="A149" s="4">
        <v>42</v>
      </c>
      <c r="B149" s="4" t="s">
        <v>178</v>
      </c>
      <c r="D149" s="4" t="s">
        <v>51</v>
      </c>
      <c r="F149" s="1">
        <v>211432.46</v>
      </c>
      <c r="G149" s="1"/>
      <c r="H149" s="1">
        <v>65633.31</v>
      </c>
      <c r="I149" s="1"/>
      <c r="J149" s="1">
        <v>57145.3</v>
      </c>
      <c r="K149" s="1"/>
      <c r="L149" s="1">
        <v>54544.58</v>
      </c>
      <c r="M149" s="1"/>
      <c r="N149" s="1">
        <v>0</v>
      </c>
      <c r="O149" s="1"/>
      <c r="P149" s="1">
        <v>18803.04</v>
      </c>
      <c r="Q149" s="1"/>
      <c r="R149" s="1">
        <v>6118</v>
      </c>
      <c r="S149" s="1"/>
      <c r="T149" s="1">
        <v>1775806.08</v>
      </c>
      <c r="U149" s="1"/>
      <c r="V149" s="1">
        <v>0</v>
      </c>
      <c r="W149" s="1"/>
      <c r="X149" s="1">
        <v>0</v>
      </c>
      <c r="Y149" s="1"/>
      <c r="Z149" s="1">
        <v>1081259</v>
      </c>
      <c r="AA149" s="1"/>
      <c r="AB149" s="1">
        <v>0</v>
      </c>
      <c r="AC149" s="1"/>
      <c r="AD149" s="1">
        <v>0</v>
      </c>
      <c r="AF149" s="4">
        <f t="shared" si="6"/>
        <v>3270741.77</v>
      </c>
    </row>
    <row r="150" spans="1:32" s="4" customFormat="1">
      <c r="A150" s="4">
        <v>104</v>
      </c>
      <c r="B150" s="4" t="s">
        <v>179</v>
      </c>
      <c r="D150" s="4" t="s">
        <v>60</v>
      </c>
      <c r="F150" s="1">
        <v>63959.46</v>
      </c>
      <c r="G150" s="1"/>
      <c r="H150" s="1">
        <v>21241.68</v>
      </c>
      <c r="I150" s="1"/>
      <c r="J150" s="1">
        <v>20205.36</v>
      </c>
      <c r="K150" s="1"/>
      <c r="L150" s="1">
        <v>6710.89</v>
      </c>
      <c r="M150" s="1"/>
      <c r="N150" s="1">
        <v>0</v>
      </c>
      <c r="O150" s="1"/>
      <c r="P150" s="1">
        <v>3493.5</v>
      </c>
      <c r="Q150" s="1"/>
      <c r="R150" s="1">
        <v>1557</v>
      </c>
      <c r="S150" s="1"/>
      <c r="T150" s="1">
        <v>11652.22</v>
      </c>
      <c r="U150" s="1"/>
      <c r="V150" s="1">
        <v>12565.05</v>
      </c>
      <c r="W150" s="1"/>
      <c r="X150" s="1">
        <v>8908.59</v>
      </c>
      <c r="Y150" s="1"/>
      <c r="Z150" s="1">
        <v>0</v>
      </c>
      <c r="AA150" s="1"/>
      <c r="AB150" s="1">
        <v>0</v>
      </c>
      <c r="AC150" s="1"/>
      <c r="AD150" s="1">
        <v>1002</v>
      </c>
      <c r="AF150" s="4">
        <f t="shared" si="6"/>
        <v>151295.75</v>
      </c>
    </row>
    <row r="151" spans="1:32" s="4" customFormat="1">
      <c r="A151" s="4">
        <v>134</v>
      </c>
      <c r="B151" s="4" t="s">
        <v>572</v>
      </c>
      <c r="D151" s="4" t="s">
        <v>41</v>
      </c>
      <c r="F151" s="1">
        <v>1572189</v>
      </c>
      <c r="G151" s="1">
        <v>0</v>
      </c>
      <c r="H151" s="1">
        <v>442593</v>
      </c>
      <c r="I151" s="1">
        <v>0</v>
      </c>
      <c r="J151" s="1">
        <v>323868</v>
      </c>
      <c r="K151" s="1">
        <v>0</v>
      </c>
      <c r="L151" s="1">
        <v>205995</v>
      </c>
      <c r="M151" s="1">
        <v>0</v>
      </c>
      <c r="N151" s="1">
        <v>0</v>
      </c>
      <c r="O151" s="1">
        <v>0</v>
      </c>
      <c r="P151" s="1">
        <v>26512</v>
      </c>
      <c r="Q151" s="1">
        <v>0</v>
      </c>
      <c r="R151" s="1">
        <v>73627</v>
      </c>
      <c r="S151" s="1">
        <v>0</v>
      </c>
      <c r="T151" s="1">
        <v>63180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415</v>
      </c>
      <c r="AA151" s="1">
        <v>0</v>
      </c>
      <c r="AB151" s="1">
        <v>0</v>
      </c>
      <c r="AC151" s="1">
        <v>0</v>
      </c>
      <c r="AD151" s="1">
        <v>0</v>
      </c>
      <c r="AF151" s="4">
        <f t="shared" si="6"/>
        <v>2708379</v>
      </c>
    </row>
    <row r="152" spans="1:32" s="4" customFormat="1">
      <c r="A152" s="4">
        <v>5</v>
      </c>
      <c r="B152" s="4" t="s">
        <v>180</v>
      </c>
      <c r="D152" s="4" t="s">
        <v>97</v>
      </c>
      <c r="F152" s="1">
        <v>1574551</v>
      </c>
      <c r="G152" s="1">
        <v>0</v>
      </c>
      <c r="H152" s="1">
        <v>482184</v>
      </c>
      <c r="I152" s="1">
        <v>0</v>
      </c>
      <c r="J152" s="1">
        <v>281039</v>
      </c>
      <c r="K152" s="1">
        <v>0</v>
      </c>
      <c r="L152" s="1">
        <v>167675</v>
      </c>
      <c r="M152" s="1">
        <v>0</v>
      </c>
      <c r="N152" s="1">
        <v>0</v>
      </c>
      <c r="O152" s="1">
        <v>0</v>
      </c>
      <c r="P152" s="1">
        <v>40671</v>
      </c>
      <c r="Q152" s="1">
        <v>0</v>
      </c>
      <c r="R152" s="1">
        <v>13293</v>
      </c>
      <c r="S152" s="1">
        <v>0</v>
      </c>
      <c r="T152" s="1">
        <v>11273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7756</v>
      </c>
      <c r="AA152" s="1">
        <v>0</v>
      </c>
      <c r="AB152" s="1">
        <v>0</v>
      </c>
      <c r="AC152" s="1">
        <v>0</v>
      </c>
      <c r="AD152" s="1">
        <v>0</v>
      </c>
      <c r="AF152" s="4">
        <f t="shared" si="6"/>
        <v>2578442</v>
      </c>
    </row>
    <row r="153" spans="1:32" s="4" customFormat="1">
      <c r="A153" s="4">
        <v>139</v>
      </c>
      <c r="B153" s="4" t="s">
        <v>573</v>
      </c>
      <c r="D153" s="4" t="s">
        <v>87</v>
      </c>
      <c r="F153" s="1">
        <v>632408</v>
      </c>
      <c r="G153" s="1">
        <v>0</v>
      </c>
      <c r="H153" s="1">
        <v>261397</v>
      </c>
      <c r="I153" s="1">
        <v>0</v>
      </c>
      <c r="J153" s="1">
        <v>181818</v>
      </c>
      <c r="K153" s="1">
        <v>0</v>
      </c>
      <c r="L153" s="1">
        <v>163750</v>
      </c>
      <c r="M153" s="1">
        <v>0</v>
      </c>
      <c r="N153" s="1">
        <v>0</v>
      </c>
      <c r="O153" s="1">
        <v>0</v>
      </c>
      <c r="P153" s="1">
        <v>30054</v>
      </c>
      <c r="Q153" s="1">
        <v>0</v>
      </c>
      <c r="R153" s="1">
        <v>15055</v>
      </c>
      <c r="S153" s="1">
        <v>0</v>
      </c>
      <c r="T153" s="1">
        <v>147677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F153" s="4">
        <f t="shared" si="6"/>
        <v>1432159</v>
      </c>
    </row>
    <row r="154" spans="1:32" s="4" customFormat="1">
      <c r="A154" s="4">
        <v>108</v>
      </c>
      <c r="B154" s="4" t="s">
        <v>574</v>
      </c>
      <c r="D154" s="4" t="s">
        <v>181</v>
      </c>
      <c r="F154" s="1">
        <v>345036</v>
      </c>
      <c r="G154" s="1">
        <v>0</v>
      </c>
      <c r="H154" s="1">
        <v>136062</v>
      </c>
      <c r="I154" s="1">
        <v>0</v>
      </c>
      <c r="J154" s="1">
        <v>114664</v>
      </c>
      <c r="K154" s="1">
        <v>0</v>
      </c>
      <c r="L154" s="1">
        <v>136046</v>
      </c>
      <c r="M154" s="1">
        <v>0</v>
      </c>
      <c r="N154" s="1">
        <v>0</v>
      </c>
      <c r="O154" s="1">
        <v>0</v>
      </c>
      <c r="P154" s="1">
        <v>41013</v>
      </c>
      <c r="Q154" s="1">
        <v>0</v>
      </c>
      <c r="R154" s="1">
        <v>3136</v>
      </c>
      <c r="S154" s="1">
        <v>0</v>
      </c>
      <c r="T154" s="1">
        <v>248835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F154" s="4">
        <f t="shared" si="6"/>
        <v>1024792</v>
      </c>
    </row>
    <row r="155" spans="1:32" s="4" customFormat="1">
      <c r="A155" s="4">
        <v>149</v>
      </c>
      <c r="B155" s="4" t="s">
        <v>11</v>
      </c>
      <c r="D155" s="4" t="s">
        <v>12</v>
      </c>
      <c r="F155" s="1">
        <v>512046</v>
      </c>
      <c r="G155" s="1">
        <v>0</v>
      </c>
      <c r="H155" s="1">
        <v>0</v>
      </c>
      <c r="I155" s="1">
        <v>0</v>
      </c>
      <c r="J155" s="1">
        <v>72412</v>
      </c>
      <c r="K155" s="1">
        <v>0</v>
      </c>
      <c r="L155" s="1">
        <v>104884</v>
      </c>
      <c r="M155" s="1">
        <v>0</v>
      </c>
      <c r="N155" s="1">
        <v>0</v>
      </c>
      <c r="O155" s="1">
        <v>0</v>
      </c>
      <c r="P155" s="1">
        <v>26007</v>
      </c>
      <c r="Q155" s="1">
        <v>0</v>
      </c>
      <c r="R155" s="1">
        <v>2174</v>
      </c>
      <c r="S155" s="1">
        <v>0</v>
      </c>
      <c r="T155" s="1">
        <v>40694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78200</v>
      </c>
      <c r="AA155" s="1">
        <v>0</v>
      </c>
      <c r="AB155" s="1">
        <v>0</v>
      </c>
      <c r="AC155" s="1">
        <v>0</v>
      </c>
      <c r="AD155" s="1">
        <v>0</v>
      </c>
      <c r="AF155" s="4">
        <f t="shared" si="6"/>
        <v>836417</v>
      </c>
    </row>
    <row r="156" spans="1:32" s="4" customFormat="1">
      <c r="A156" s="4">
        <v>145</v>
      </c>
      <c r="B156" s="4" t="s">
        <v>182</v>
      </c>
      <c r="D156" s="4" t="s">
        <v>57</v>
      </c>
      <c r="F156" s="1">
        <v>0</v>
      </c>
      <c r="G156" s="1">
        <v>0</v>
      </c>
      <c r="H156" s="1">
        <v>0</v>
      </c>
      <c r="I156" s="1">
        <v>0</v>
      </c>
      <c r="J156" s="1">
        <v>6541465</v>
      </c>
      <c r="K156" s="1">
        <v>0</v>
      </c>
      <c r="L156" s="1">
        <v>0</v>
      </c>
      <c r="M156" s="1">
        <v>0</v>
      </c>
      <c r="N156" s="1">
        <v>371944</v>
      </c>
      <c r="O156" s="1">
        <v>0</v>
      </c>
      <c r="P156" s="1">
        <v>0</v>
      </c>
      <c r="Q156" s="1">
        <v>0</v>
      </c>
      <c r="R156" s="1">
        <v>1361410</v>
      </c>
      <c r="S156" s="1">
        <v>0</v>
      </c>
      <c r="T156" s="1">
        <v>777134</v>
      </c>
      <c r="U156" s="1">
        <v>0</v>
      </c>
      <c r="V156" s="1">
        <v>476460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3414279</v>
      </c>
      <c r="AF156" s="4">
        <f t="shared" si="6"/>
        <v>12942692</v>
      </c>
    </row>
    <row r="157" spans="1:32" s="4" customFormat="1">
      <c r="A157" s="4">
        <v>7</v>
      </c>
      <c r="B157" s="4" t="s">
        <v>183</v>
      </c>
      <c r="D157" s="4" t="s">
        <v>83</v>
      </c>
      <c r="F157" s="1">
        <v>261019</v>
      </c>
      <c r="G157" s="1">
        <v>0</v>
      </c>
      <c r="H157" s="1">
        <v>78556</v>
      </c>
      <c r="I157" s="1">
        <v>0</v>
      </c>
      <c r="J157" s="1">
        <v>109248</v>
      </c>
      <c r="K157" s="1">
        <v>0</v>
      </c>
      <c r="L157" s="1">
        <v>75067</v>
      </c>
      <c r="M157" s="1">
        <v>0</v>
      </c>
      <c r="N157" s="1">
        <v>0</v>
      </c>
      <c r="O157" s="1">
        <v>0</v>
      </c>
      <c r="P157" s="1">
        <v>17785</v>
      </c>
      <c r="Q157" s="1">
        <v>0</v>
      </c>
      <c r="R157" s="1">
        <v>2544</v>
      </c>
      <c r="S157" s="1">
        <v>0</v>
      </c>
      <c r="T157" s="1">
        <v>20149</v>
      </c>
      <c r="U157" s="1">
        <v>0</v>
      </c>
      <c r="V157" s="1">
        <v>17075</v>
      </c>
      <c r="W157" s="1">
        <v>0</v>
      </c>
      <c r="X157" s="1">
        <v>4795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F157" s="4">
        <f t="shared" si="6"/>
        <v>586238</v>
      </c>
    </row>
    <row r="158" spans="1:32" s="4" customFormat="1">
      <c r="A158" s="4">
        <v>210</v>
      </c>
      <c r="B158" s="4" t="s">
        <v>308</v>
      </c>
      <c r="D158" s="4" t="s">
        <v>25</v>
      </c>
      <c r="F158" s="1">
        <v>254300.7</v>
      </c>
      <c r="G158" s="1"/>
      <c r="H158" s="1">
        <v>62613.24</v>
      </c>
      <c r="I158" s="1"/>
      <c r="J158" s="1">
        <v>100329.14</v>
      </c>
      <c r="K158" s="1"/>
      <c r="L158" s="1">
        <v>116435.84</v>
      </c>
      <c r="M158" s="1"/>
      <c r="N158" s="1">
        <v>0</v>
      </c>
      <c r="O158" s="1"/>
      <c r="P158" s="1">
        <v>11779.35</v>
      </c>
      <c r="Q158" s="1"/>
      <c r="R158" s="1">
        <v>850.68</v>
      </c>
      <c r="S158" s="1"/>
      <c r="T158" s="1">
        <v>3440.58</v>
      </c>
      <c r="U158" s="1"/>
      <c r="V158" s="1">
        <v>0</v>
      </c>
      <c r="W158" s="1"/>
      <c r="X158" s="1">
        <v>0</v>
      </c>
      <c r="Y158" s="1"/>
      <c r="Z158" s="1">
        <v>0</v>
      </c>
      <c r="AA158" s="1"/>
      <c r="AB158" s="1">
        <v>0</v>
      </c>
      <c r="AC158" s="1"/>
      <c r="AD158" s="1">
        <v>0</v>
      </c>
      <c r="AF158" s="4">
        <f t="shared" si="6"/>
        <v>549749.53</v>
      </c>
    </row>
    <row r="159" spans="1:32" s="4" customFormat="1">
      <c r="A159" s="4">
        <v>125</v>
      </c>
      <c r="B159" s="4" t="s">
        <v>184</v>
      </c>
      <c r="D159" s="4" t="s">
        <v>15</v>
      </c>
      <c r="F159" s="1">
        <v>511788</v>
      </c>
      <c r="G159" s="1">
        <v>0</v>
      </c>
      <c r="H159" s="1">
        <v>145382</v>
      </c>
      <c r="I159" s="1">
        <v>0</v>
      </c>
      <c r="J159" s="1">
        <v>136912</v>
      </c>
      <c r="K159" s="1">
        <v>0</v>
      </c>
      <c r="L159" s="1">
        <v>239040</v>
      </c>
      <c r="M159" s="1">
        <v>0</v>
      </c>
      <c r="N159" s="1">
        <v>0</v>
      </c>
      <c r="O159" s="1">
        <v>0</v>
      </c>
      <c r="P159" s="1">
        <v>21564</v>
      </c>
      <c r="Q159" s="1">
        <v>0</v>
      </c>
      <c r="R159" s="1">
        <v>5255</v>
      </c>
      <c r="S159" s="1">
        <v>0</v>
      </c>
      <c r="T159" s="1">
        <v>13000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90000</v>
      </c>
      <c r="AA159" s="1">
        <v>0</v>
      </c>
      <c r="AB159" s="1">
        <v>0</v>
      </c>
      <c r="AC159" s="1">
        <v>0</v>
      </c>
      <c r="AD159" s="1">
        <v>0</v>
      </c>
      <c r="AF159" s="4">
        <f t="shared" si="6"/>
        <v>1162941</v>
      </c>
    </row>
    <row r="160" spans="1:32" s="4" customFormat="1">
      <c r="A160" s="4">
        <v>197</v>
      </c>
      <c r="B160" s="4" t="s">
        <v>601</v>
      </c>
      <c r="D160" s="4" t="s">
        <v>185</v>
      </c>
      <c r="F160" s="1">
        <v>3824186</v>
      </c>
      <c r="G160" s="1">
        <v>0</v>
      </c>
      <c r="H160" s="1">
        <v>1495940</v>
      </c>
      <c r="I160" s="1">
        <v>0</v>
      </c>
      <c r="J160" s="1">
        <v>807253</v>
      </c>
      <c r="K160" s="1">
        <v>0</v>
      </c>
      <c r="L160" s="1">
        <v>971289</v>
      </c>
      <c r="M160" s="1">
        <v>0</v>
      </c>
      <c r="N160" s="1">
        <v>0</v>
      </c>
      <c r="O160" s="1">
        <v>0</v>
      </c>
      <c r="P160" s="1">
        <v>118850</v>
      </c>
      <c r="Q160" s="1">
        <v>0</v>
      </c>
      <c r="R160" s="1">
        <v>30426</v>
      </c>
      <c r="S160" s="1">
        <v>0</v>
      </c>
      <c r="T160" s="1">
        <v>78611</v>
      </c>
      <c r="U160" s="1">
        <v>0</v>
      </c>
      <c r="V160" s="1">
        <v>88911</v>
      </c>
      <c r="W160" s="1">
        <v>0</v>
      </c>
      <c r="X160" s="1">
        <v>1220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F160" s="4">
        <f t="shared" si="6"/>
        <v>7416686</v>
      </c>
    </row>
    <row r="161" spans="1:32" s="4" customFormat="1">
      <c r="A161" s="4">
        <v>195</v>
      </c>
      <c r="B161" s="4" t="s">
        <v>186</v>
      </c>
      <c r="D161" s="4" t="s">
        <v>102</v>
      </c>
      <c r="F161" s="1">
        <v>23442.880000000001</v>
      </c>
      <c r="G161" s="1"/>
      <c r="H161" s="1">
        <v>3863.89</v>
      </c>
      <c r="I161" s="1"/>
      <c r="J161" s="1">
        <v>12502.1</v>
      </c>
      <c r="K161" s="1"/>
      <c r="L161" s="1">
        <v>6037.42</v>
      </c>
      <c r="M161" s="1"/>
      <c r="N161" s="1">
        <v>0</v>
      </c>
      <c r="O161" s="1"/>
      <c r="P161" s="1">
        <v>4117.45</v>
      </c>
      <c r="Q161" s="1"/>
      <c r="R161" s="1">
        <v>591</v>
      </c>
      <c r="S161" s="1"/>
      <c r="T161" s="1">
        <v>0</v>
      </c>
      <c r="U161" s="1"/>
      <c r="V161" s="1">
        <v>0</v>
      </c>
      <c r="W161" s="1"/>
      <c r="X161" s="1">
        <v>0</v>
      </c>
      <c r="Y161" s="1"/>
      <c r="Z161" s="1">
        <v>0</v>
      </c>
      <c r="AA161" s="1"/>
      <c r="AB161" s="1">
        <v>0</v>
      </c>
      <c r="AC161" s="1"/>
      <c r="AD161" s="1">
        <v>0</v>
      </c>
      <c r="AF161" s="4">
        <f t="shared" si="6"/>
        <v>50554.74</v>
      </c>
    </row>
    <row r="162" spans="1:32" s="4" customFormat="1"/>
    <row r="163" spans="1:32" s="4" customFormat="1">
      <c r="AF163" s="44" t="s">
        <v>591</v>
      </c>
    </row>
    <row r="164" spans="1:32">
      <c r="B164" s="3" t="s">
        <v>526</v>
      </c>
    </row>
    <row r="165" spans="1:32">
      <c r="B165" s="3" t="s">
        <v>635</v>
      </c>
    </row>
    <row r="166" spans="1:32">
      <c r="B166" s="41" t="s">
        <v>7</v>
      </c>
    </row>
    <row r="168" spans="1:32" s="36" customFormat="1">
      <c r="B168" s="41"/>
      <c r="L168" s="36" t="s">
        <v>8</v>
      </c>
    </row>
    <row r="169" spans="1:32" s="36" customFormat="1">
      <c r="J169" s="36" t="s">
        <v>323</v>
      </c>
      <c r="L169" s="36" t="s">
        <v>555</v>
      </c>
      <c r="N169" s="36" t="s">
        <v>554</v>
      </c>
      <c r="X169" s="36" t="s">
        <v>330</v>
      </c>
      <c r="AD169" s="36" t="s">
        <v>0</v>
      </c>
    </row>
    <row r="170" spans="1:32" s="36" customFormat="1">
      <c r="H170" s="36" t="s">
        <v>321</v>
      </c>
      <c r="J170" s="36" t="s">
        <v>324</v>
      </c>
      <c r="L170" s="36" t="s">
        <v>325</v>
      </c>
      <c r="N170" s="36" t="s">
        <v>552</v>
      </c>
      <c r="T170" s="36" t="s">
        <v>30</v>
      </c>
      <c r="V170" s="36" t="s">
        <v>328</v>
      </c>
      <c r="X170" s="36" t="s">
        <v>331</v>
      </c>
      <c r="AD170" s="36" t="s">
        <v>296</v>
      </c>
    </row>
    <row r="171" spans="1:32" s="36" customFormat="1" ht="12" customHeight="1">
      <c r="A171" s="36" t="s">
        <v>578</v>
      </c>
      <c r="B171" s="37" t="s">
        <v>8</v>
      </c>
      <c r="C171" s="45"/>
      <c r="D171" s="37" t="s">
        <v>6</v>
      </c>
      <c r="E171" s="45"/>
      <c r="F171" s="37" t="s">
        <v>2</v>
      </c>
      <c r="G171" s="45"/>
      <c r="H171" s="37" t="s">
        <v>561</v>
      </c>
      <c r="I171" s="45"/>
      <c r="J171" s="37" t="s">
        <v>29</v>
      </c>
      <c r="K171" s="45"/>
      <c r="L171" s="37" t="s">
        <v>326</v>
      </c>
      <c r="M171" s="45"/>
      <c r="N171" s="37" t="s">
        <v>553</v>
      </c>
      <c r="O171" s="45"/>
      <c r="P171" s="37" t="s">
        <v>4</v>
      </c>
      <c r="Q171" s="45"/>
      <c r="R171" s="37" t="s">
        <v>0</v>
      </c>
      <c r="S171" s="45"/>
      <c r="T171" s="37" t="s">
        <v>327</v>
      </c>
      <c r="U171" s="45"/>
      <c r="V171" s="37" t="s">
        <v>329</v>
      </c>
      <c r="W171" s="45"/>
      <c r="X171" s="37" t="s">
        <v>332</v>
      </c>
      <c r="Y171" s="45"/>
      <c r="Z171" s="37" t="s">
        <v>506</v>
      </c>
      <c r="AA171" s="45"/>
      <c r="AB171" s="37" t="s">
        <v>507</v>
      </c>
      <c r="AC171" s="45"/>
      <c r="AD171" s="37" t="s">
        <v>333</v>
      </c>
      <c r="AE171" s="45"/>
      <c r="AF171" s="46" t="s">
        <v>28</v>
      </c>
    </row>
    <row r="172" spans="1:32" s="4" customFormat="1">
      <c r="A172" s="4">
        <v>154</v>
      </c>
      <c r="B172" s="3" t="s">
        <v>187</v>
      </c>
      <c r="C172" s="3"/>
      <c r="D172" s="3" t="s">
        <v>188</v>
      </c>
      <c r="E172" s="3"/>
      <c r="F172" s="7">
        <v>926397</v>
      </c>
      <c r="G172" s="7">
        <v>0</v>
      </c>
      <c r="H172" s="7">
        <v>315224</v>
      </c>
      <c r="I172" s="7">
        <v>0</v>
      </c>
      <c r="J172" s="7">
        <v>235127</v>
      </c>
      <c r="K172" s="7">
        <v>0</v>
      </c>
      <c r="L172" s="7">
        <v>223405</v>
      </c>
      <c r="M172" s="7">
        <v>0</v>
      </c>
      <c r="N172" s="7">
        <v>0</v>
      </c>
      <c r="O172" s="7">
        <v>0</v>
      </c>
      <c r="P172" s="7">
        <v>37375</v>
      </c>
      <c r="Q172" s="7">
        <v>0</v>
      </c>
      <c r="R172" s="7">
        <v>14416</v>
      </c>
      <c r="S172" s="7">
        <v>0</v>
      </c>
      <c r="T172" s="7">
        <v>75794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/>
      <c r="AF172" s="7">
        <f t="shared" ref="AF172:AF203" si="7">SUM(F172:AD172)</f>
        <v>1827738</v>
      </c>
    </row>
    <row r="173" spans="1:32" s="4" customFormat="1">
      <c r="A173" s="4">
        <v>21</v>
      </c>
      <c r="B173" s="4" t="s">
        <v>430</v>
      </c>
      <c r="D173" s="4" t="s">
        <v>13</v>
      </c>
      <c r="F173" s="1">
        <v>463118.22</v>
      </c>
      <c r="G173" s="1"/>
      <c r="H173" s="1">
        <v>128486.93</v>
      </c>
      <c r="I173" s="1"/>
      <c r="J173" s="1">
        <v>176799.95</v>
      </c>
      <c r="K173" s="1"/>
      <c r="L173" s="1">
        <v>174323.38</v>
      </c>
      <c r="M173" s="1"/>
      <c r="N173" s="1">
        <v>0</v>
      </c>
      <c r="O173" s="1"/>
      <c r="P173" s="1">
        <v>23361.87</v>
      </c>
      <c r="Q173" s="1"/>
      <c r="R173" s="1">
        <v>3826.68</v>
      </c>
      <c r="S173" s="1"/>
      <c r="T173" s="1">
        <v>140563.31</v>
      </c>
      <c r="U173" s="1"/>
      <c r="V173" s="1">
        <v>0</v>
      </c>
      <c r="W173" s="1"/>
      <c r="X173" s="1">
        <v>0</v>
      </c>
      <c r="Y173" s="1"/>
      <c r="Z173" s="1">
        <v>76183</v>
      </c>
      <c r="AA173" s="1"/>
      <c r="AB173" s="1">
        <v>0</v>
      </c>
      <c r="AC173" s="1"/>
      <c r="AD173" s="1">
        <v>0</v>
      </c>
      <c r="AF173" s="4">
        <f t="shared" si="7"/>
        <v>1186663.3399999999</v>
      </c>
    </row>
    <row r="174" spans="1:32" s="4" customFormat="1">
      <c r="A174" s="4">
        <v>198</v>
      </c>
      <c r="B174" s="4" t="s">
        <v>189</v>
      </c>
      <c r="D174" s="4" t="s">
        <v>185</v>
      </c>
      <c r="F174" s="1">
        <v>240080.23</v>
      </c>
      <c r="G174" s="1"/>
      <c r="H174" s="1">
        <v>108897.59</v>
      </c>
      <c r="I174" s="1"/>
      <c r="J174" s="1">
        <v>122453.87</v>
      </c>
      <c r="K174" s="1"/>
      <c r="L174" s="1">
        <v>84153.98</v>
      </c>
      <c r="M174" s="1"/>
      <c r="N174" s="1">
        <v>0</v>
      </c>
      <c r="O174" s="1"/>
      <c r="P174" s="1">
        <v>16153.89</v>
      </c>
      <c r="Q174" s="1"/>
      <c r="R174" s="1">
        <v>267.87</v>
      </c>
      <c r="S174" s="1"/>
      <c r="T174" s="1">
        <v>12686.15</v>
      </c>
      <c r="U174" s="1"/>
      <c r="V174" s="1">
        <v>0</v>
      </c>
      <c r="W174" s="1"/>
      <c r="X174" s="1">
        <v>420</v>
      </c>
      <c r="Y174" s="1"/>
      <c r="Z174" s="1">
        <v>0</v>
      </c>
      <c r="AA174" s="1"/>
      <c r="AB174" s="1">
        <v>0</v>
      </c>
      <c r="AC174" s="1"/>
      <c r="AD174" s="1">
        <v>13</v>
      </c>
      <c r="AF174" s="4">
        <f t="shared" si="7"/>
        <v>585126.58000000007</v>
      </c>
    </row>
    <row r="175" spans="1:32" s="4" customFormat="1">
      <c r="A175" s="4">
        <v>242</v>
      </c>
      <c r="B175" s="4" t="s">
        <v>190</v>
      </c>
      <c r="D175" s="4" t="s">
        <v>54</v>
      </c>
      <c r="F175" s="1">
        <v>354515.69</v>
      </c>
      <c r="G175" s="1"/>
      <c r="H175" s="1">
        <v>61178.31</v>
      </c>
      <c r="I175" s="1"/>
      <c r="J175" s="1">
        <v>119150.98</v>
      </c>
      <c r="K175" s="1"/>
      <c r="L175" s="1">
        <v>116055.93</v>
      </c>
      <c r="M175" s="1"/>
      <c r="N175" s="1">
        <v>0</v>
      </c>
      <c r="O175" s="1"/>
      <c r="P175" s="1">
        <v>11825.8</v>
      </c>
      <c r="Q175" s="1"/>
      <c r="R175" s="1">
        <v>74.209999999999994</v>
      </c>
      <c r="S175" s="1"/>
      <c r="T175" s="1">
        <v>33980.9</v>
      </c>
      <c r="U175" s="1"/>
      <c r="V175" s="1">
        <v>0</v>
      </c>
      <c r="W175" s="1"/>
      <c r="X175" s="1">
        <v>0</v>
      </c>
      <c r="Y175" s="1"/>
      <c r="Z175" s="1">
        <v>350000</v>
      </c>
      <c r="AA175" s="1"/>
      <c r="AB175" s="1">
        <v>0</v>
      </c>
      <c r="AC175" s="1"/>
      <c r="AD175" s="1">
        <v>1660</v>
      </c>
      <c r="AF175" s="4">
        <f t="shared" si="7"/>
        <v>1048441.82</v>
      </c>
    </row>
    <row r="176" spans="1:32" s="4" customFormat="1">
      <c r="A176" s="4">
        <v>99</v>
      </c>
      <c r="B176" s="4" t="s">
        <v>191</v>
      </c>
      <c r="D176" s="4" t="s">
        <v>61</v>
      </c>
      <c r="F176" s="1">
        <v>293311.58</v>
      </c>
      <c r="G176" s="1"/>
      <c r="H176" s="1">
        <v>71868.100000000006</v>
      </c>
      <c r="I176" s="1"/>
      <c r="J176" s="1">
        <v>94143.76</v>
      </c>
      <c r="K176" s="1"/>
      <c r="L176" s="1">
        <v>107930.82</v>
      </c>
      <c r="M176" s="1"/>
      <c r="N176" s="1">
        <v>0</v>
      </c>
      <c r="O176" s="1"/>
      <c r="P176" s="1">
        <v>37159.269999999997</v>
      </c>
      <c r="Q176" s="1"/>
      <c r="R176" s="1">
        <v>3579.17</v>
      </c>
      <c r="S176" s="1"/>
      <c r="T176" s="1">
        <v>13849.18</v>
      </c>
      <c r="U176" s="1"/>
      <c r="V176" s="1">
        <v>0</v>
      </c>
      <c r="W176" s="1"/>
      <c r="X176" s="1">
        <v>0</v>
      </c>
      <c r="Y176" s="1"/>
      <c r="Z176" s="1">
        <v>0</v>
      </c>
      <c r="AA176" s="1"/>
      <c r="AB176" s="1">
        <v>0</v>
      </c>
      <c r="AC176" s="1"/>
      <c r="AD176" s="1">
        <v>0</v>
      </c>
      <c r="AF176" s="4">
        <f t="shared" si="7"/>
        <v>621841.88000000012</v>
      </c>
    </row>
    <row r="177" spans="1:32" s="4" customFormat="1">
      <c r="A177" s="4">
        <v>237</v>
      </c>
      <c r="B177" s="4" t="s">
        <v>192</v>
      </c>
      <c r="D177" s="4" t="s">
        <v>193</v>
      </c>
      <c r="F177" s="4">
        <v>786478</v>
      </c>
      <c r="G177" s="4">
        <v>0</v>
      </c>
      <c r="H177" s="4">
        <v>209974</v>
      </c>
      <c r="I177" s="4">
        <v>0</v>
      </c>
      <c r="J177" s="4">
        <v>146448</v>
      </c>
      <c r="K177" s="4">
        <v>0</v>
      </c>
      <c r="L177" s="4">
        <v>269946</v>
      </c>
      <c r="M177" s="4">
        <v>0</v>
      </c>
      <c r="N177" s="4">
        <v>0</v>
      </c>
      <c r="O177" s="4">
        <v>0</v>
      </c>
      <c r="P177" s="4">
        <v>16806</v>
      </c>
      <c r="Q177" s="4">
        <v>0</v>
      </c>
      <c r="R177" s="4">
        <v>74507</v>
      </c>
      <c r="S177" s="4">
        <v>0</v>
      </c>
      <c r="T177" s="4">
        <v>74317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F177" s="4">
        <f t="shared" si="7"/>
        <v>1578476</v>
      </c>
    </row>
    <row r="178" spans="1:32" s="4" customFormat="1">
      <c r="A178" s="4">
        <v>243</v>
      </c>
      <c r="B178" s="4" t="s">
        <v>194</v>
      </c>
      <c r="D178" s="4" t="s">
        <v>54</v>
      </c>
      <c r="F178" s="1">
        <v>581741.47</v>
      </c>
      <c r="G178" s="1"/>
      <c r="H178" s="1">
        <v>204383.04</v>
      </c>
      <c r="I178" s="1"/>
      <c r="J178" s="1">
        <v>153869.45000000001</v>
      </c>
      <c r="K178" s="1"/>
      <c r="L178" s="1">
        <v>163021.43</v>
      </c>
      <c r="M178" s="1"/>
      <c r="N178" s="1">
        <v>0</v>
      </c>
      <c r="O178" s="1"/>
      <c r="P178" s="1">
        <v>21270.400000000001</v>
      </c>
      <c r="Q178" s="1"/>
      <c r="R178" s="1">
        <v>1220.8399999999999</v>
      </c>
      <c r="S178" s="1"/>
      <c r="T178" s="1">
        <v>13844.95</v>
      </c>
      <c r="U178" s="1"/>
      <c r="V178" s="1">
        <v>0</v>
      </c>
      <c r="W178" s="1"/>
      <c r="X178" s="1">
        <v>0</v>
      </c>
      <c r="Y178" s="1"/>
      <c r="Z178" s="1">
        <v>0</v>
      </c>
      <c r="AA178" s="1"/>
      <c r="AB178" s="1">
        <v>0</v>
      </c>
      <c r="AC178" s="1"/>
      <c r="AD178" s="1">
        <v>0</v>
      </c>
      <c r="AF178" s="4">
        <f t="shared" si="7"/>
        <v>1139351.5799999998</v>
      </c>
    </row>
    <row r="179" spans="1:32" s="4" customFormat="1">
      <c r="A179" s="4">
        <v>211</v>
      </c>
      <c r="B179" s="4" t="s">
        <v>195</v>
      </c>
      <c r="D179" s="4" t="s">
        <v>25</v>
      </c>
      <c r="F179" s="4">
        <v>1111578.6100000001</v>
      </c>
      <c r="G179" s="4">
        <v>0</v>
      </c>
      <c r="H179" s="4">
        <v>228946.75</v>
      </c>
      <c r="I179" s="4">
        <v>0</v>
      </c>
      <c r="J179" s="4">
        <v>393184.23</v>
      </c>
      <c r="K179" s="4">
        <v>0</v>
      </c>
      <c r="L179" s="4">
        <v>352576.57</v>
      </c>
      <c r="M179" s="4">
        <v>0</v>
      </c>
      <c r="N179" s="4">
        <v>0</v>
      </c>
      <c r="O179" s="4">
        <v>0</v>
      </c>
      <c r="P179" s="4">
        <v>77207.33</v>
      </c>
      <c r="Q179" s="4">
        <v>0</v>
      </c>
      <c r="R179" s="4">
        <v>10535.95</v>
      </c>
      <c r="S179" s="4">
        <v>0</v>
      </c>
      <c r="T179" s="4">
        <v>26178.03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38069.230000000003</v>
      </c>
      <c r="AA179" s="4">
        <v>0</v>
      </c>
      <c r="AB179" s="4">
        <v>0</v>
      </c>
      <c r="AC179" s="4">
        <v>0</v>
      </c>
      <c r="AD179" s="4">
        <v>0</v>
      </c>
      <c r="AF179" s="4">
        <f t="shared" si="7"/>
        <v>2238276.7000000002</v>
      </c>
    </row>
    <row r="180" spans="1:32" s="4" customFormat="1">
      <c r="A180" s="4">
        <v>94</v>
      </c>
      <c r="B180" s="4" t="s">
        <v>340</v>
      </c>
      <c r="D180" s="4" t="s">
        <v>139</v>
      </c>
      <c r="F180" s="1">
        <v>143621.01</v>
      </c>
      <c r="G180" s="1"/>
      <c r="H180" s="1">
        <v>49461.87</v>
      </c>
      <c r="I180" s="1"/>
      <c r="J180" s="1">
        <v>29337.06</v>
      </c>
      <c r="K180" s="1"/>
      <c r="L180" s="1">
        <v>23795.51</v>
      </c>
      <c r="M180" s="1"/>
      <c r="N180" s="1">
        <v>0</v>
      </c>
      <c r="O180" s="1"/>
      <c r="P180" s="1">
        <v>5334.59</v>
      </c>
      <c r="Q180" s="1"/>
      <c r="R180" s="1">
        <v>3076.89</v>
      </c>
      <c r="S180" s="1"/>
      <c r="T180" s="1">
        <v>1600</v>
      </c>
      <c r="U180" s="1"/>
      <c r="V180" s="1">
        <v>0</v>
      </c>
      <c r="W180" s="1"/>
      <c r="X180" s="1">
        <v>0</v>
      </c>
      <c r="Y180" s="1"/>
      <c r="Z180" s="1">
        <v>0</v>
      </c>
      <c r="AA180" s="1"/>
      <c r="AB180" s="1">
        <v>0</v>
      </c>
      <c r="AC180" s="1"/>
      <c r="AD180" s="1">
        <v>0</v>
      </c>
      <c r="AF180" s="4">
        <f t="shared" si="7"/>
        <v>256226.93000000002</v>
      </c>
    </row>
    <row r="181" spans="1:32" s="4" customFormat="1">
      <c r="A181" s="4">
        <v>227</v>
      </c>
      <c r="B181" s="4" t="s">
        <v>440</v>
      </c>
      <c r="D181" s="4" t="s">
        <v>56</v>
      </c>
      <c r="F181" s="4">
        <v>336565</v>
      </c>
      <c r="G181" s="4">
        <v>0</v>
      </c>
      <c r="H181" s="4">
        <v>136220</v>
      </c>
      <c r="I181" s="4">
        <v>0</v>
      </c>
      <c r="J181" s="4">
        <v>205306</v>
      </c>
      <c r="K181" s="4">
        <v>0</v>
      </c>
      <c r="L181" s="4">
        <v>129573</v>
      </c>
      <c r="M181" s="4">
        <v>0</v>
      </c>
      <c r="N181" s="4">
        <v>0</v>
      </c>
      <c r="O181" s="4">
        <v>0</v>
      </c>
      <c r="P181" s="4">
        <v>22283</v>
      </c>
      <c r="Q181" s="4">
        <v>0</v>
      </c>
      <c r="R181" s="4">
        <v>4417</v>
      </c>
      <c r="S181" s="4">
        <v>0</v>
      </c>
      <c r="T181" s="4">
        <v>15018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20557</v>
      </c>
      <c r="AA181" s="4">
        <v>0</v>
      </c>
      <c r="AB181" s="4">
        <v>0</v>
      </c>
      <c r="AC181" s="4">
        <v>0</v>
      </c>
      <c r="AD181" s="4">
        <v>0</v>
      </c>
      <c r="AF181" s="4">
        <f t="shared" si="7"/>
        <v>869939</v>
      </c>
    </row>
    <row r="182" spans="1:32" s="4" customFormat="1">
      <c r="A182" s="4">
        <v>29</v>
      </c>
      <c r="B182" s="4" t="s">
        <v>196</v>
      </c>
      <c r="D182" s="4" t="s">
        <v>62</v>
      </c>
      <c r="F182" s="1">
        <v>124784.18</v>
      </c>
      <c r="G182" s="1"/>
      <c r="H182" s="1">
        <v>51293.77</v>
      </c>
      <c r="I182" s="1"/>
      <c r="J182" s="1">
        <v>39423.040000000001</v>
      </c>
      <c r="K182" s="1"/>
      <c r="L182" s="1">
        <v>29225.71</v>
      </c>
      <c r="M182" s="1"/>
      <c r="N182" s="1">
        <v>0</v>
      </c>
      <c r="O182" s="1"/>
      <c r="P182" s="1">
        <v>4601.57</v>
      </c>
      <c r="Q182" s="1"/>
      <c r="R182" s="1">
        <v>1500</v>
      </c>
      <c r="S182" s="1"/>
      <c r="T182" s="1">
        <v>10297</v>
      </c>
      <c r="U182" s="1"/>
      <c r="V182" s="1">
        <v>0</v>
      </c>
      <c r="W182" s="1"/>
      <c r="X182" s="1">
        <v>0</v>
      </c>
      <c r="Y182" s="1"/>
      <c r="Z182" s="1">
        <v>35000</v>
      </c>
      <c r="AA182" s="1"/>
      <c r="AB182" s="1">
        <v>0</v>
      </c>
      <c r="AC182" s="1"/>
      <c r="AD182" s="1">
        <v>0</v>
      </c>
      <c r="AF182" s="4">
        <f t="shared" si="7"/>
        <v>296125.27</v>
      </c>
    </row>
    <row r="183" spans="1:32" s="4" customFormat="1">
      <c r="A183" s="4">
        <v>156</v>
      </c>
      <c r="B183" s="4" t="s">
        <v>602</v>
      </c>
      <c r="D183" s="4" t="s">
        <v>20</v>
      </c>
      <c r="F183" s="4">
        <v>3786177</v>
      </c>
      <c r="G183" s="4">
        <v>0</v>
      </c>
      <c r="H183" s="4">
        <v>1014761</v>
      </c>
      <c r="I183" s="4">
        <v>0</v>
      </c>
      <c r="J183" s="4">
        <v>1493697</v>
      </c>
      <c r="K183" s="4">
        <v>0</v>
      </c>
      <c r="L183" s="4">
        <v>928694</v>
      </c>
      <c r="M183" s="4">
        <v>0</v>
      </c>
      <c r="N183" s="4">
        <v>0</v>
      </c>
      <c r="O183" s="4">
        <v>0</v>
      </c>
      <c r="P183" s="4">
        <v>126818</v>
      </c>
      <c r="Q183" s="4">
        <v>0</v>
      </c>
      <c r="R183" s="4">
        <v>26375</v>
      </c>
      <c r="S183" s="4">
        <v>0</v>
      </c>
      <c r="T183" s="4">
        <v>164255</v>
      </c>
      <c r="U183" s="4">
        <v>0</v>
      </c>
      <c r="V183" s="4">
        <v>1710000</v>
      </c>
      <c r="W183" s="4">
        <v>0</v>
      </c>
      <c r="X183" s="4">
        <v>1549013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F183" s="4">
        <f t="shared" si="7"/>
        <v>10799790</v>
      </c>
    </row>
    <row r="184" spans="1:32" s="4" customFormat="1">
      <c r="A184" s="4">
        <v>157</v>
      </c>
      <c r="B184" s="4" t="s">
        <v>490</v>
      </c>
      <c r="D184" s="4" t="s">
        <v>433</v>
      </c>
      <c r="F184" s="1">
        <v>354893.16</v>
      </c>
      <c r="G184" s="1"/>
      <c r="H184" s="1">
        <v>93799.07</v>
      </c>
      <c r="I184" s="1"/>
      <c r="J184" s="1">
        <v>100195.21</v>
      </c>
      <c r="K184" s="1"/>
      <c r="L184" s="1">
        <v>94373.15</v>
      </c>
      <c r="M184" s="1"/>
      <c r="N184" s="1">
        <v>0</v>
      </c>
      <c r="O184" s="1"/>
      <c r="P184" s="1">
        <v>11886.41</v>
      </c>
      <c r="Q184" s="1"/>
      <c r="R184" s="1">
        <v>2567</v>
      </c>
      <c r="S184" s="1"/>
      <c r="T184" s="1">
        <v>45779.040000000001</v>
      </c>
      <c r="U184" s="1"/>
      <c r="V184" s="1">
        <v>0</v>
      </c>
      <c r="W184" s="1"/>
      <c r="X184" s="1">
        <v>0</v>
      </c>
      <c r="Y184" s="1"/>
      <c r="Z184" s="1">
        <v>75000</v>
      </c>
      <c r="AA184" s="1"/>
      <c r="AB184" s="1">
        <v>0</v>
      </c>
      <c r="AC184" s="1"/>
      <c r="AD184" s="1">
        <v>0</v>
      </c>
      <c r="AF184" s="4">
        <f t="shared" si="7"/>
        <v>778493.04</v>
      </c>
    </row>
    <row r="185" spans="1:32" s="4" customFormat="1">
      <c r="A185" s="4">
        <v>126</v>
      </c>
      <c r="B185" s="4" t="s">
        <v>14</v>
      </c>
      <c r="D185" s="4" t="s">
        <v>15</v>
      </c>
      <c r="F185" s="4">
        <v>1896574</v>
      </c>
      <c r="G185" s="4">
        <v>0</v>
      </c>
      <c r="H185" s="4">
        <v>0</v>
      </c>
      <c r="I185" s="4">
        <v>0</v>
      </c>
      <c r="J185" s="4">
        <v>492260</v>
      </c>
      <c r="K185" s="4">
        <v>0</v>
      </c>
      <c r="L185" s="4">
        <v>554763</v>
      </c>
      <c r="M185" s="4">
        <v>0</v>
      </c>
      <c r="N185" s="4">
        <v>0</v>
      </c>
      <c r="O185" s="4">
        <v>0</v>
      </c>
      <c r="P185" s="4">
        <v>31719</v>
      </c>
      <c r="Q185" s="4">
        <v>0</v>
      </c>
      <c r="R185" s="4">
        <v>11234</v>
      </c>
      <c r="S185" s="4">
        <v>0</v>
      </c>
      <c r="T185" s="4">
        <v>151351</v>
      </c>
      <c r="U185" s="4">
        <v>0</v>
      </c>
      <c r="V185" s="4">
        <v>63500</v>
      </c>
      <c r="W185" s="4">
        <v>0</v>
      </c>
      <c r="X185" s="4">
        <v>20597</v>
      </c>
      <c r="Y185" s="4">
        <v>0</v>
      </c>
      <c r="Z185" s="4">
        <v>139097</v>
      </c>
      <c r="AA185" s="4">
        <v>0</v>
      </c>
      <c r="AB185" s="4">
        <v>75000</v>
      </c>
      <c r="AC185" s="4">
        <v>0</v>
      </c>
      <c r="AD185" s="4">
        <v>0</v>
      </c>
      <c r="AF185" s="4">
        <f t="shared" si="7"/>
        <v>3436095</v>
      </c>
    </row>
    <row r="186" spans="1:32" s="4" customFormat="1">
      <c r="A186" s="4">
        <v>160</v>
      </c>
      <c r="B186" s="4" t="s">
        <v>603</v>
      </c>
      <c r="D186" s="4" t="s">
        <v>50</v>
      </c>
      <c r="F186" s="1">
        <v>511839.5</v>
      </c>
      <c r="G186" s="1"/>
      <c r="H186" s="1">
        <v>133007.17000000001</v>
      </c>
      <c r="I186" s="1"/>
      <c r="J186" s="1">
        <v>124333.92</v>
      </c>
      <c r="K186" s="1"/>
      <c r="L186" s="1">
        <v>60602.63</v>
      </c>
      <c r="M186" s="1"/>
      <c r="N186" s="1">
        <v>0</v>
      </c>
      <c r="O186" s="1"/>
      <c r="P186" s="1">
        <v>21997.25</v>
      </c>
      <c r="Q186" s="1"/>
      <c r="R186" s="1">
        <v>16324.63</v>
      </c>
      <c r="S186" s="1"/>
      <c r="T186" s="1">
        <v>41619.56</v>
      </c>
      <c r="U186" s="1"/>
      <c r="V186" s="1">
        <v>0</v>
      </c>
      <c r="W186" s="1"/>
      <c r="X186" s="1">
        <v>0</v>
      </c>
      <c r="Y186" s="1"/>
      <c r="Z186" s="1">
        <v>130263</v>
      </c>
      <c r="AA186" s="1"/>
      <c r="AB186" s="1">
        <v>0</v>
      </c>
      <c r="AC186" s="1"/>
      <c r="AD186" s="1">
        <v>0</v>
      </c>
      <c r="AF186" s="4">
        <f t="shared" si="7"/>
        <v>1039987.6600000001</v>
      </c>
    </row>
    <row r="187" spans="1:32" s="4" customFormat="1">
      <c r="A187" s="4">
        <v>26</v>
      </c>
      <c r="B187" s="4" t="s">
        <v>197</v>
      </c>
      <c r="D187" s="4" t="s">
        <v>10</v>
      </c>
      <c r="F187" s="4">
        <v>2811055</v>
      </c>
      <c r="G187" s="4">
        <v>0</v>
      </c>
      <c r="H187" s="4">
        <v>0</v>
      </c>
      <c r="I187" s="4">
        <v>0</v>
      </c>
      <c r="J187" s="4">
        <v>895621</v>
      </c>
      <c r="K187" s="4">
        <v>0</v>
      </c>
      <c r="L187" s="4">
        <v>617208</v>
      </c>
      <c r="M187" s="4">
        <v>0</v>
      </c>
      <c r="N187" s="4">
        <v>0</v>
      </c>
      <c r="O187" s="4">
        <v>0</v>
      </c>
      <c r="P187" s="4">
        <v>75148</v>
      </c>
      <c r="Q187" s="4">
        <v>0</v>
      </c>
      <c r="R187" s="4">
        <v>19227</v>
      </c>
      <c r="S187" s="4">
        <v>0</v>
      </c>
      <c r="T187" s="4">
        <v>109835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F187" s="4">
        <f t="shared" si="7"/>
        <v>4528094</v>
      </c>
    </row>
    <row r="188" spans="1:32" s="4" customFormat="1">
      <c r="A188" s="4">
        <v>67</v>
      </c>
      <c r="B188" s="4" t="s">
        <v>198</v>
      </c>
      <c r="D188" s="4" t="s">
        <v>167</v>
      </c>
      <c r="F188" s="1">
        <v>447279.35999999999</v>
      </c>
      <c r="G188" s="1"/>
      <c r="H188" s="1">
        <v>72626.61</v>
      </c>
      <c r="I188" s="1"/>
      <c r="J188" s="1">
        <v>123761.63</v>
      </c>
      <c r="K188" s="1"/>
      <c r="L188" s="1">
        <v>137971.01999999999</v>
      </c>
      <c r="M188" s="1"/>
      <c r="N188" s="1">
        <v>0</v>
      </c>
      <c r="O188" s="1"/>
      <c r="P188" s="1">
        <v>30462.45</v>
      </c>
      <c r="Q188" s="1"/>
      <c r="R188" s="1">
        <v>2399.14</v>
      </c>
      <c r="S188" s="1"/>
      <c r="T188" s="1">
        <v>62189.78</v>
      </c>
      <c r="U188" s="1"/>
      <c r="V188" s="1">
        <v>0</v>
      </c>
      <c r="W188" s="1"/>
      <c r="X188" s="1">
        <v>0</v>
      </c>
      <c r="Y188" s="1"/>
      <c r="Z188" s="1">
        <v>0</v>
      </c>
      <c r="AA188" s="1"/>
      <c r="AB188" s="1">
        <v>0</v>
      </c>
      <c r="AC188" s="1"/>
      <c r="AD188" s="1">
        <v>42155</v>
      </c>
      <c r="AF188" s="4">
        <f t="shared" si="7"/>
        <v>918844.99</v>
      </c>
    </row>
    <row r="189" spans="1:32" s="4" customFormat="1">
      <c r="A189" s="4">
        <v>165</v>
      </c>
      <c r="B189" s="4" t="s">
        <v>199</v>
      </c>
      <c r="D189" s="4" t="s">
        <v>53</v>
      </c>
      <c r="F189" s="1">
        <v>220330.18</v>
      </c>
      <c r="G189" s="1"/>
      <c r="H189" s="1">
        <v>62910.54</v>
      </c>
      <c r="I189" s="1"/>
      <c r="J189" s="1">
        <v>62317.47</v>
      </c>
      <c r="K189" s="1"/>
      <c r="L189" s="1">
        <v>39914.94</v>
      </c>
      <c r="M189" s="1"/>
      <c r="N189" s="1">
        <v>0</v>
      </c>
      <c r="O189" s="1"/>
      <c r="P189" s="1">
        <v>6160.72</v>
      </c>
      <c r="Q189" s="1"/>
      <c r="R189" s="1">
        <v>1511.85</v>
      </c>
      <c r="S189" s="1"/>
      <c r="T189" s="1">
        <v>485</v>
      </c>
      <c r="U189" s="1"/>
      <c r="V189" s="1">
        <v>0</v>
      </c>
      <c r="W189" s="1"/>
      <c r="X189" s="1">
        <v>0</v>
      </c>
      <c r="Y189" s="1"/>
      <c r="Z189" s="1">
        <v>0</v>
      </c>
      <c r="AA189" s="1"/>
      <c r="AB189" s="1">
        <v>0</v>
      </c>
      <c r="AC189" s="1"/>
      <c r="AD189" s="1">
        <v>0</v>
      </c>
      <c r="AF189" s="4">
        <f t="shared" si="7"/>
        <v>393630.6999999999</v>
      </c>
    </row>
    <row r="190" spans="1:32" s="4" customFormat="1">
      <c r="A190" s="4">
        <v>212</v>
      </c>
      <c r="B190" s="4" t="s">
        <v>200</v>
      </c>
      <c r="D190" s="4" t="s">
        <v>25</v>
      </c>
      <c r="F190" s="1">
        <v>342616.65</v>
      </c>
      <c r="G190" s="1"/>
      <c r="H190" s="1">
        <v>105738.08</v>
      </c>
      <c r="I190" s="1"/>
      <c r="J190" s="1">
        <v>75086.850000000006</v>
      </c>
      <c r="K190" s="1"/>
      <c r="L190" s="1">
        <v>82674.37</v>
      </c>
      <c r="M190" s="1"/>
      <c r="N190" s="1">
        <v>0</v>
      </c>
      <c r="O190" s="1"/>
      <c r="P190" s="1">
        <v>7666.16</v>
      </c>
      <c r="Q190" s="1"/>
      <c r="R190" s="1">
        <v>21483.77</v>
      </c>
      <c r="S190" s="1"/>
      <c r="T190" s="1">
        <v>2753</v>
      </c>
      <c r="U190" s="1"/>
      <c r="V190" s="1">
        <v>0</v>
      </c>
      <c r="W190" s="1"/>
      <c r="X190" s="1">
        <v>0</v>
      </c>
      <c r="Y190" s="1"/>
      <c r="Z190" s="1">
        <v>15000</v>
      </c>
      <c r="AA190" s="1"/>
      <c r="AB190" s="1">
        <v>0</v>
      </c>
      <c r="AC190" s="1"/>
      <c r="AD190" s="1">
        <v>0</v>
      </c>
      <c r="AF190" s="4">
        <f t="shared" si="7"/>
        <v>653018.88000000012</v>
      </c>
    </row>
    <row r="191" spans="1:32" s="4" customFormat="1">
      <c r="A191" s="4">
        <v>259</v>
      </c>
      <c r="B191" s="4" t="s">
        <v>309</v>
      </c>
      <c r="D191" s="4" t="s">
        <v>63</v>
      </c>
      <c r="F191" s="1">
        <v>107245.71</v>
      </c>
      <c r="G191" s="1"/>
      <c r="H191" s="1">
        <v>16988</v>
      </c>
      <c r="I191" s="1"/>
      <c r="J191" s="1">
        <v>39800.160000000003</v>
      </c>
      <c r="K191" s="1"/>
      <c r="L191" s="1">
        <v>37684.29</v>
      </c>
      <c r="M191" s="1"/>
      <c r="N191" s="1">
        <v>0</v>
      </c>
      <c r="O191" s="1"/>
      <c r="P191" s="1">
        <v>7148.8</v>
      </c>
      <c r="Q191" s="1"/>
      <c r="R191" s="1">
        <v>2094.84</v>
      </c>
      <c r="S191" s="1"/>
      <c r="T191" s="1">
        <v>9760</v>
      </c>
      <c r="U191" s="1"/>
      <c r="V191" s="1">
        <v>0</v>
      </c>
      <c r="W191" s="1"/>
      <c r="X191" s="1">
        <v>0</v>
      </c>
      <c r="Y191" s="1"/>
      <c r="Z191" s="1">
        <v>0</v>
      </c>
      <c r="AA191" s="1"/>
      <c r="AB191" s="1">
        <v>0</v>
      </c>
      <c r="AC191" s="1"/>
      <c r="AD191" s="1">
        <v>0</v>
      </c>
      <c r="AF191" s="4">
        <f t="shared" si="7"/>
        <v>220721.8</v>
      </c>
    </row>
    <row r="192" spans="1:32" s="4" customFormat="1">
      <c r="A192" s="4">
        <v>168</v>
      </c>
      <c r="B192" s="4" t="s">
        <v>508</v>
      </c>
      <c r="D192" s="4" t="s">
        <v>64</v>
      </c>
      <c r="F192" s="1">
        <v>231766</v>
      </c>
      <c r="G192" s="1"/>
      <c r="H192" s="1">
        <v>82676.820000000007</v>
      </c>
      <c r="I192" s="1"/>
      <c r="J192" s="1">
        <v>48104.21</v>
      </c>
      <c r="K192" s="1"/>
      <c r="L192" s="1">
        <v>49009.17</v>
      </c>
      <c r="M192" s="1"/>
      <c r="N192" s="1">
        <v>0</v>
      </c>
      <c r="O192" s="1"/>
      <c r="P192" s="1">
        <v>5486.51</v>
      </c>
      <c r="Q192" s="1"/>
      <c r="R192" s="1">
        <v>5169</v>
      </c>
      <c r="S192" s="1"/>
      <c r="T192" s="1">
        <v>0</v>
      </c>
      <c r="U192" s="1"/>
      <c r="V192" s="1">
        <v>0</v>
      </c>
      <c r="W192" s="1"/>
      <c r="X192" s="1">
        <v>0</v>
      </c>
      <c r="Y192" s="1"/>
      <c r="Z192" s="1">
        <v>0</v>
      </c>
      <c r="AA192" s="1"/>
      <c r="AB192" s="1">
        <v>0</v>
      </c>
      <c r="AC192" s="1"/>
      <c r="AD192" s="1">
        <v>0</v>
      </c>
      <c r="AF192" s="4">
        <f t="shared" si="7"/>
        <v>422211.71</v>
      </c>
    </row>
    <row r="193" spans="1:32" s="4" customFormat="1">
      <c r="A193" s="4">
        <v>111</v>
      </c>
      <c r="B193" s="4" t="s">
        <v>202</v>
      </c>
      <c r="D193" s="4" t="s">
        <v>89</v>
      </c>
      <c r="F193" s="4">
        <v>59642</v>
      </c>
      <c r="G193" s="4">
        <v>0</v>
      </c>
      <c r="H193" s="4">
        <v>9453</v>
      </c>
      <c r="I193" s="4">
        <v>0</v>
      </c>
      <c r="J193" s="4">
        <v>24854</v>
      </c>
      <c r="K193" s="4">
        <v>0</v>
      </c>
      <c r="L193" s="4">
        <v>12360</v>
      </c>
      <c r="M193" s="4">
        <v>0</v>
      </c>
      <c r="N193" s="4">
        <v>0</v>
      </c>
      <c r="O193" s="4">
        <v>0</v>
      </c>
      <c r="P193" s="4">
        <v>2763</v>
      </c>
      <c r="Q193" s="4">
        <v>0</v>
      </c>
      <c r="R193" s="4">
        <v>322</v>
      </c>
      <c r="S193" s="4">
        <v>0</v>
      </c>
      <c r="T193" s="4">
        <v>3132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F193" s="4">
        <f t="shared" si="7"/>
        <v>112526</v>
      </c>
    </row>
    <row r="194" spans="1:32" s="4" customFormat="1">
      <c r="A194" s="4">
        <v>248</v>
      </c>
      <c r="B194" s="4" t="s">
        <v>203</v>
      </c>
      <c r="D194" s="4" t="s">
        <v>204</v>
      </c>
      <c r="F194" s="4">
        <v>105990</v>
      </c>
      <c r="G194" s="4">
        <v>0</v>
      </c>
      <c r="H194" s="4">
        <v>17101</v>
      </c>
      <c r="I194" s="4">
        <v>0</v>
      </c>
      <c r="J194" s="4">
        <v>26417</v>
      </c>
      <c r="K194" s="4">
        <v>0</v>
      </c>
      <c r="L194" s="4">
        <f>18914+85</f>
        <v>18999</v>
      </c>
      <c r="M194" s="4">
        <v>0</v>
      </c>
      <c r="N194" s="4">
        <v>0</v>
      </c>
      <c r="O194" s="4">
        <v>0</v>
      </c>
      <c r="P194" s="4">
        <v>7779</v>
      </c>
      <c r="Q194" s="4">
        <v>0</v>
      </c>
      <c r="R194" s="4">
        <v>2404</v>
      </c>
      <c r="S194" s="4">
        <v>0</v>
      </c>
      <c r="T194" s="4">
        <f>2870+6100</f>
        <v>8970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F194" s="4">
        <f t="shared" si="7"/>
        <v>187660</v>
      </c>
    </row>
    <row r="195" spans="1:32" s="4" customFormat="1">
      <c r="A195" s="4">
        <v>127</v>
      </c>
      <c r="B195" s="4" t="s">
        <v>205</v>
      </c>
      <c r="D195" s="4" t="s">
        <v>15</v>
      </c>
      <c r="F195" s="4">
        <v>1237349</v>
      </c>
      <c r="G195" s="4">
        <v>0</v>
      </c>
      <c r="H195" s="4">
        <v>390308</v>
      </c>
      <c r="I195" s="4">
        <v>0</v>
      </c>
      <c r="J195" s="4">
        <v>438200</v>
      </c>
      <c r="K195" s="4">
        <v>0</v>
      </c>
      <c r="L195" s="4">
        <v>421463</v>
      </c>
      <c r="M195" s="4">
        <v>0</v>
      </c>
      <c r="N195" s="4">
        <v>0</v>
      </c>
      <c r="O195" s="4">
        <v>0</v>
      </c>
      <c r="P195" s="4">
        <v>44898</v>
      </c>
      <c r="Q195" s="4">
        <v>0</v>
      </c>
      <c r="R195" s="4">
        <v>9162</v>
      </c>
      <c r="S195" s="4">
        <v>0</v>
      </c>
      <c r="T195" s="4">
        <v>471348</v>
      </c>
      <c r="U195" s="4">
        <v>0</v>
      </c>
      <c r="V195" s="4">
        <v>520000</v>
      </c>
      <c r="W195" s="4">
        <v>0</v>
      </c>
      <c r="X195" s="4">
        <v>387837</v>
      </c>
      <c r="Y195" s="4">
        <v>0</v>
      </c>
      <c r="Z195" s="4">
        <v>3223701</v>
      </c>
      <c r="AA195" s="4">
        <v>0</v>
      </c>
      <c r="AB195" s="4">
        <v>0</v>
      </c>
      <c r="AC195" s="4">
        <v>0</v>
      </c>
      <c r="AD195" s="4">
        <v>0</v>
      </c>
      <c r="AF195" s="4">
        <f t="shared" si="7"/>
        <v>7144266</v>
      </c>
    </row>
    <row r="196" spans="1:32" s="4" customFormat="1">
      <c r="A196" s="4">
        <v>175</v>
      </c>
      <c r="B196" s="4" t="s">
        <v>206</v>
      </c>
      <c r="D196" s="4" t="s">
        <v>68</v>
      </c>
      <c r="F196" s="1">
        <v>124719.76</v>
      </c>
      <c r="G196" s="1"/>
      <c r="H196" s="1">
        <v>22755.360000000001</v>
      </c>
      <c r="I196" s="1"/>
      <c r="J196" s="1">
        <v>76390.259999999995</v>
      </c>
      <c r="K196" s="1"/>
      <c r="L196" s="1">
        <v>27477.32</v>
      </c>
      <c r="M196" s="1"/>
      <c r="N196" s="1">
        <v>0</v>
      </c>
      <c r="O196" s="1"/>
      <c r="P196" s="1">
        <v>4846.78</v>
      </c>
      <c r="Q196" s="1"/>
      <c r="R196" s="1">
        <v>2845.9</v>
      </c>
      <c r="S196" s="1"/>
      <c r="T196" s="1">
        <v>9298.17</v>
      </c>
      <c r="U196" s="1"/>
      <c r="V196" s="1">
        <v>0</v>
      </c>
      <c r="W196" s="1"/>
      <c r="X196" s="1">
        <v>0</v>
      </c>
      <c r="Y196" s="1"/>
      <c r="Z196" s="1">
        <v>0</v>
      </c>
      <c r="AA196" s="1"/>
      <c r="AB196" s="1">
        <v>0</v>
      </c>
      <c r="AC196" s="1"/>
      <c r="AD196" s="1">
        <v>0</v>
      </c>
      <c r="AF196" s="4">
        <f t="shared" si="7"/>
        <v>268333.55</v>
      </c>
    </row>
    <row r="197" spans="1:32" s="4" customFormat="1">
      <c r="A197" s="4">
        <v>150</v>
      </c>
      <c r="B197" s="4" t="s">
        <v>207</v>
      </c>
      <c r="D197" s="4" t="s">
        <v>12</v>
      </c>
      <c r="F197" s="1">
        <v>98589.37</v>
      </c>
      <c r="G197" s="1"/>
      <c r="H197" s="1">
        <v>16378.43</v>
      </c>
      <c r="I197" s="1"/>
      <c r="J197" s="1">
        <v>45144.58</v>
      </c>
      <c r="K197" s="1"/>
      <c r="L197" s="1">
        <v>25555.02</v>
      </c>
      <c r="M197" s="1"/>
      <c r="N197" s="1">
        <v>0</v>
      </c>
      <c r="O197" s="1"/>
      <c r="P197" s="1">
        <v>4495.6400000000003</v>
      </c>
      <c r="Q197" s="1"/>
      <c r="R197" s="1">
        <v>1631.2</v>
      </c>
      <c r="S197" s="1"/>
      <c r="T197" s="1">
        <v>0</v>
      </c>
      <c r="U197" s="1"/>
      <c r="V197" s="1">
        <v>0</v>
      </c>
      <c r="W197" s="1"/>
      <c r="X197" s="1">
        <v>0</v>
      </c>
      <c r="Y197" s="1"/>
      <c r="Z197" s="1">
        <v>0</v>
      </c>
      <c r="AA197" s="1"/>
      <c r="AB197" s="1">
        <v>0</v>
      </c>
      <c r="AC197" s="1"/>
      <c r="AD197" s="1">
        <v>0</v>
      </c>
      <c r="AF197" s="4">
        <f t="shared" si="7"/>
        <v>191794.24000000002</v>
      </c>
    </row>
    <row r="198" spans="1:32" s="4" customFormat="1">
      <c r="A198" s="4">
        <v>122</v>
      </c>
      <c r="B198" s="4" t="s">
        <v>431</v>
      </c>
      <c r="D198" s="4" t="s">
        <v>16</v>
      </c>
      <c r="F198" s="4">
        <v>1098357</v>
      </c>
      <c r="G198" s="4">
        <v>0</v>
      </c>
      <c r="H198" s="4">
        <v>284825</v>
      </c>
      <c r="I198" s="4">
        <v>0</v>
      </c>
      <c r="J198" s="4">
        <v>219288</v>
      </c>
      <c r="K198" s="4">
        <v>0</v>
      </c>
      <c r="L198" s="4">
        <v>331832</v>
      </c>
      <c r="M198" s="4">
        <v>0</v>
      </c>
      <c r="N198" s="4">
        <v>0</v>
      </c>
      <c r="O198" s="4">
        <v>0</v>
      </c>
      <c r="P198" s="4">
        <v>50944</v>
      </c>
      <c r="Q198" s="4">
        <v>0</v>
      </c>
      <c r="R198" s="4">
        <v>4617</v>
      </c>
      <c r="S198" s="4">
        <v>0</v>
      </c>
      <c r="T198" s="4">
        <v>127516</v>
      </c>
      <c r="U198" s="4">
        <v>0</v>
      </c>
      <c r="V198" s="4">
        <v>69486</v>
      </c>
      <c r="W198" s="4">
        <v>0</v>
      </c>
      <c r="X198" s="4">
        <v>166364</v>
      </c>
      <c r="Y198" s="4">
        <v>0</v>
      </c>
      <c r="Z198" s="4">
        <v>153500</v>
      </c>
      <c r="AA198" s="4">
        <v>0</v>
      </c>
      <c r="AB198" s="4">
        <v>0</v>
      </c>
      <c r="AC198" s="4">
        <v>0</v>
      </c>
      <c r="AD198" s="4">
        <v>0</v>
      </c>
      <c r="AF198" s="4">
        <f t="shared" si="7"/>
        <v>2506729</v>
      </c>
    </row>
    <row r="199" spans="1:32" s="4" customFormat="1">
      <c r="A199" s="4">
        <v>178</v>
      </c>
      <c r="B199" s="4" t="s">
        <v>604</v>
      </c>
      <c r="D199" s="4" t="s">
        <v>209</v>
      </c>
      <c r="F199" s="4">
        <v>0</v>
      </c>
      <c r="G199" s="4">
        <v>0</v>
      </c>
      <c r="H199" s="4">
        <v>0</v>
      </c>
      <c r="I199" s="4">
        <v>0</v>
      </c>
      <c r="J199" s="4">
        <v>485683</v>
      </c>
      <c r="K199" s="4">
        <v>0</v>
      </c>
      <c r="L199" s="4">
        <v>497803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2145463</v>
      </c>
      <c r="S199" s="4">
        <v>0</v>
      </c>
      <c r="T199" s="4">
        <v>104199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F199" s="4">
        <f t="shared" si="7"/>
        <v>3233148</v>
      </c>
    </row>
    <row r="200" spans="1:32" s="4" customFormat="1">
      <c r="A200" s="4">
        <v>105</v>
      </c>
      <c r="B200" s="4" t="s">
        <v>334</v>
      </c>
      <c r="D200" s="4" t="s">
        <v>60</v>
      </c>
      <c r="F200" s="4">
        <v>318560</v>
      </c>
      <c r="G200" s="4">
        <v>0</v>
      </c>
      <c r="H200" s="4">
        <v>90189</v>
      </c>
      <c r="I200" s="4">
        <v>0</v>
      </c>
      <c r="J200" s="4">
        <f>83757+1656</f>
        <v>85413</v>
      </c>
      <c r="K200" s="4">
        <v>0</v>
      </c>
      <c r="L200" s="4">
        <f>103153+312</f>
        <v>103465</v>
      </c>
      <c r="M200" s="4">
        <v>0</v>
      </c>
      <c r="N200" s="4">
        <v>0</v>
      </c>
      <c r="O200" s="4">
        <v>0</v>
      </c>
      <c r="P200" s="4">
        <v>11360</v>
      </c>
      <c r="Q200" s="4">
        <v>0</v>
      </c>
      <c r="R200" s="4">
        <v>4884</v>
      </c>
      <c r="S200" s="4">
        <v>0</v>
      </c>
      <c r="T200" s="4">
        <f>527+4199</f>
        <v>4726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F200" s="4">
        <f t="shared" si="7"/>
        <v>618597</v>
      </c>
    </row>
    <row r="201" spans="1:32" s="4" customFormat="1">
      <c r="A201" s="4">
        <v>16</v>
      </c>
      <c r="B201" s="4" t="s">
        <v>461</v>
      </c>
      <c r="D201" s="4" t="s">
        <v>210</v>
      </c>
      <c r="F201" s="1">
        <v>863474.33</v>
      </c>
      <c r="G201" s="1"/>
      <c r="H201" s="1">
        <v>232837.42</v>
      </c>
      <c r="I201" s="1"/>
      <c r="J201" s="1">
        <v>217072.65</v>
      </c>
      <c r="K201" s="1"/>
      <c r="L201" s="1">
        <v>160679.34</v>
      </c>
      <c r="M201" s="1"/>
      <c r="N201" s="1">
        <v>0</v>
      </c>
      <c r="O201" s="1"/>
      <c r="P201" s="1">
        <v>41812.6</v>
      </c>
      <c r="Q201" s="1"/>
      <c r="R201" s="1">
        <v>6868.33</v>
      </c>
      <c r="S201" s="1"/>
      <c r="T201" s="1">
        <v>88652.08</v>
      </c>
      <c r="U201" s="1"/>
      <c r="V201" s="1">
        <v>0</v>
      </c>
      <c r="W201" s="1"/>
      <c r="X201" s="1">
        <v>0</v>
      </c>
      <c r="Y201" s="1"/>
      <c r="Z201" s="1">
        <v>0</v>
      </c>
      <c r="AA201" s="1"/>
      <c r="AB201" s="1">
        <v>0</v>
      </c>
      <c r="AC201" s="1"/>
      <c r="AD201" s="1">
        <v>0</v>
      </c>
      <c r="AF201" s="4">
        <f t="shared" si="7"/>
        <v>1611396.7500000002</v>
      </c>
    </row>
    <row r="202" spans="1:32" s="4" customFormat="1" hidden="1">
      <c r="A202" s="4">
        <v>228</v>
      </c>
      <c r="B202" s="4" t="s">
        <v>441</v>
      </c>
      <c r="D202" s="4" t="s">
        <v>56</v>
      </c>
      <c r="F202" s="1">
        <v>245270.24</v>
      </c>
      <c r="G202" s="1"/>
      <c r="H202" s="1">
        <v>82042.69</v>
      </c>
      <c r="I202" s="1"/>
      <c r="J202" s="1">
        <v>64523.15</v>
      </c>
      <c r="K202" s="1"/>
      <c r="L202" s="1">
        <v>18026.22</v>
      </c>
      <c r="M202" s="1"/>
      <c r="N202" s="1"/>
      <c r="O202" s="1"/>
      <c r="P202" s="1">
        <v>9868.59</v>
      </c>
      <c r="Q202" s="1"/>
      <c r="R202" s="1">
        <v>3044.3</v>
      </c>
      <c r="S202" s="1"/>
      <c r="T202" s="1">
        <v>1356.57</v>
      </c>
      <c r="U202" s="1"/>
      <c r="V202" s="1">
        <v>0</v>
      </c>
      <c r="W202" s="1"/>
      <c r="X202" s="1">
        <v>0</v>
      </c>
      <c r="Y202" s="1"/>
      <c r="Z202" s="1">
        <v>0</v>
      </c>
      <c r="AA202" s="1"/>
      <c r="AB202" s="1">
        <v>0</v>
      </c>
      <c r="AC202" s="1"/>
      <c r="AD202" s="1">
        <v>-7.22</v>
      </c>
      <c r="AF202" s="4">
        <f t="shared" si="7"/>
        <v>424124.5400000001</v>
      </c>
    </row>
    <row r="203" spans="1:32" s="4" customFormat="1" hidden="1">
      <c r="A203" s="4">
        <v>33</v>
      </c>
      <c r="B203" s="4" t="s">
        <v>462</v>
      </c>
      <c r="D203" s="4" t="s">
        <v>114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F203" s="4">
        <f t="shared" si="7"/>
        <v>0</v>
      </c>
    </row>
    <row r="204" spans="1:32" s="4" customFormat="1">
      <c r="A204" s="4">
        <v>112</v>
      </c>
      <c r="B204" s="4" t="s">
        <v>341</v>
      </c>
      <c r="D204" s="4" t="s">
        <v>89</v>
      </c>
      <c r="F204" s="4">
        <v>172457</v>
      </c>
      <c r="G204" s="4">
        <v>0</v>
      </c>
      <c r="H204" s="4">
        <v>7179</v>
      </c>
      <c r="I204" s="4">
        <v>0</v>
      </c>
      <c r="J204" s="4">
        <v>40306</v>
      </c>
      <c r="K204" s="4">
        <v>0</v>
      </c>
      <c r="L204" s="4">
        <v>37874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9829</v>
      </c>
      <c r="S204" s="4">
        <v>0</v>
      </c>
      <c r="T204" s="4">
        <v>42459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F204" s="4">
        <f t="shared" ref="AF204:AF238" si="8">SUM(F204:AD204)</f>
        <v>310104</v>
      </c>
    </row>
    <row r="205" spans="1:32" s="4" customFormat="1">
      <c r="A205" s="4">
        <v>60</v>
      </c>
      <c r="B205" s="4" t="s">
        <v>211</v>
      </c>
      <c r="D205" s="4" t="s">
        <v>81</v>
      </c>
      <c r="F205" s="1">
        <v>128323.68</v>
      </c>
      <c r="G205" s="1"/>
      <c r="H205" s="1">
        <v>33734.14</v>
      </c>
      <c r="I205" s="1"/>
      <c r="J205" s="1">
        <v>50241.35</v>
      </c>
      <c r="K205" s="1"/>
      <c r="L205" s="1">
        <v>19974.099999999999</v>
      </c>
      <c r="M205" s="1"/>
      <c r="N205" s="1">
        <v>0</v>
      </c>
      <c r="O205" s="1"/>
      <c r="P205" s="1">
        <v>5259.96</v>
      </c>
      <c r="Q205" s="1"/>
      <c r="R205" s="1">
        <v>971.4</v>
      </c>
      <c r="S205" s="1"/>
      <c r="T205" s="1">
        <v>7148.44</v>
      </c>
      <c r="U205" s="1"/>
      <c r="V205" s="1">
        <v>0</v>
      </c>
      <c r="W205" s="1"/>
      <c r="X205" s="1">
        <v>0</v>
      </c>
      <c r="Y205" s="1"/>
      <c r="Z205" s="1">
        <v>0</v>
      </c>
      <c r="AA205" s="1"/>
      <c r="AB205" s="1">
        <v>0</v>
      </c>
      <c r="AC205" s="1"/>
      <c r="AD205" s="1">
        <v>0</v>
      </c>
      <c r="AF205" s="4">
        <f t="shared" si="8"/>
        <v>245653.07</v>
      </c>
    </row>
    <row r="206" spans="1:32" s="4" customFormat="1">
      <c r="A206" s="4">
        <v>186</v>
      </c>
      <c r="B206" s="4" t="s">
        <v>463</v>
      </c>
      <c r="D206" s="4" t="s">
        <v>66</v>
      </c>
      <c r="F206" s="1">
        <v>32350.51</v>
      </c>
      <c r="G206" s="1"/>
      <c r="H206" s="1">
        <v>8708</v>
      </c>
      <c r="I206" s="1"/>
      <c r="J206" s="1">
        <v>24933.03</v>
      </c>
      <c r="K206" s="1"/>
      <c r="L206" s="1">
        <v>10733.3</v>
      </c>
      <c r="M206" s="1"/>
      <c r="N206" s="1">
        <v>0</v>
      </c>
      <c r="O206" s="1"/>
      <c r="P206" s="1">
        <v>2585.5700000000002</v>
      </c>
      <c r="Q206" s="1"/>
      <c r="R206" s="1">
        <v>752.25</v>
      </c>
      <c r="S206" s="1"/>
      <c r="T206" s="1">
        <v>2709.67</v>
      </c>
      <c r="U206" s="1"/>
      <c r="V206" s="1">
        <v>0</v>
      </c>
      <c r="W206" s="1"/>
      <c r="X206" s="1">
        <v>0</v>
      </c>
      <c r="Y206" s="1"/>
      <c r="Z206" s="1">
        <v>0</v>
      </c>
      <c r="AA206" s="1"/>
      <c r="AB206" s="1">
        <v>0</v>
      </c>
      <c r="AC206" s="1"/>
      <c r="AD206" s="1">
        <v>0</v>
      </c>
      <c r="AF206" s="4">
        <f t="shared" si="8"/>
        <v>82772.33</v>
      </c>
    </row>
    <row r="207" spans="1:32" s="4" customFormat="1">
      <c r="A207" s="4">
        <v>235</v>
      </c>
      <c r="B207" s="4" t="s">
        <v>212</v>
      </c>
      <c r="D207" s="4" t="s">
        <v>26</v>
      </c>
      <c r="F207" s="1">
        <v>139065.23000000001</v>
      </c>
      <c r="G207" s="1"/>
      <c r="H207" s="1">
        <v>45366.83</v>
      </c>
      <c r="I207" s="1"/>
      <c r="J207" s="1">
        <v>54896.36</v>
      </c>
      <c r="K207" s="1"/>
      <c r="L207" s="1">
        <v>6673.05</v>
      </c>
      <c r="M207" s="1"/>
      <c r="N207" s="1">
        <v>0</v>
      </c>
      <c r="O207" s="1"/>
      <c r="P207" s="1">
        <v>9335.6</v>
      </c>
      <c r="Q207" s="1"/>
      <c r="R207" s="1">
        <v>4093.62</v>
      </c>
      <c r="S207" s="1"/>
      <c r="T207" s="1">
        <v>1045.06</v>
      </c>
      <c r="U207" s="1"/>
      <c r="V207" s="1">
        <v>11600</v>
      </c>
      <c r="W207" s="1"/>
      <c r="X207" s="1">
        <v>12217</v>
      </c>
      <c r="Y207" s="1"/>
      <c r="Z207" s="1">
        <v>26729</v>
      </c>
      <c r="AA207" s="1"/>
      <c r="AB207" s="1">
        <v>0</v>
      </c>
      <c r="AC207" s="1"/>
      <c r="AD207" s="1">
        <v>866</v>
      </c>
      <c r="AF207" s="4">
        <f t="shared" si="8"/>
        <v>311887.75</v>
      </c>
    </row>
    <row r="208" spans="1:32" s="4" customFormat="1" hidden="1">
      <c r="A208" s="4">
        <v>229</v>
      </c>
      <c r="B208" s="4" t="s">
        <v>213</v>
      </c>
      <c r="D208" s="4" t="s">
        <v>56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F208" s="4">
        <f t="shared" si="8"/>
        <v>0</v>
      </c>
    </row>
    <row r="209" spans="1:32" s="4" customFormat="1">
      <c r="A209" s="4">
        <v>85</v>
      </c>
      <c r="B209" s="4" t="s">
        <v>216</v>
      </c>
      <c r="D209" s="4" t="s">
        <v>42</v>
      </c>
      <c r="F209" s="1">
        <v>55073.73</v>
      </c>
      <c r="G209" s="1"/>
      <c r="H209" s="1">
        <v>8606.0300000000007</v>
      </c>
      <c r="I209" s="1"/>
      <c r="J209" s="1">
        <v>26105.439999999999</v>
      </c>
      <c r="K209" s="1"/>
      <c r="L209" s="1">
        <v>10006.120000000001</v>
      </c>
      <c r="M209" s="1"/>
      <c r="N209" s="1">
        <v>0</v>
      </c>
      <c r="O209" s="1"/>
      <c r="P209" s="1">
        <v>3539.99</v>
      </c>
      <c r="Q209" s="1"/>
      <c r="R209" s="1">
        <v>293</v>
      </c>
      <c r="S209" s="1"/>
      <c r="T209" s="1">
        <v>1135.1500000000001</v>
      </c>
      <c r="U209" s="1"/>
      <c r="V209" s="1">
        <v>0</v>
      </c>
      <c r="W209" s="1"/>
      <c r="X209" s="1">
        <v>0</v>
      </c>
      <c r="Y209" s="1"/>
      <c r="Z209" s="1">
        <v>0</v>
      </c>
      <c r="AA209" s="1"/>
      <c r="AB209" s="1">
        <v>0</v>
      </c>
      <c r="AC209" s="1"/>
      <c r="AD209" s="1">
        <v>0</v>
      </c>
      <c r="AF209" s="4">
        <f t="shared" si="8"/>
        <v>104759.45999999999</v>
      </c>
    </row>
    <row r="210" spans="1:32" s="4" customFormat="1">
      <c r="A210" s="4">
        <v>250</v>
      </c>
      <c r="B210" s="4" t="s">
        <v>217</v>
      </c>
      <c r="D210" s="4" t="s">
        <v>65</v>
      </c>
      <c r="F210" s="1">
        <v>179419.35</v>
      </c>
      <c r="G210" s="1"/>
      <c r="H210" s="1">
        <v>64577.91</v>
      </c>
      <c r="I210" s="1"/>
      <c r="J210" s="1">
        <v>36375.17</v>
      </c>
      <c r="K210" s="1"/>
      <c r="L210" s="1">
        <v>21728.29</v>
      </c>
      <c r="M210" s="1"/>
      <c r="N210" s="1">
        <v>0</v>
      </c>
      <c r="O210" s="1"/>
      <c r="P210" s="1">
        <v>4096.6099999999997</v>
      </c>
      <c r="Q210" s="1"/>
      <c r="R210" s="1">
        <v>3547.11</v>
      </c>
      <c r="S210" s="1"/>
      <c r="T210" s="1">
        <v>10192.75</v>
      </c>
      <c r="U210" s="1"/>
      <c r="V210" s="1">
        <v>0</v>
      </c>
      <c r="W210" s="1"/>
      <c r="X210" s="1">
        <v>0</v>
      </c>
      <c r="Y210" s="1"/>
      <c r="Z210" s="1">
        <v>0</v>
      </c>
      <c r="AA210" s="1"/>
      <c r="AB210" s="1">
        <v>0</v>
      </c>
      <c r="AC210" s="1"/>
      <c r="AD210" s="1">
        <v>0</v>
      </c>
      <c r="AF210" s="4">
        <f t="shared" si="8"/>
        <v>319937.18999999994</v>
      </c>
    </row>
    <row r="211" spans="1:32" s="4" customFormat="1">
      <c r="A211" s="4">
        <v>213</v>
      </c>
      <c r="B211" s="4" t="s">
        <v>218</v>
      </c>
      <c r="D211" s="4" t="s">
        <v>25</v>
      </c>
      <c r="F211" s="4">
        <v>528548</v>
      </c>
      <c r="G211" s="4">
        <v>0</v>
      </c>
      <c r="H211" s="4">
        <v>0</v>
      </c>
      <c r="I211" s="4">
        <v>0</v>
      </c>
      <c r="J211" s="4">
        <v>368664</v>
      </c>
      <c r="K211" s="4">
        <v>0</v>
      </c>
      <c r="L211" s="4">
        <v>0</v>
      </c>
      <c r="M211" s="4">
        <v>0</v>
      </c>
      <c r="N211" s="4">
        <v>118962</v>
      </c>
      <c r="O211" s="4">
        <v>0</v>
      </c>
      <c r="P211" s="4">
        <v>0</v>
      </c>
      <c r="Q211" s="4">
        <v>0</v>
      </c>
      <c r="R211" s="4">
        <f>221961+92027</f>
        <v>313988</v>
      </c>
      <c r="S211" s="4">
        <v>0</v>
      </c>
      <c r="T211" s="4">
        <v>20980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F211" s="4">
        <f t="shared" si="8"/>
        <v>1351142</v>
      </c>
    </row>
    <row r="212" spans="1:32" s="4" customFormat="1">
      <c r="B212" s="3" t="s">
        <v>619</v>
      </c>
      <c r="C212" s="3"/>
      <c r="D212" s="3" t="s">
        <v>56</v>
      </c>
      <c r="F212" s="4">
        <f>373271+53654+33358+3336</f>
        <v>463619</v>
      </c>
      <c r="G212" s="4">
        <v>0</v>
      </c>
      <c r="H212" s="4">
        <v>0</v>
      </c>
      <c r="I212" s="4">
        <v>0</v>
      </c>
      <c r="J212" s="4">
        <f>23642+3860+6542+7733+58364+16351+336568+1333641</f>
        <v>1786701</v>
      </c>
      <c r="K212" s="4">
        <v>0</v>
      </c>
      <c r="L212" s="4">
        <f>3259+15442</f>
        <v>18701</v>
      </c>
      <c r="M212" s="4">
        <v>0</v>
      </c>
      <c r="N212" s="4">
        <v>0</v>
      </c>
      <c r="O212" s="4">
        <v>0</v>
      </c>
      <c r="P212" s="4">
        <v>4057</v>
      </c>
      <c r="Q212" s="4">
        <v>0</v>
      </c>
      <c r="R212" s="4">
        <f>848+103576</f>
        <v>104424</v>
      </c>
      <c r="S212" s="4">
        <v>0</v>
      </c>
      <c r="T212" s="4">
        <v>195991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F212" s="4">
        <f t="shared" si="8"/>
        <v>2573493</v>
      </c>
    </row>
    <row r="213" spans="1:32" s="4" customFormat="1" ht="12" customHeight="1">
      <c r="A213" s="4">
        <v>251</v>
      </c>
      <c r="B213" s="4" t="s">
        <v>443</v>
      </c>
      <c r="D213" s="4" t="s">
        <v>65</v>
      </c>
      <c r="F213" s="4">
        <v>146670</v>
      </c>
      <c r="G213" s="4">
        <v>0</v>
      </c>
      <c r="H213" s="4">
        <v>35454</v>
      </c>
      <c r="I213" s="4">
        <v>0</v>
      </c>
      <c r="J213" s="4">
        <v>101183</v>
      </c>
      <c r="K213" s="4">
        <v>0</v>
      </c>
      <c r="L213" s="4">
        <v>8932</v>
      </c>
      <c r="M213" s="4">
        <v>0</v>
      </c>
      <c r="N213" s="4">
        <v>0</v>
      </c>
      <c r="O213" s="4">
        <v>0</v>
      </c>
      <c r="P213" s="4">
        <v>7881</v>
      </c>
      <c r="R213" s="4">
        <v>4881</v>
      </c>
      <c r="S213" s="4">
        <v>0</v>
      </c>
      <c r="T213" s="4">
        <v>49490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20895</v>
      </c>
      <c r="AA213" s="4">
        <v>0</v>
      </c>
      <c r="AB213" s="4">
        <v>0</v>
      </c>
      <c r="AC213" s="4">
        <v>0</v>
      </c>
      <c r="AD213" s="4">
        <v>0</v>
      </c>
      <c r="AF213" s="4">
        <f t="shared" si="8"/>
        <v>375386</v>
      </c>
    </row>
    <row r="214" spans="1:32" s="4" customFormat="1">
      <c r="A214" s="4">
        <v>113</v>
      </c>
      <c r="B214" s="4" t="s">
        <v>219</v>
      </c>
      <c r="D214" s="4" t="s">
        <v>89</v>
      </c>
      <c r="F214" s="1">
        <v>352315.12</v>
      </c>
      <c r="G214" s="1"/>
      <c r="H214" s="1">
        <v>103796.07</v>
      </c>
      <c r="I214" s="1"/>
      <c r="J214" s="1">
        <v>122863.57</v>
      </c>
      <c r="K214" s="1"/>
      <c r="L214" s="1">
        <v>61810.38</v>
      </c>
      <c r="M214" s="1"/>
      <c r="N214" s="1">
        <v>0</v>
      </c>
      <c r="O214" s="1"/>
      <c r="P214" s="1">
        <v>11866.08</v>
      </c>
      <c r="Q214" s="1"/>
      <c r="R214" s="1">
        <v>5633</v>
      </c>
      <c r="S214" s="1"/>
      <c r="T214" s="1">
        <v>35319</v>
      </c>
      <c r="U214" s="1"/>
      <c r="V214" s="1">
        <v>0</v>
      </c>
      <c r="W214" s="1"/>
      <c r="X214" s="1">
        <v>0</v>
      </c>
      <c r="Y214" s="1"/>
      <c r="Z214" s="1">
        <v>45000</v>
      </c>
      <c r="AA214" s="1"/>
      <c r="AB214" s="1">
        <v>0</v>
      </c>
      <c r="AC214" s="1"/>
      <c r="AD214" s="1">
        <v>0</v>
      </c>
      <c r="AF214" s="4">
        <f t="shared" si="8"/>
        <v>738603.22</v>
      </c>
    </row>
    <row r="215" spans="1:32" s="4" customFormat="1">
      <c r="A215" s="4">
        <v>183</v>
      </c>
      <c r="B215" s="4" t="s">
        <v>220</v>
      </c>
      <c r="D215" s="4" t="s">
        <v>158</v>
      </c>
      <c r="F215" s="4">
        <v>131735</v>
      </c>
      <c r="G215" s="4">
        <v>0</v>
      </c>
      <c r="H215" s="4">
        <v>36316</v>
      </c>
      <c r="I215" s="4">
        <v>0</v>
      </c>
      <c r="J215" s="4">
        <v>27167</v>
      </c>
      <c r="K215" s="4">
        <v>0</v>
      </c>
      <c r="L215" s="4">
        <v>31272</v>
      </c>
      <c r="M215" s="4">
        <v>0</v>
      </c>
      <c r="N215" s="4">
        <v>0</v>
      </c>
      <c r="O215" s="4">
        <v>0</v>
      </c>
      <c r="P215" s="4">
        <v>10862</v>
      </c>
      <c r="Q215" s="4">
        <v>0</v>
      </c>
      <c r="R215" s="4">
        <v>4450</v>
      </c>
      <c r="S215" s="4">
        <v>0</v>
      </c>
      <c r="T215" s="4">
        <v>10963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F215" s="4">
        <f t="shared" si="8"/>
        <v>252765</v>
      </c>
    </row>
    <row r="216" spans="1:32" s="4" customFormat="1">
      <c r="A216" s="4">
        <v>116</v>
      </c>
      <c r="B216" s="4" t="s">
        <v>221</v>
      </c>
      <c r="D216" s="4" t="s">
        <v>170</v>
      </c>
      <c r="F216" s="4">
        <v>147066</v>
      </c>
      <c r="G216" s="4">
        <v>0</v>
      </c>
      <c r="H216" s="4">
        <v>116</v>
      </c>
      <c r="I216" s="4">
        <v>0</v>
      </c>
      <c r="J216" s="4">
        <v>54244</v>
      </c>
      <c r="K216" s="4">
        <v>0</v>
      </c>
      <c r="L216" s="4">
        <v>12803</v>
      </c>
      <c r="M216" s="4">
        <v>0</v>
      </c>
      <c r="N216" s="4">
        <v>0</v>
      </c>
      <c r="O216" s="4">
        <v>0</v>
      </c>
      <c r="P216" s="4">
        <v>4857</v>
      </c>
      <c r="Q216" s="4">
        <v>0</v>
      </c>
      <c r="R216" s="4">
        <v>1093</v>
      </c>
      <c r="S216" s="4">
        <v>0</v>
      </c>
      <c r="T216" s="4">
        <v>16701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F216" s="4">
        <f t="shared" si="8"/>
        <v>236880</v>
      </c>
    </row>
    <row r="217" spans="1:32" s="4" customFormat="1">
      <c r="A217" s="4">
        <v>146</v>
      </c>
      <c r="B217" s="4" t="s">
        <v>464</v>
      </c>
      <c r="D217" s="4" t="s">
        <v>57</v>
      </c>
      <c r="F217" s="1">
        <v>539649.17000000004</v>
      </c>
      <c r="G217" s="1"/>
      <c r="H217" s="1">
        <v>184797.8</v>
      </c>
      <c r="I217" s="1"/>
      <c r="J217" s="1">
        <v>195261.8</v>
      </c>
      <c r="K217" s="1"/>
      <c r="L217" s="1">
        <v>166838.72</v>
      </c>
      <c r="M217" s="1"/>
      <c r="N217" s="1">
        <v>0</v>
      </c>
      <c r="O217" s="1"/>
      <c r="P217" s="1">
        <v>19528.73</v>
      </c>
      <c r="Q217" s="1"/>
      <c r="R217" s="1">
        <v>2150.9899999999998</v>
      </c>
      <c r="S217" s="1"/>
      <c r="T217" s="1">
        <v>34332.43</v>
      </c>
      <c r="U217" s="1"/>
      <c r="V217" s="1">
        <v>0</v>
      </c>
      <c r="W217" s="1"/>
      <c r="X217" s="1">
        <v>0</v>
      </c>
      <c r="Y217" s="1"/>
      <c r="Z217" s="1">
        <v>150000</v>
      </c>
      <c r="AA217" s="1"/>
      <c r="AB217" s="1">
        <v>0</v>
      </c>
      <c r="AC217" s="1"/>
      <c r="AD217" s="1">
        <v>0</v>
      </c>
      <c r="AF217" s="4">
        <f t="shared" si="8"/>
        <v>1292559.6399999999</v>
      </c>
    </row>
    <row r="218" spans="1:32" s="4" customFormat="1">
      <c r="A218" s="4">
        <v>246</v>
      </c>
      <c r="B218" s="4" t="s">
        <v>224</v>
      </c>
      <c r="D218" s="4" t="s">
        <v>225</v>
      </c>
      <c r="F218" s="4">
        <v>0</v>
      </c>
      <c r="G218" s="4">
        <v>0</v>
      </c>
      <c r="H218" s="4">
        <v>0</v>
      </c>
      <c r="I218" s="4">
        <v>0</v>
      </c>
      <c r="J218" s="4">
        <v>135372</v>
      </c>
      <c r="K218" s="4">
        <v>0</v>
      </c>
      <c r="L218" s="4">
        <v>114129</v>
      </c>
      <c r="M218" s="4">
        <v>0</v>
      </c>
      <c r="N218" s="4">
        <v>184804</v>
      </c>
      <c r="O218" s="4">
        <v>0</v>
      </c>
      <c r="P218" s="4">
        <v>0</v>
      </c>
      <c r="Q218" s="4">
        <v>0</v>
      </c>
      <c r="R218" s="4">
        <f>57500+321275</f>
        <v>378775</v>
      </c>
      <c r="S218" s="4">
        <v>0</v>
      </c>
      <c r="T218" s="4">
        <v>1829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F218" s="4">
        <f t="shared" si="8"/>
        <v>814909</v>
      </c>
    </row>
    <row r="219" spans="1:32" s="4" customFormat="1">
      <c r="A219" s="4">
        <v>136</v>
      </c>
      <c r="B219" s="4" t="s">
        <v>226</v>
      </c>
      <c r="D219" s="4" t="s">
        <v>41</v>
      </c>
      <c r="F219" s="1">
        <v>400076.75</v>
      </c>
      <c r="G219" s="1"/>
      <c r="H219" s="1">
        <v>109677.48</v>
      </c>
      <c r="I219" s="1"/>
      <c r="J219" s="1">
        <v>147203.39000000001</v>
      </c>
      <c r="K219" s="1"/>
      <c r="L219" s="1">
        <v>135730</v>
      </c>
      <c r="M219" s="1"/>
      <c r="N219" s="1">
        <v>0</v>
      </c>
      <c r="O219" s="1"/>
      <c r="P219" s="1">
        <v>15543.45</v>
      </c>
      <c r="Q219" s="1"/>
      <c r="R219" s="1">
        <v>914.63</v>
      </c>
      <c r="S219" s="1"/>
      <c r="T219" s="1">
        <v>70272.44</v>
      </c>
      <c r="U219" s="1"/>
      <c r="V219" s="1">
        <v>0</v>
      </c>
      <c r="W219" s="1"/>
      <c r="X219" s="1">
        <v>0</v>
      </c>
      <c r="Y219" s="1"/>
      <c r="Z219" s="1">
        <v>0</v>
      </c>
      <c r="AA219" s="1"/>
      <c r="AB219" s="1">
        <v>0</v>
      </c>
      <c r="AC219" s="1"/>
      <c r="AD219" s="1">
        <v>0</v>
      </c>
      <c r="AF219" s="4">
        <f t="shared" si="8"/>
        <v>879418.1399999999</v>
      </c>
    </row>
    <row r="220" spans="1:32" s="4" customFormat="1">
      <c r="A220" s="4">
        <v>106</v>
      </c>
      <c r="B220" s="4" t="s">
        <v>227</v>
      </c>
      <c r="D220" s="4" t="s">
        <v>60</v>
      </c>
      <c r="F220" s="1">
        <v>119578.95</v>
      </c>
      <c r="G220" s="1"/>
      <c r="H220" s="1">
        <v>20786.23</v>
      </c>
      <c r="I220" s="1"/>
      <c r="J220" s="1">
        <v>22586.3</v>
      </c>
      <c r="K220" s="1"/>
      <c r="L220" s="1">
        <v>12578.47</v>
      </c>
      <c r="M220" s="1"/>
      <c r="N220" s="1">
        <v>0</v>
      </c>
      <c r="O220" s="1"/>
      <c r="P220" s="1">
        <v>4468.87</v>
      </c>
      <c r="Q220" s="1"/>
      <c r="R220" s="1">
        <v>6387.94</v>
      </c>
      <c r="S220" s="1"/>
      <c r="T220" s="1">
        <v>0</v>
      </c>
      <c r="U220" s="1"/>
      <c r="V220" s="1">
        <v>0</v>
      </c>
      <c r="W220" s="1"/>
      <c r="X220" s="1">
        <v>0</v>
      </c>
      <c r="Y220" s="1"/>
      <c r="Z220" s="1">
        <v>0</v>
      </c>
      <c r="AA220" s="1"/>
      <c r="AB220" s="1">
        <v>0</v>
      </c>
      <c r="AC220" s="1"/>
      <c r="AD220" s="1">
        <v>0</v>
      </c>
      <c r="AF220" s="4">
        <f t="shared" si="8"/>
        <v>186386.75999999998</v>
      </c>
    </row>
    <row r="221" spans="1:32" s="4" customFormat="1">
      <c r="A221" s="4">
        <v>184</v>
      </c>
      <c r="B221" s="4" t="s">
        <v>228</v>
      </c>
      <c r="D221" s="4" t="s">
        <v>229</v>
      </c>
      <c r="F221" s="1">
        <v>475069.99</v>
      </c>
      <c r="G221" s="1"/>
      <c r="H221" s="1">
        <v>133498.39000000001</v>
      </c>
      <c r="I221" s="1"/>
      <c r="J221" s="1">
        <v>107966.42</v>
      </c>
      <c r="K221" s="1"/>
      <c r="L221" s="1">
        <v>94060.5</v>
      </c>
      <c r="M221" s="1"/>
      <c r="N221" s="1">
        <v>0</v>
      </c>
      <c r="O221" s="1"/>
      <c r="P221" s="1">
        <v>28244.69</v>
      </c>
      <c r="Q221" s="1"/>
      <c r="R221" s="1">
        <v>3850.61</v>
      </c>
      <c r="S221" s="1"/>
      <c r="T221" s="1">
        <v>62954.5</v>
      </c>
      <c r="U221" s="1"/>
      <c r="V221" s="1">
        <v>0</v>
      </c>
      <c r="W221" s="1"/>
      <c r="X221" s="1">
        <v>0</v>
      </c>
      <c r="Y221" s="1"/>
      <c r="Z221" s="1">
        <v>0</v>
      </c>
      <c r="AA221" s="1"/>
      <c r="AB221" s="1">
        <v>0</v>
      </c>
      <c r="AC221" s="1"/>
      <c r="AD221" s="1">
        <v>0</v>
      </c>
      <c r="AF221" s="4">
        <f t="shared" si="8"/>
        <v>905645.1</v>
      </c>
    </row>
    <row r="222" spans="1:32" s="4" customFormat="1">
      <c r="A222" s="4">
        <v>252</v>
      </c>
      <c r="B222" s="4" t="s">
        <v>231</v>
      </c>
      <c r="D222" s="4" t="s">
        <v>65</v>
      </c>
      <c r="F222" s="1">
        <v>157676.79999999999</v>
      </c>
      <c r="G222" s="1"/>
      <c r="H222" s="1">
        <v>25799.58</v>
      </c>
      <c r="I222" s="1"/>
      <c r="J222" s="1">
        <v>41341.81</v>
      </c>
      <c r="K222" s="1"/>
      <c r="L222" s="1">
        <v>39475.230000000003</v>
      </c>
      <c r="M222" s="1"/>
      <c r="N222" s="1">
        <v>0</v>
      </c>
      <c r="O222" s="1"/>
      <c r="P222" s="1">
        <v>9131.5499999999993</v>
      </c>
      <c r="Q222" s="1"/>
      <c r="R222" s="1">
        <v>1675.54</v>
      </c>
      <c r="S222" s="1"/>
      <c r="T222" s="1">
        <v>3472.51</v>
      </c>
      <c r="U222" s="1"/>
      <c r="V222" s="1">
        <v>0</v>
      </c>
      <c r="W222" s="1"/>
      <c r="X222" s="1">
        <v>0</v>
      </c>
      <c r="Y222" s="1"/>
      <c r="Z222" s="1">
        <v>0</v>
      </c>
      <c r="AA222" s="1"/>
      <c r="AB222" s="1">
        <v>175738</v>
      </c>
      <c r="AC222" s="1"/>
      <c r="AD222" s="1">
        <v>0</v>
      </c>
      <c r="AF222" s="4">
        <f t="shared" si="8"/>
        <v>454311.01999999996</v>
      </c>
    </row>
    <row r="223" spans="1:32" s="4" customFormat="1">
      <c r="A223" s="4">
        <v>219</v>
      </c>
      <c r="B223" s="4" t="s">
        <v>232</v>
      </c>
      <c r="D223" s="4" t="s">
        <v>22</v>
      </c>
      <c r="F223" s="1">
        <v>195705.57</v>
      </c>
      <c r="G223" s="1"/>
      <c r="H223" s="1">
        <v>39145.01</v>
      </c>
      <c r="I223" s="1"/>
      <c r="J223" s="1">
        <v>106513.81</v>
      </c>
      <c r="K223" s="1"/>
      <c r="L223" s="1">
        <v>32914.83</v>
      </c>
      <c r="M223" s="1"/>
      <c r="N223" s="1">
        <v>0</v>
      </c>
      <c r="O223" s="1"/>
      <c r="P223" s="1">
        <v>4257.6400000000003</v>
      </c>
      <c r="Q223" s="1"/>
      <c r="R223" s="1">
        <v>1818.99</v>
      </c>
      <c r="S223" s="1"/>
      <c r="T223" s="1">
        <v>0</v>
      </c>
      <c r="U223" s="1"/>
      <c r="V223" s="1">
        <v>0</v>
      </c>
      <c r="W223" s="1"/>
      <c r="X223" s="1">
        <v>0</v>
      </c>
      <c r="Y223" s="1"/>
      <c r="Z223" s="1">
        <v>0</v>
      </c>
      <c r="AA223" s="1"/>
      <c r="AB223" s="1">
        <v>0</v>
      </c>
      <c r="AC223" s="1"/>
      <c r="AD223" s="1">
        <v>0</v>
      </c>
      <c r="AF223" s="4">
        <f t="shared" si="8"/>
        <v>380355.85000000003</v>
      </c>
    </row>
    <row r="224" spans="1:32" s="4" customFormat="1">
      <c r="A224" s="4">
        <v>176</v>
      </c>
      <c r="B224" s="4" t="s">
        <v>233</v>
      </c>
      <c r="D224" s="4" t="s">
        <v>68</v>
      </c>
      <c r="F224" s="4">
        <v>94644</v>
      </c>
      <c r="G224" s="4">
        <v>0</v>
      </c>
      <c r="H224" s="4">
        <v>14988</v>
      </c>
      <c r="I224" s="4">
        <v>0</v>
      </c>
      <c r="J224" s="4">
        <v>41913</v>
      </c>
      <c r="K224" s="4">
        <v>0</v>
      </c>
      <c r="L224" s="4">
        <v>25785</v>
      </c>
      <c r="M224" s="4">
        <v>0</v>
      </c>
      <c r="N224" s="4">
        <v>0</v>
      </c>
      <c r="O224" s="4">
        <v>0</v>
      </c>
      <c r="P224" s="4">
        <v>13650</v>
      </c>
      <c r="Q224" s="4">
        <v>0</v>
      </c>
      <c r="R224" s="4">
        <v>754</v>
      </c>
      <c r="S224" s="4">
        <v>0</v>
      </c>
      <c r="T224" s="4">
        <v>4095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F224" s="4">
        <f t="shared" si="8"/>
        <v>195829</v>
      </c>
    </row>
    <row r="225" spans="1:32" s="4" customFormat="1">
      <c r="A225" s="4">
        <v>187</v>
      </c>
      <c r="B225" s="4" t="s">
        <v>605</v>
      </c>
      <c r="D225" s="4" t="s">
        <v>66</v>
      </c>
      <c r="F225" s="1">
        <v>434242.03</v>
      </c>
      <c r="G225" s="1"/>
      <c r="H225" s="1">
        <v>94570.96</v>
      </c>
      <c r="I225" s="1"/>
      <c r="J225" s="1">
        <v>307478.28999999998</v>
      </c>
      <c r="K225" s="1"/>
      <c r="L225" s="1">
        <v>186160.66</v>
      </c>
      <c r="M225" s="1"/>
      <c r="N225" s="1">
        <v>0</v>
      </c>
      <c r="O225" s="1"/>
      <c r="P225" s="1">
        <v>44310.1</v>
      </c>
      <c r="Q225" s="1"/>
      <c r="R225" s="1">
        <v>16699.29</v>
      </c>
      <c r="S225" s="1"/>
      <c r="T225" s="1">
        <v>85549.5</v>
      </c>
      <c r="U225" s="1"/>
      <c r="V225" s="1">
        <v>0</v>
      </c>
      <c r="W225" s="1"/>
      <c r="X225" s="1">
        <v>0</v>
      </c>
      <c r="Y225" s="1"/>
      <c r="Z225" s="1">
        <v>0</v>
      </c>
      <c r="AA225" s="1"/>
      <c r="AB225" s="1">
        <v>0</v>
      </c>
      <c r="AC225" s="1"/>
      <c r="AD225" s="1">
        <v>0</v>
      </c>
      <c r="AF225" s="4">
        <f t="shared" si="8"/>
        <v>1169010.83</v>
      </c>
    </row>
    <row r="226" spans="1:32" s="4" customFormat="1">
      <c r="A226" s="4">
        <v>128</v>
      </c>
      <c r="B226" s="4" t="s">
        <v>234</v>
      </c>
      <c r="D226" s="4" t="s">
        <v>15</v>
      </c>
      <c r="F226" s="1">
        <v>453192.48</v>
      </c>
      <c r="G226" s="1"/>
      <c r="H226" s="1">
        <v>161038.15</v>
      </c>
      <c r="I226" s="1"/>
      <c r="J226" s="1">
        <v>110576.52</v>
      </c>
      <c r="K226" s="1"/>
      <c r="L226" s="1">
        <v>105794.36</v>
      </c>
      <c r="M226" s="1"/>
      <c r="N226" s="1">
        <v>0</v>
      </c>
      <c r="O226" s="1"/>
      <c r="P226" s="1">
        <v>14964.1</v>
      </c>
      <c r="Q226" s="1"/>
      <c r="R226" s="1">
        <v>9686.27</v>
      </c>
      <c r="S226" s="1"/>
      <c r="T226" s="1">
        <v>1615.07</v>
      </c>
      <c r="U226" s="1"/>
      <c r="V226" s="1">
        <v>0</v>
      </c>
      <c r="W226" s="1"/>
      <c r="X226" s="1">
        <v>0</v>
      </c>
      <c r="Y226" s="1"/>
      <c r="Z226" s="1">
        <v>0</v>
      </c>
      <c r="AA226" s="1"/>
      <c r="AB226" s="1">
        <v>0</v>
      </c>
      <c r="AC226" s="1"/>
      <c r="AD226" s="1">
        <v>3387</v>
      </c>
      <c r="AF226" s="4">
        <f t="shared" si="8"/>
        <v>860253.95</v>
      </c>
    </row>
    <row r="227" spans="1:32" s="4" customFormat="1">
      <c r="A227" s="4">
        <v>188</v>
      </c>
      <c r="B227" s="4" t="s">
        <v>235</v>
      </c>
      <c r="D227" s="4" t="s">
        <v>236</v>
      </c>
      <c r="F227" s="4">
        <v>0</v>
      </c>
      <c r="G227" s="4">
        <v>0</v>
      </c>
      <c r="H227" s="4">
        <v>0</v>
      </c>
      <c r="I227" s="4">
        <v>0</v>
      </c>
      <c r="J227" s="4">
        <v>2021947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1959035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2400000</v>
      </c>
      <c r="AA227" s="4">
        <v>0</v>
      </c>
      <c r="AB227" s="4">
        <v>0</v>
      </c>
      <c r="AC227" s="4">
        <v>0</v>
      </c>
      <c r="AD227" s="4">
        <v>0</v>
      </c>
      <c r="AF227" s="4">
        <f t="shared" si="8"/>
        <v>6380982</v>
      </c>
    </row>
    <row r="228" spans="1:32" s="4" customFormat="1">
      <c r="A228" s="4">
        <v>72</v>
      </c>
      <c r="B228" s="4" t="s">
        <v>312</v>
      </c>
      <c r="D228" s="4" t="s">
        <v>67</v>
      </c>
      <c r="F228" s="1">
        <v>462702.04</v>
      </c>
      <c r="G228" s="1"/>
      <c r="H228" s="1">
        <v>181813.85</v>
      </c>
      <c r="I228" s="1"/>
      <c r="J228" s="1">
        <v>299377.11</v>
      </c>
      <c r="K228" s="1"/>
      <c r="L228" s="1">
        <v>150612.29999999999</v>
      </c>
      <c r="M228" s="1"/>
      <c r="N228" s="1">
        <v>0</v>
      </c>
      <c r="O228" s="1"/>
      <c r="P228" s="1">
        <v>17897.599999999999</v>
      </c>
      <c r="Q228" s="1"/>
      <c r="R228" s="1">
        <v>18627.98</v>
      </c>
      <c r="S228" s="1"/>
      <c r="T228" s="1">
        <v>26819.3</v>
      </c>
      <c r="U228" s="1"/>
      <c r="V228" s="1">
        <v>0</v>
      </c>
      <c r="W228" s="1"/>
      <c r="X228" s="1">
        <v>0</v>
      </c>
      <c r="Y228" s="1"/>
      <c r="Z228" s="1">
        <v>136001</v>
      </c>
      <c r="AA228" s="1"/>
      <c r="AB228" s="1">
        <v>0</v>
      </c>
      <c r="AC228" s="1"/>
      <c r="AD228" s="1">
        <v>0</v>
      </c>
      <c r="AF228" s="4">
        <f t="shared" si="8"/>
        <v>1293851.1800000002</v>
      </c>
    </row>
    <row r="229" spans="1:32" s="4" customFormat="1">
      <c r="A229" s="4">
        <v>163</v>
      </c>
      <c r="B229" s="4" t="s">
        <v>585</v>
      </c>
      <c r="D229" s="4" t="s">
        <v>53</v>
      </c>
      <c r="F229" s="1">
        <v>420936.5</v>
      </c>
      <c r="G229" s="1"/>
      <c r="H229" s="1">
        <v>165536.22</v>
      </c>
      <c r="I229" s="1"/>
      <c r="J229" s="1">
        <v>321721.09000000003</v>
      </c>
      <c r="K229" s="1"/>
      <c r="L229" s="1">
        <v>41996.29</v>
      </c>
      <c r="M229" s="1"/>
      <c r="N229" s="1">
        <v>0</v>
      </c>
      <c r="O229" s="1"/>
      <c r="P229" s="1">
        <v>11472.97</v>
      </c>
      <c r="Q229" s="1"/>
      <c r="R229" s="1">
        <v>113.98</v>
      </c>
      <c r="S229" s="1"/>
      <c r="T229" s="1">
        <v>40808.870000000003</v>
      </c>
      <c r="U229" s="1"/>
      <c r="V229" s="1">
        <v>0</v>
      </c>
      <c r="W229" s="1"/>
      <c r="X229" s="1">
        <v>0</v>
      </c>
      <c r="Y229" s="1"/>
      <c r="Z229" s="1">
        <v>0</v>
      </c>
      <c r="AA229" s="1"/>
      <c r="AB229" s="1">
        <v>0</v>
      </c>
      <c r="AC229" s="1"/>
      <c r="AD229" s="1">
        <v>0</v>
      </c>
      <c r="AF229" s="4">
        <f t="shared" si="8"/>
        <v>1002585.92</v>
      </c>
    </row>
    <row r="230" spans="1:32" s="4" customFormat="1">
      <c r="A230" s="4">
        <v>151</v>
      </c>
      <c r="B230" s="4" t="s">
        <v>237</v>
      </c>
      <c r="D230" s="4" t="s">
        <v>12</v>
      </c>
      <c r="F230" s="1">
        <v>284576.38</v>
      </c>
      <c r="G230" s="1"/>
      <c r="H230" s="1">
        <v>59443.44</v>
      </c>
      <c r="I230" s="1"/>
      <c r="J230" s="1">
        <v>46844.56</v>
      </c>
      <c r="K230" s="1"/>
      <c r="L230" s="1">
        <v>76206.28</v>
      </c>
      <c r="M230" s="1"/>
      <c r="N230" s="1">
        <v>0</v>
      </c>
      <c r="O230" s="1"/>
      <c r="P230" s="1">
        <v>8812.27</v>
      </c>
      <c r="Q230" s="1"/>
      <c r="R230" s="1">
        <v>28925.43</v>
      </c>
      <c r="S230" s="1"/>
      <c r="T230" s="1">
        <v>18452.72</v>
      </c>
      <c r="U230" s="1"/>
      <c r="V230" s="1">
        <v>0</v>
      </c>
      <c r="W230" s="1"/>
      <c r="X230" s="1">
        <v>0</v>
      </c>
      <c r="Y230" s="1"/>
      <c r="Z230" s="1">
        <v>0</v>
      </c>
      <c r="AA230" s="1"/>
      <c r="AB230" s="1">
        <v>0</v>
      </c>
      <c r="AC230" s="1"/>
      <c r="AD230" s="1">
        <v>0</v>
      </c>
      <c r="AF230" s="4">
        <f t="shared" si="8"/>
        <v>523261.08000000007</v>
      </c>
    </row>
    <row r="231" spans="1:32" s="4" customFormat="1">
      <c r="A231" s="4">
        <v>192</v>
      </c>
      <c r="B231" s="4" t="s">
        <v>606</v>
      </c>
      <c r="D231" s="4" t="s">
        <v>173</v>
      </c>
      <c r="F231" s="4">
        <v>1150351</v>
      </c>
      <c r="G231" s="4">
        <v>0</v>
      </c>
      <c r="H231" s="4">
        <v>373747</v>
      </c>
      <c r="I231" s="4">
        <v>0</v>
      </c>
      <c r="J231" s="4">
        <v>242469</v>
      </c>
      <c r="K231" s="4">
        <v>0</v>
      </c>
      <c r="L231" s="4">
        <v>141480</v>
      </c>
      <c r="M231" s="4">
        <v>0</v>
      </c>
      <c r="N231" s="4">
        <v>0</v>
      </c>
      <c r="O231" s="4">
        <v>0</v>
      </c>
      <c r="P231" s="4">
        <v>28634</v>
      </c>
      <c r="Q231" s="4">
        <v>0</v>
      </c>
      <c r="R231" s="4">
        <v>16012</v>
      </c>
      <c r="S231" s="4">
        <v>0</v>
      </c>
      <c r="T231" s="4">
        <v>40688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6529</v>
      </c>
      <c r="AA231" s="4">
        <v>0</v>
      </c>
      <c r="AB231" s="4">
        <v>0</v>
      </c>
      <c r="AC231" s="4">
        <v>0</v>
      </c>
      <c r="AD231" s="4">
        <v>0</v>
      </c>
      <c r="AF231" s="4">
        <f t="shared" si="8"/>
        <v>1999910</v>
      </c>
    </row>
    <row r="232" spans="1:32" s="4" customFormat="1">
      <c r="B232" s="4" t="s">
        <v>620</v>
      </c>
      <c r="D232" s="4" t="s">
        <v>158</v>
      </c>
      <c r="F232" s="4">
        <v>390080</v>
      </c>
      <c r="G232" s="4">
        <v>0</v>
      </c>
      <c r="H232" s="4">
        <v>85488</v>
      </c>
      <c r="I232" s="4">
        <v>0</v>
      </c>
      <c r="J232" s="4">
        <v>87406</v>
      </c>
      <c r="K232" s="4">
        <v>0</v>
      </c>
      <c r="L232" s="4">
        <v>186715</v>
      </c>
      <c r="M232" s="4">
        <v>0</v>
      </c>
      <c r="N232" s="4">
        <v>0</v>
      </c>
      <c r="O232" s="4">
        <v>0</v>
      </c>
      <c r="P232" s="4">
        <v>17505</v>
      </c>
      <c r="Q232" s="4">
        <v>0</v>
      </c>
      <c r="R232" s="4">
        <v>3484</v>
      </c>
      <c r="S232" s="4">
        <v>0</v>
      </c>
      <c r="T232" s="4">
        <v>33243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F232" s="4">
        <f t="shared" si="8"/>
        <v>803921</v>
      </c>
    </row>
    <row r="233" spans="1:32" s="4" customFormat="1">
      <c r="A233" s="4">
        <v>55</v>
      </c>
      <c r="B233" s="4" t="s">
        <v>445</v>
      </c>
      <c r="D233" s="4" t="s">
        <v>19</v>
      </c>
      <c r="F233" s="4">
        <v>2477674</v>
      </c>
      <c r="G233" s="4">
        <v>0</v>
      </c>
      <c r="H233" s="4">
        <v>570562</v>
      </c>
      <c r="I233" s="4">
        <v>0</v>
      </c>
      <c r="J233" s="4">
        <v>633551</v>
      </c>
      <c r="K233" s="4">
        <v>0</v>
      </c>
      <c r="L233" s="4">
        <v>630498</v>
      </c>
      <c r="M233" s="4">
        <v>0</v>
      </c>
      <c r="N233" s="4">
        <v>0</v>
      </c>
      <c r="O233" s="4">
        <v>0</v>
      </c>
      <c r="P233" s="4">
        <v>97929</v>
      </c>
      <c r="Q233" s="4">
        <v>0</v>
      </c>
      <c r="R233" s="4">
        <v>14451</v>
      </c>
      <c r="S233" s="4">
        <v>0</v>
      </c>
      <c r="T233" s="4">
        <v>66657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116229</v>
      </c>
      <c r="AA233" s="4">
        <v>0</v>
      </c>
      <c r="AB233" s="4">
        <v>0</v>
      </c>
      <c r="AC233" s="4">
        <v>0</v>
      </c>
      <c r="AD233" s="4">
        <v>0</v>
      </c>
      <c r="AF233" s="4">
        <f t="shared" si="8"/>
        <v>4607551</v>
      </c>
    </row>
    <row r="234" spans="1:32" s="4" customFormat="1">
      <c r="A234" s="4">
        <v>202</v>
      </c>
      <c r="B234" s="4" t="s">
        <v>23</v>
      </c>
      <c r="D234" s="4" t="s">
        <v>24</v>
      </c>
      <c r="F234" s="4">
        <v>1154732</v>
      </c>
      <c r="G234" s="4">
        <v>0</v>
      </c>
      <c r="H234" s="4">
        <v>526435</v>
      </c>
      <c r="I234" s="4">
        <v>0</v>
      </c>
      <c r="J234" s="4">
        <v>368164</v>
      </c>
      <c r="K234" s="4">
        <v>0</v>
      </c>
      <c r="L234" s="4">
        <v>147165</v>
      </c>
      <c r="M234" s="4">
        <v>0</v>
      </c>
      <c r="N234" s="4">
        <v>0</v>
      </c>
      <c r="O234" s="4">
        <v>0</v>
      </c>
      <c r="P234" s="4">
        <v>46885</v>
      </c>
      <c r="R234" s="4">
        <v>12837</v>
      </c>
      <c r="S234" s="4">
        <v>0</v>
      </c>
      <c r="T234" s="4">
        <v>18207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150000</v>
      </c>
      <c r="AA234" s="4">
        <v>0</v>
      </c>
      <c r="AB234" s="4">
        <v>0</v>
      </c>
      <c r="AC234" s="4">
        <v>0</v>
      </c>
      <c r="AD234" s="4">
        <v>0</v>
      </c>
      <c r="AF234" s="4">
        <f t="shared" si="8"/>
        <v>2424425</v>
      </c>
    </row>
    <row r="235" spans="1:32" s="4" customFormat="1">
      <c r="A235" s="4">
        <v>196</v>
      </c>
      <c r="B235" s="4" t="s">
        <v>607</v>
      </c>
      <c r="D235" s="4" t="s">
        <v>102</v>
      </c>
      <c r="F235" s="4">
        <v>599985</v>
      </c>
      <c r="G235" s="4">
        <v>0</v>
      </c>
      <c r="H235" s="4">
        <v>156140</v>
      </c>
      <c r="I235" s="4">
        <v>0</v>
      </c>
      <c r="J235" s="4">
        <v>152077</v>
      </c>
      <c r="K235" s="4">
        <v>0</v>
      </c>
      <c r="L235" s="4">
        <v>87923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3444</v>
      </c>
      <c r="S235" s="4">
        <v>0</v>
      </c>
      <c r="T235" s="4">
        <v>25894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F235" s="4">
        <f t="shared" si="8"/>
        <v>1025463</v>
      </c>
    </row>
    <row r="236" spans="1:32" s="4" customFormat="1">
      <c r="B236" s="4" t="s">
        <v>621</v>
      </c>
      <c r="C236" s="15"/>
      <c r="D236" s="15" t="s">
        <v>580</v>
      </c>
      <c r="F236" s="4">
        <v>24862028</v>
      </c>
      <c r="G236" s="4">
        <v>0</v>
      </c>
      <c r="H236" s="4">
        <v>0</v>
      </c>
      <c r="I236" s="4">
        <v>0</v>
      </c>
      <c r="J236" s="4">
        <v>12637587</v>
      </c>
      <c r="K236" s="4">
        <v>0</v>
      </c>
      <c r="L236" s="4">
        <v>0</v>
      </c>
      <c r="M236" s="4">
        <v>0</v>
      </c>
      <c r="N236" s="4">
        <v>11000973</v>
      </c>
      <c r="O236" s="4">
        <v>0</v>
      </c>
      <c r="P236" s="4">
        <v>0</v>
      </c>
      <c r="Q236" s="4">
        <v>0</v>
      </c>
      <c r="R236" s="4">
        <f>2734740+4738872</f>
        <v>7473612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2500000</v>
      </c>
      <c r="AA236" s="4">
        <v>0</v>
      </c>
      <c r="AB236" s="4">
        <v>0</v>
      </c>
      <c r="AC236" s="4">
        <v>0</v>
      </c>
      <c r="AD236" s="4">
        <v>0</v>
      </c>
      <c r="AF236" s="4">
        <f t="shared" si="8"/>
        <v>58474200</v>
      </c>
    </row>
    <row r="237" spans="1:32" s="4" customFormat="1">
      <c r="A237" s="4">
        <v>102</v>
      </c>
      <c r="B237" s="4" t="s">
        <v>238</v>
      </c>
      <c r="D237" s="4" t="s">
        <v>46</v>
      </c>
      <c r="F237" s="1">
        <v>279972.23</v>
      </c>
      <c r="G237" s="1"/>
      <c r="H237" s="1">
        <v>84107.85</v>
      </c>
      <c r="I237" s="1"/>
      <c r="J237" s="1">
        <v>111891.6</v>
      </c>
      <c r="K237" s="1"/>
      <c r="L237" s="1">
        <v>50078.22</v>
      </c>
      <c r="M237" s="1"/>
      <c r="N237" s="1">
        <v>0</v>
      </c>
      <c r="O237" s="1"/>
      <c r="P237" s="1">
        <v>16197.22</v>
      </c>
      <c r="Q237" s="1"/>
      <c r="R237" s="1">
        <v>11237.23</v>
      </c>
      <c r="S237" s="1"/>
      <c r="T237" s="1">
        <v>41927.42</v>
      </c>
      <c r="U237" s="1"/>
      <c r="V237" s="1">
        <v>6796.83</v>
      </c>
      <c r="W237" s="1"/>
      <c r="X237" s="1">
        <v>1084.29</v>
      </c>
      <c r="Y237" s="1"/>
      <c r="Z237" s="1">
        <v>60000</v>
      </c>
      <c r="AA237" s="1"/>
      <c r="AB237" s="1">
        <v>0</v>
      </c>
      <c r="AC237" s="1"/>
      <c r="AD237" s="1">
        <v>0</v>
      </c>
      <c r="AF237" s="4">
        <f t="shared" si="8"/>
        <v>663292.8899999999</v>
      </c>
    </row>
    <row r="238" spans="1:32" s="4" customFormat="1">
      <c r="A238" s="39">
        <v>197.1</v>
      </c>
      <c r="B238" s="3" t="s">
        <v>583</v>
      </c>
      <c r="C238" s="3"/>
      <c r="D238" s="3" t="s">
        <v>584</v>
      </c>
      <c r="E238" s="3"/>
      <c r="F238" s="1">
        <v>501948.37</v>
      </c>
      <c r="G238" s="1"/>
      <c r="H238" s="1">
        <v>179664.61</v>
      </c>
      <c r="I238" s="1"/>
      <c r="J238" s="1">
        <v>234995.42</v>
      </c>
      <c r="K238" s="1"/>
      <c r="L238" s="1">
        <v>140130.1</v>
      </c>
      <c r="M238" s="1"/>
      <c r="N238" s="1">
        <v>0</v>
      </c>
      <c r="O238" s="1"/>
      <c r="P238" s="1">
        <v>20841.259999999998</v>
      </c>
      <c r="Q238" s="1"/>
      <c r="R238" s="1">
        <v>6488</v>
      </c>
      <c r="S238" s="1"/>
      <c r="T238" s="1">
        <v>2053334.9</v>
      </c>
      <c r="U238" s="1"/>
      <c r="V238" s="1">
        <v>0</v>
      </c>
      <c r="W238" s="1"/>
      <c r="X238" s="1">
        <v>0</v>
      </c>
      <c r="Y238" s="1"/>
      <c r="Z238" s="1">
        <v>0</v>
      </c>
      <c r="AA238" s="1"/>
      <c r="AB238" s="1">
        <v>4000</v>
      </c>
      <c r="AC238" s="1"/>
      <c r="AD238" s="1">
        <v>0</v>
      </c>
      <c r="AF238" s="4">
        <f t="shared" si="8"/>
        <v>3141402.66</v>
      </c>
    </row>
    <row r="239" spans="1:32" s="4" customFormat="1" hidden="1"/>
    <row r="240" spans="1:32" s="4" customFormat="1">
      <c r="AF240" s="44" t="s">
        <v>591</v>
      </c>
    </row>
    <row r="241" spans="1:32">
      <c r="B241" s="3" t="s">
        <v>526</v>
      </c>
    </row>
    <row r="242" spans="1:32">
      <c r="B242" s="3" t="s">
        <v>635</v>
      </c>
    </row>
    <row r="243" spans="1:32">
      <c r="B243" s="41" t="s">
        <v>7</v>
      </c>
    </row>
    <row r="245" spans="1:32" s="36" customFormat="1">
      <c r="B245" s="41"/>
      <c r="L245" s="36" t="s">
        <v>8</v>
      </c>
    </row>
    <row r="246" spans="1:32" s="36" customFormat="1">
      <c r="J246" s="36" t="s">
        <v>323</v>
      </c>
      <c r="L246" s="36" t="s">
        <v>555</v>
      </c>
      <c r="N246" s="36" t="s">
        <v>554</v>
      </c>
      <c r="X246" s="36" t="s">
        <v>330</v>
      </c>
      <c r="AD246" s="36" t="s">
        <v>0</v>
      </c>
    </row>
    <row r="247" spans="1:32" s="36" customFormat="1">
      <c r="H247" s="36" t="s">
        <v>321</v>
      </c>
      <c r="J247" s="36" t="s">
        <v>324</v>
      </c>
      <c r="L247" s="36" t="s">
        <v>325</v>
      </c>
      <c r="N247" s="36" t="s">
        <v>552</v>
      </c>
      <c r="T247" s="36" t="s">
        <v>30</v>
      </c>
      <c r="V247" s="36" t="s">
        <v>328</v>
      </c>
      <c r="X247" s="36" t="s">
        <v>331</v>
      </c>
      <c r="AD247" s="36" t="s">
        <v>296</v>
      </c>
    </row>
    <row r="248" spans="1:32" s="36" customFormat="1" ht="12" customHeight="1">
      <c r="A248" s="36" t="s">
        <v>578</v>
      </c>
      <c r="B248" s="37" t="s">
        <v>8</v>
      </c>
      <c r="C248" s="45"/>
      <c r="D248" s="37" t="s">
        <v>6</v>
      </c>
      <c r="E248" s="45"/>
      <c r="F248" s="37" t="s">
        <v>2</v>
      </c>
      <c r="G248" s="45"/>
      <c r="H248" s="37" t="s">
        <v>561</v>
      </c>
      <c r="I248" s="45"/>
      <c r="J248" s="37" t="s">
        <v>29</v>
      </c>
      <c r="K248" s="45"/>
      <c r="L248" s="37" t="s">
        <v>326</v>
      </c>
      <c r="M248" s="45"/>
      <c r="N248" s="37" t="s">
        <v>553</v>
      </c>
      <c r="O248" s="45"/>
      <c r="P248" s="37" t="s">
        <v>4</v>
      </c>
      <c r="Q248" s="45"/>
      <c r="R248" s="37" t="s">
        <v>0</v>
      </c>
      <c r="S248" s="45"/>
      <c r="T248" s="37" t="s">
        <v>327</v>
      </c>
      <c r="U248" s="45"/>
      <c r="V248" s="37" t="s">
        <v>329</v>
      </c>
      <c r="W248" s="45"/>
      <c r="X248" s="37" t="s">
        <v>332</v>
      </c>
      <c r="Y248" s="45"/>
      <c r="Z248" s="37" t="s">
        <v>506</v>
      </c>
      <c r="AA248" s="45"/>
      <c r="AB248" s="37" t="s">
        <v>507</v>
      </c>
      <c r="AC248" s="45"/>
      <c r="AD248" s="37" t="s">
        <v>333</v>
      </c>
      <c r="AE248" s="45"/>
      <c r="AF248" s="46" t="s">
        <v>28</v>
      </c>
    </row>
    <row r="249" spans="1:32" s="4" customFormat="1">
      <c r="A249" s="4">
        <v>193</v>
      </c>
      <c r="B249" s="3" t="s">
        <v>239</v>
      </c>
      <c r="C249" s="3"/>
      <c r="D249" s="3" t="s">
        <v>173</v>
      </c>
      <c r="E249" s="3"/>
      <c r="F249" s="2">
        <v>620092.30000000005</v>
      </c>
      <c r="G249" s="2"/>
      <c r="H249" s="2">
        <v>168681.46</v>
      </c>
      <c r="I249" s="2"/>
      <c r="J249" s="2">
        <v>501113.76</v>
      </c>
      <c r="K249" s="2"/>
      <c r="L249" s="2">
        <v>141682.70000000001</v>
      </c>
      <c r="M249" s="2"/>
      <c r="N249" s="2">
        <v>0</v>
      </c>
      <c r="O249" s="2"/>
      <c r="P249" s="2">
        <v>27079.67</v>
      </c>
      <c r="Q249" s="2"/>
      <c r="R249" s="2">
        <v>185.1</v>
      </c>
      <c r="S249" s="2"/>
      <c r="T249" s="2">
        <v>9874.76</v>
      </c>
      <c r="U249" s="2"/>
      <c r="V249" s="2">
        <v>0</v>
      </c>
      <c r="W249" s="2"/>
      <c r="X249" s="2">
        <v>0</v>
      </c>
      <c r="Y249" s="2"/>
      <c r="Z249" s="2">
        <v>17463</v>
      </c>
      <c r="AA249" s="2"/>
      <c r="AB249" s="2">
        <v>0</v>
      </c>
      <c r="AC249" s="2"/>
      <c r="AD249" s="2">
        <v>0</v>
      </c>
      <c r="AE249" s="7"/>
      <c r="AF249" s="7">
        <f t="shared" ref="AF249:AF280" si="9">SUM(F249:AD249)</f>
        <v>1486172.75</v>
      </c>
    </row>
    <row r="250" spans="1:32" s="4" customFormat="1">
      <c r="A250" s="4">
        <v>153</v>
      </c>
      <c r="B250" s="4" t="s">
        <v>313</v>
      </c>
      <c r="D250" s="4" t="s">
        <v>215</v>
      </c>
      <c r="F250" s="1">
        <v>5438081</v>
      </c>
      <c r="G250" s="1">
        <v>0</v>
      </c>
      <c r="H250" s="1">
        <v>2049827</v>
      </c>
      <c r="I250" s="1">
        <v>0</v>
      </c>
      <c r="J250" s="1">
        <v>1794900</v>
      </c>
      <c r="K250" s="1">
        <v>0</v>
      </c>
      <c r="L250" s="1">
        <v>1291872</v>
      </c>
      <c r="M250" s="1">
        <v>0</v>
      </c>
      <c r="N250" s="1">
        <v>0</v>
      </c>
      <c r="O250" s="1">
        <v>0</v>
      </c>
      <c r="P250" s="1">
        <v>194983</v>
      </c>
      <c r="Q250" s="1">
        <v>0</v>
      </c>
      <c r="R250" s="1">
        <v>55459</v>
      </c>
      <c r="S250" s="1">
        <v>0</v>
      </c>
      <c r="T250" s="1">
        <v>358459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1050345</v>
      </c>
      <c r="AA250" s="1">
        <v>0</v>
      </c>
      <c r="AB250" s="1">
        <v>0</v>
      </c>
      <c r="AC250" s="1">
        <v>0</v>
      </c>
      <c r="AD250" s="1">
        <v>0</v>
      </c>
      <c r="AF250" s="4">
        <f t="shared" si="9"/>
        <v>12233926</v>
      </c>
    </row>
    <row r="251" spans="1:32" s="4" customFormat="1">
      <c r="A251" s="4">
        <v>238</v>
      </c>
      <c r="B251" s="4" t="s">
        <v>241</v>
      </c>
      <c r="D251" s="4" t="s">
        <v>193</v>
      </c>
      <c r="F251" s="1">
        <v>119610</v>
      </c>
      <c r="G251" s="1">
        <v>0</v>
      </c>
      <c r="H251" s="1">
        <v>42654</v>
      </c>
      <c r="I251" s="1">
        <v>0</v>
      </c>
      <c r="J251" s="1">
        <v>59004</v>
      </c>
      <c r="K251" s="1">
        <v>0</v>
      </c>
      <c r="L251" s="1">
        <v>17977</v>
      </c>
      <c r="M251" s="1">
        <v>0</v>
      </c>
      <c r="N251" s="1">
        <v>0</v>
      </c>
      <c r="O251" s="1">
        <v>0</v>
      </c>
      <c r="P251" s="1">
        <v>6271</v>
      </c>
      <c r="Q251" s="1">
        <v>0</v>
      </c>
      <c r="R251" s="1">
        <v>977</v>
      </c>
      <c r="S251" s="1">
        <v>0</v>
      </c>
      <c r="T251" s="1">
        <v>2837</v>
      </c>
      <c r="U251" s="1">
        <v>0</v>
      </c>
      <c r="V251" s="1">
        <v>22191</v>
      </c>
      <c r="W251" s="1">
        <v>0</v>
      </c>
      <c r="X251" s="1">
        <v>19861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F251" s="4">
        <f t="shared" si="9"/>
        <v>291382</v>
      </c>
    </row>
    <row r="252" spans="1:32" s="4" customFormat="1">
      <c r="A252" s="4">
        <v>100</v>
      </c>
      <c r="B252" s="4" t="s">
        <v>314</v>
      </c>
      <c r="D252" s="4" t="s">
        <v>61</v>
      </c>
      <c r="F252" s="1">
        <v>50722.17</v>
      </c>
      <c r="G252" s="1"/>
      <c r="H252" s="1">
        <v>8048.69</v>
      </c>
      <c r="I252" s="1"/>
      <c r="J252" s="1">
        <v>27015.22</v>
      </c>
      <c r="K252" s="1"/>
      <c r="L252" s="1">
        <v>9794.41</v>
      </c>
      <c r="M252" s="1"/>
      <c r="N252" s="1">
        <v>0</v>
      </c>
      <c r="O252" s="1"/>
      <c r="P252" s="1">
        <v>3326.02</v>
      </c>
      <c r="Q252" s="1"/>
      <c r="R252" s="1">
        <v>1410</v>
      </c>
      <c r="S252" s="1"/>
      <c r="T252" s="1">
        <v>1083.67</v>
      </c>
      <c r="U252" s="1"/>
      <c r="V252" s="1">
        <v>0</v>
      </c>
      <c r="W252" s="1"/>
      <c r="X252" s="1">
        <v>0</v>
      </c>
      <c r="Y252" s="1"/>
      <c r="Z252" s="1">
        <v>0</v>
      </c>
      <c r="AA252" s="1"/>
      <c r="AB252" s="1">
        <v>0</v>
      </c>
      <c r="AC252" s="1"/>
      <c r="AD252" s="1">
        <v>0</v>
      </c>
      <c r="AF252" s="4">
        <f t="shared" si="9"/>
        <v>101400.18000000001</v>
      </c>
    </row>
    <row r="253" spans="1:32" s="4" customFormat="1">
      <c r="A253" s="4">
        <v>68</v>
      </c>
      <c r="B253" s="4" t="s">
        <v>467</v>
      </c>
      <c r="D253" s="4" t="s">
        <v>167</v>
      </c>
      <c r="F253" s="1">
        <v>615734.06999999995</v>
      </c>
      <c r="G253" s="1"/>
      <c r="H253" s="1">
        <v>142903.35999999999</v>
      </c>
      <c r="I253" s="1"/>
      <c r="J253" s="1">
        <v>486245.88</v>
      </c>
      <c r="K253" s="1"/>
      <c r="L253" s="1">
        <v>185727.73</v>
      </c>
      <c r="M253" s="1"/>
      <c r="N253" s="1">
        <v>0</v>
      </c>
      <c r="O253" s="1"/>
      <c r="P253" s="1">
        <v>20989.89</v>
      </c>
      <c r="Q253" s="1"/>
      <c r="R253" s="1">
        <v>4123.76</v>
      </c>
      <c r="S253" s="1"/>
      <c r="T253" s="1">
        <v>1846548.1</v>
      </c>
      <c r="U253" s="1"/>
      <c r="V253" s="1">
        <v>0</v>
      </c>
      <c r="W253" s="1"/>
      <c r="X253" s="1">
        <v>0</v>
      </c>
      <c r="Y253" s="1"/>
      <c r="Z253" s="1">
        <v>132167</v>
      </c>
      <c r="AA253" s="1"/>
      <c r="AB253" s="1">
        <v>0</v>
      </c>
      <c r="AC253" s="1"/>
      <c r="AD253" s="1">
        <v>0</v>
      </c>
      <c r="AF253" s="4">
        <f t="shared" si="9"/>
        <v>3434439.79</v>
      </c>
    </row>
    <row r="254" spans="1:32" s="4" customFormat="1">
      <c r="A254" s="4">
        <v>15</v>
      </c>
      <c r="B254" s="4" t="s">
        <v>243</v>
      </c>
      <c r="D254" s="4" t="s">
        <v>43</v>
      </c>
      <c r="F254" s="1">
        <v>72371.08</v>
      </c>
      <c r="G254" s="1"/>
      <c r="H254" s="1">
        <v>11799.48</v>
      </c>
      <c r="I254" s="1"/>
      <c r="J254" s="1">
        <v>25432.06</v>
      </c>
      <c r="K254" s="1"/>
      <c r="L254" s="1">
        <v>21231.14</v>
      </c>
      <c r="M254" s="1"/>
      <c r="N254" s="1">
        <v>0</v>
      </c>
      <c r="O254" s="1"/>
      <c r="P254" s="1">
        <v>2798.97</v>
      </c>
      <c r="Q254" s="1"/>
      <c r="R254" s="1">
        <v>1488.81</v>
      </c>
      <c r="S254" s="1"/>
      <c r="T254" s="1">
        <v>450</v>
      </c>
      <c r="U254" s="1"/>
      <c r="V254" s="1">
        <v>0</v>
      </c>
      <c r="W254" s="1"/>
      <c r="X254" s="1">
        <v>0</v>
      </c>
      <c r="Y254" s="1"/>
      <c r="Z254" s="1">
        <v>0</v>
      </c>
      <c r="AA254" s="1"/>
      <c r="AB254" s="1">
        <v>0</v>
      </c>
      <c r="AC254" s="1"/>
      <c r="AD254" s="1">
        <v>441</v>
      </c>
      <c r="AF254" s="4">
        <f t="shared" si="9"/>
        <v>136012.53999999998</v>
      </c>
    </row>
    <row r="255" spans="1:32" s="4" customFormat="1">
      <c r="A255" s="4">
        <v>161</v>
      </c>
      <c r="B255" s="4" t="s">
        <v>343</v>
      </c>
      <c r="D255" s="4" t="s">
        <v>50</v>
      </c>
      <c r="F255" s="1">
        <v>77176.259999999995</v>
      </c>
      <c r="G255" s="1"/>
      <c r="H255" s="1">
        <v>32250.35</v>
      </c>
      <c r="I255" s="1"/>
      <c r="J255" s="1">
        <v>17099.73</v>
      </c>
      <c r="K255" s="1"/>
      <c r="L255" s="1">
        <v>8982.81</v>
      </c>
      <c r="M255" s="1"/>
      <c r="N255" s="1">
        <v>0</v>
      </c>
      <c r="O255" s="1"/>
      <c r="P255" s="1">
        <v>13018.11</v>
      </c>
      <c r="Q255" s="1"/>
      <c r="R255" s="1">
        <v>1759.99</v>
      </c>
      <c r="S255" s="1"/>
      <c r="T255" s="1">
        <v>654.91</v>
      </c>
      <c r="U255" s="1"/>
      <c r="V255" s="1">
        <v>0</v>
      </c>
      <c r="W255" s="1"/>
      <c r="X255" s="1">
        <v>0</v>
      </c>
      <c r="Y255" s="1"/>
      <c r="Z255" s="1">
        <v>0</v>
      </c>
      <c r="AA255" s="1"/>
      <c r="AB255" s="1">
        <v>16400</v>
      </c>
      <c r="AC255" s="1"/>
      <c r="AD255" s="1">
        <v>0</v>
      </c>
      <c r="AF255" s="4">
        <f t="shared" si="9"/>
        <v>167342.16</v>
      </c>
    </row>
    <row r="256" spans="1:32" s="4" customFormat="1">
      <c r="A256" s="4">
        <v>56</v>
      </c>
      <c r="B256" s="4" t="s">
        <v>244</v>
      </c>
      <c r="D256" s="4" t="s">
        <v>19</v>
      </c>
      <c r="F256" s="1">
        <v>1646749</v>
      </c>
      <c r="G256" s="1">
        <v>0</v>
      </c>
      <c r="H256" s="1">
        <v>0</v>
      </c>
      <c r="I256" s="1">
        <v>0</v>
      </c>
      <c r="J256" s="1">
        <v>1042458</v>
      </c>
      <c r="K256" s="1">
        <v>0</v>
      </c>
      <c r="L256" s="1">
        <v>0</v>
      </c>
      <c r="M256" s="1">
        <v>0</v>
      </c>
      <c r="N256" s="1">
        <v>488834</v>
      </c>
      <c r="O256" s="1">
        <v>0</v>
      </c>
      <c r="P256" s="1">
        <v>0</v>
      </c>
      <c r="Q256" s="1">
        <v>0</v>
      </c>
      <c r="R256" s="1">
        <f>278414+391087</f>
        <v>669501</v>
      </c>
      <c r="S256" s="1">
        <v>0</v>
      </c>
      <c r="T256" s="1">
        <v>168377</v>
      </c>
      <c r="U256" s="1">
        <v>0</v>
      </c>
      <c r="V256" s="1">
        <v>190000</v>
      </c>
      <c r="W256" s="1">
        <v>0</v>
      </c>
      <c r="X256" s="1">
        <v>49400</v>
      </c>
      <c r="Y256" s="1">
        <v>0</v>
      </c>
      <c r="Z256" s="1">
        <v>40000</v>
      </c>
      <c r="AA256" s="1">
        <v>0</v>
      </c>
      <c r="AB256" s="1">
        <v>0</v>
      </c>
      <c r="AC256" s="1">
        <v>0</v>
      </c>
      <c r="AD256" s="1">
        <v>0</v>
      </c>
      <c r="AF256" s="4">
        <f t="shared" si="9"/>
        <v>4295319</v>
      </c>
    </row>
    <row r="257" spans="1:32" s="4" customFormat="1">
      <c r="A257" s="4">
        <v>214</v>
      </c>
      <c r="B257" s="4" t="s">
        <v>245</v>
      </c>
      <c r="D257" s="4" t="s">
        <v>25</v>
      </c>
      <c r="F257" s="1">
        <f>614314+93813+119335+1050</f>
        <v>828512</v>
      </c>
      <c r="G257" s="1">
        <v>0</v>
      </c>
      <c r="H257" s="1">
        <v>0</v>
      </c>
      <c r="I257" s="1">
        <v>0</v>
      </c>
      <c r="J257" s="1">
        <f>855+11777+14269+9930+48822+41498+70890</f>
        <v>198041</v>
      </c>
      <c r="K257" s="1">
        <v>0</v>
      </c>
      <c r="L257" s="1">
        <f>103121+24439+24964+37070+3009+713</f>
        <v>193316</v>
      </c>
      <c r="M257" s="1">
        <v>0</v>
      </c>
      <c r="N257" s="1">
        <v>0</v>
      </c>
      <c r="O257" s="1">
        <v>0</v>
      </c>
      <c r="P257" s="1">
        <f>23909+3179+2581</f>
        <v>29669</v>
      </c>
      <c r="Q257" s="1">
        <v>0</v>
      </c>
      <c r="R257" s="1">
        <f>4839+329</f>
        <v>5168</v>
      </c>
      <c r="S257" s="1">
        <v>0</v>
      </c>
      <c r="T257" s="1">
        <f>25922</f>
        <v>25922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F257" s="4">
        <f t="shared" si="9"/>
        <v>1280628</v>
      </c>
    </row>
    <row r="258" spans="1:32" s="4" customFormat="1">
      <c r="A258" s="4">
        <v>253</v>
      </c>
      <c r="B258" s="4" t="s">
        <v>246</v>
      </c>
      <c r="D258" s="4" t="s">
        <v>65</v>
      </c>
      <c r="F258" s="1">
        <v>362859</v>
      </c>
      <c r="G258" s="1">
        <v>0</v>
      </c>
      <c r="H258" s="1">
        <v>130238</v>
      </c>
      <c r="I258" s="1">
        <v>0</v>
      </c>
      <c r="J258" s="1">
        <v>100582</v>
      </c>
      <c r="K258" s="1">
        <v>0</v>
      </c>
      <c r="L258" s="1">
        <v>123848</v>
      </c>
      <c r="M258" s="1">
        <v>0</v>
      </c>
      <c r="N258" s="1">
        <v>0</v>
      </c>
      <c r="O258" s="1">
        <v>0</v>
      </c>
      <c r="P258" s="1">
        <v>10185</v>
      </c>
      <c r="Q258" s="1">
        <v>0</v>
      </c>
      <c r="R258" s="1">
        <v>7634</v>
      </c>
      <c r="S258" s="1">
        <v>0</v>
      </c>
      <c r="T258" s="1">
        <v>17478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F258" s="4">
        <f t="shared" si="9"/>
        <v>752824</v>
      </c>
    </row>
    <row r="259" spans="1:32" s="4" customFormat="1">
      <c r="A259" s="4">
        <v>36</v>
      </c>
      <c r="B259" s="4" t="s">
        <v>247</v>
      </c>
      <c r="D259" s="4" t="s">
        <v>69</v>
      </c>
      <c r="F259" s="1">
        <v>111046.5</v>
      </c>
      <c r="G259" s="1"/>
      <c r="H259" s="1">
        <v>23062.89</v>
      </c>
      <c r="I259" s="1"/>
      <c r="J259" s="1">
        <v>24937.25</v>
      </c>
      <c r="K259" s="1"/>
      <c r="L259" s="1">
        <v>36911.230000000003</v>
      </c>
      <c r="M259" s="1"/>
      <c r="N259" s="1">
        <v>0</v>
      </c>
      <c r="O259" s="1"/>
      <c r="P259" s="1">
        <v>8173.5</v>
      </c>
      <c r="Q259" s="1"/>
      <c r="R259" s="1">
        <v>1814</v>
      </c>
      <c r="S259" s="1"/>
      <c r="T259" s="1">
        <v>94.96</v>
      </c>
      <c r="U259" s="1"/>
      <c r="V259" s="1">
        <v>0</v>
      </c>
      <c r="W259" s="1"/>
      <c r="X259" s="1">
        <v>0</v>
      </c>
      <c r="Y259" s="1"/>
      <c r="Z259" s="1">
        <v>0</v>
      </c>
      <c r="AA259" s="1"/>
      <c r="AB259" s="1">
        <v>0</v>
      </c>
      <c r="AC259" s="1"/>
      <c r="AD259" s="1">
        <v>0</v>
      </c>
      <c r="AF259" s="4">
        <f t="shared" si="9"/>
        <v>206040.33000000002</v>
      </c>
    </row>
    <row r="260" spans="1:32" s="4" customFormat="1">
      <c r="A260" s="4">
        <v>30</v>
      </c>
      <c r="B260" s="4" t="s">
        <v>347</v>
      </c>
      <c r="D260" s="4" t="s">
        <v>62</v>
      </c>
      <c r="F260" s="1">
        <v>146650.89000000001</v>
      </c>
      <c r="G260" s="1"/>
      <c r="H260" s="1">
        <v>59933.93</v>
      </c>
      <c r="I260" s="1"/>
      <c r="J260" s="1">
        <v>73870.149999999994</v>
      </c>
      <c r="K260" s="1"/>
      <c r="L260" s="1">
        <v>40457.1</v>
      </c>
      <c r="M260" s="1"/>
      <c r="N260" s="1">
        <v>0</v>
      </c>
      <c r="O260" s="1"/>
      <c r="P260" s="1">
        <v>13484.5</v>
      </c>
      <c r="Q260" s="1"/>
      <c r="R260" s="1">
        <v>1561.6</v>
      </c>
      <c r="S260" s="1"/>
      <c r="T260" s="1">
        <v>9317.11</v>
      </c>
      <c r="U260" s="1"/>
      <c r="V260" s="1">
        <v>0</v>
      </c>
      <c r="W260" s="1"/>
      <c r="X260" s="1">
        <v>0</v>
      </c>
      <c r="Y260" s="1"/>
      <c r="Z260" s="1">
        <v>10000</v>
      </c>
      <c r="AA260" s="1"/>
      <c r="AB260" s="1">
        <v>0</v>
      </c>
      <c r="AC260" s="1"/>
      <c r="AD260" s="1">
        <v>0</v>
      </c>
      <c r="AF260" s="4">
        <f t="shared" si="9"/>
        <v>355275.27999999991</v>
      </c>
    </row>
    <row r="261" spans="1:32" s="4" customFormat="1">
      <c r="A261" s="4">
        <v>43</v>
      </c>
      <c r="B261" s="4" t="s">
        <v>248</v>
      </c>
      <c r="D261" s="4" t="s">
        <v>51</v>
      </c>
      <c r="F261" s="1">
        <v>446866</v>
      </c>
      <c r="G261" s="1">
        <v>0</v>
      </c>
      <c r="H261" s="1">
        <v>100060</v>
      </c>
      <c r="I261" s="1">
        <v>0</v>
      </c>
      <c r="J261" s="1">
        <v>129338</v>
      </c>
      <c r="K261" s="1">
        <v>0</v>
      </c>
      <c r="L261" s="1">
        <v>102714</v>
      </c>
      <c r="M261" s="1">
        <v>0</v>
      </c>
      <c r="N261" s="1">
        <v>0</v>
      </c>
      <c r="O261" s="1">
        <v>0</v>
      </c>
      <c r="P261" s="1">
        <v>13174</v>
      </c>
      <c r="Q261" s="1">
        <v>0</v>
      </c>
      <c r="R261" s="1">
        <v>1792</v>
      </c>
      <c r="S261" s="1">
        <v>0</v>
      </c>
      <c r="T261" s="1">
        <v>26559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F261" s="4">
        <f t="shared" si="9"/>
        <v>820503</v>
      </c>
    </row>
    <row r="262" spans="1:32" s="4" customFormat="1">
      <c r="A262" s="4">
        <v>244</v>
      </c>
      <c r="B262" s="4" t="s">
        <v>249</v>
      </c>
      <c r="D262" s="4" t="s">
        <v>54</v>
      </c>
      <c r="F262" s="1">
        <v>387642</v>
      </c>
      <c r="G262" s="1">
        <v>0</v>
      </c>
      <c r="H262" s="1">
        <v>49812</v>
      </c>
      <c r="I262" s="1">
        <v>0</v>
      </c>
      <c r="J262" s="1">
        <v>114629</v>
      </c>
      <c r="K262" s="1">
        <v>0</v>
      </c>
      <c r="L262" s="1">
        <v>45806</v>
      </c>
      <c r="M262" s="1">
        <v>0</v>
      </c>
      <c r="N262" s="1">
        <v>0</v>
      </c>
      <c r="O262" s="1">
        <v>0</v>
      </c>
      <c r="P262" s="1">
        <v>9038</v>
      </c>
      <c r="Q262" s="1">
        <v>0</v>
      </c>
      <c r="R262" s="1">
        <v>7303</v>
      </c>
      <c r="S262" s="1">
        <v>0</v>
      </c>
      <c r="T262" s="1">
        <v>2129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F262" s="4">
        <f t="shared" si="9"/>
        <v>616359</v>
      </c>
    </row>
    <row r="263" spans="1:32" s="4" customFormat="1">
      <c r="A263" s="4">
        <v>69</v>
      </c>
      <c r="B263" s="4" t="s">
        <v>315</v>
      </c>
      <c r="D263" s="4" t="s">
        <v>167</v>
      </c>
      <c r="F263" s="1">
        <v>1351713</v>
      </c>
      <c r="G263" s="1">
        <v>0</v>
      </c>
      <c r="H263" s="1">
        <v>509060</v>
      </c>
      <c r="I263" s="1">
        <v>0</v>
      </c>
      <c r="J263" s="1">
        <v>585444</v>
      </c>
      <c r="K263" s="1">
        <v>0</v>
      </c>
      <c r="L263" s="1">
        <v>217158</v>
      </c>
      <c r="M263" s="1">
        <v>0</v>
      </c>
      <c r="N263" s="1">
        <v>0</v>
      </c>
      <c r="O263" s="1">
        <v>0</v>
      </c>
      <c r="P263" s="1">
        <v>52230</v>
      </c>
      <c r="Q263" s="1"/>
      <c r="R263" s="1">
        <v>17244</v>
      </c>
      <c r="S263" s="1">
        <v>0</v>
      </c>
      <c r="T263" s="1">
        <v>119992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184416</v>
      </c>
      <c r="AA263" s="1">
        <v>0</v>
      </c>
      <c r="AB263" s="1">
        <v>0</v>
      </c>
      <c r="AC263" s="1">
        <v>0</v>
      </c>
      <c r="AD263" s="1">
        <v>0</v>
      </c>
      <c r="AF263" s="4">
        <f t="shared" si="9"/>
        <v>3037257</v>
      </c>
    </row>
    <row r="264" spans="1:32" s="4" customFormat="1">
      <c r="A264" s="4">
        <v>177</v>
      </c>
      <c r="B264" s="4" t="s">
        <v>250</v>
      </c>
      <c r="D264" s="4" t="s">
        <v>68</v>
      </c>
      <c r="F264" s="1">
        <v>114671.65</v>
      </c>
      <c r="G264" s="1"/>
      <c r="H264" s="1">
        <v>19146.97</v>
      </c>
      <c r="I264" s="1"/>
      <c r="J264" s="1">
        <v>30099.599999999999</v>
      </c>
      <c r="K264" s="1"/>
      <c r="L264" s="1">
        <v>5363.74</v>
      </c>
      <c r="M264" s="1"/>
      <c r="N264" s="1">
        <v>0</v>
      </c>
      <c r="O264" s="1"/>
      <c r="P264" s="1">
        <v>1143.9000000000001</v>
      </c>
      <c r="Q264" s="1"/>
      <c r="R264" s="1">
        <v>1845</v>
      </c>
      <c r="S264" s="1"/>
      <c r="T264" s="1">
        <v>0</v>
      </c>
      <c r="U264" s="1"/>
      <c r="V264" s="1">
        <v>0</v>
      </c>
      <c r="W264" s="1"/>
      <c r="X264" s="1">
        <v>0</v>
      </c>
      <c r="Y264" s="1"/>
      <c r="Z264" s="1">
        <v>0</v>
      </c>
      <c r="AA264" s="1"/>
      <c r="AB264" s="1">
        <v>0</v>
      </c>
      <c r="AC264" s="1"/>
      <c r="AD264" s="1">
        <v>0</v>
      </c>
      <c r="AF264" s="4">
        <f t="shared" si="9"/>
        <v>172270.86</v>
      </c>
    </row>
    <row r="265" spans="1:32" s="4" customFormat="1">
      <c r="A265" s="4">
        <v>206</v>
      </c>
      <c r="B265" s="4" t="s">
        <v>251</v>
      </c>
      <c r="D265" s="4" t="s">
        <v>45</v>
      </c>
      <c r="F265" s="1">
        <v>80276.69</v>
      </c>
      <c r="G265" s="1"/>
      <c r="H265" s="1">
        <v>12567.97</v>
      </c>
      <c r="I265" s="1"/>
      <c r="J265" s="1">
        <v>38698.83</v>
      </c>
      <c r="K265" s="1"/>
      <c r="L265" s="1">
        <v>22128.58</v>
      </c>
      <c r="M265" s="1"/>
      <c r="N265" s="1">
        <v>0</v>
      </c>
      <c r="O265" s="1"/>
      <c r="P265" s="1">
        <v>5601.48</v>
      </c>
      <c r="Q265" s="1"/>
      <c r="R265" s="1">
        <v>5994.06</v>
      </c>
      <c r="S265" s="1"/>
      <c r="T265" s="1">
        <v>512.34</v>
      </c>
      <c r="U265" s="1"/>
      <c r="V265" s="1">
        <v>5183.2700000000004</v>
      </c>
      <c r="W265" s="1"/>
      <c r="X265" s="1">
        <v>1165.96</v>
      </c>
      <c r="Y265" s="1"/>
      <c r="Z265" s="1">
        <v>6349</v>
      </c>
      <c r="AA265" s="1"/>
      <c r="AB265" s="1">
        <v>0</v>
      </c>
      <c r="AC265" s="1"/>
      <c r="AD265" s="1">
        <v>1524</v>
      </c>
      <c r="AF265" s="4">
        <f t="shared" si="9"/>
        <v>180002.18</v>
      </c>
    </row>
    <row r="266" spans="1:32" s="4" customFormat="1">
      <c r="A266" s="4">
        <v>57</v>
      </c>
      <c r="B266" s="4" t="s">
        <v>252</v>
      </c>
      <c r="D266" s="4" t="s">
        <v>19</v>
      </c>
      <c r="F266" s="1">
        <v>2728627</v>
      </c>
      <c r="G266" s="1">
        <v>0</v>
      </c>
      <c r="H266" s="1">
        <v>736320</v>
      </c>
      <c r="I266" s="1">
        <v>0</v>
      </c>
      <c r="J266" s="1">
        <v>808942</v>
      </c>
      <c r="K266" s="1">
        <v>0</v>
      </c>
      <c r="L266" s="1">
        <v>480425</v>
      </c>
      <c r="M266" s="1">
        <v>0</v>
      </c>
      <c r="N266" s="1">
        <v>0</v>
      </c>
      <c r="O266" s="1">
        <v>0</v>
      </c>
      <c r="P266" s="1">
        <v>65223</v>
      </c>
      <c r="Q266" s="1">
        <v>0</v>
      </c>
      <c r="R266" s="1">
        <v>38494</v>
      </c>
      <c r="S266" s="1">
        <v>0</v>
      </c>
      <c r="T266" s="1">
        <v>12352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162324</v>
      </c>
      <c r="AA266" s="1">
        <v>0</v>
      </c>
      <c r="AB266" s="1">
        <v>30000</v>
      </c>
      <c r="AC266" s="1">
        <v>0</v>
      </c>
      <c r="AD266" s="1">
        <v>0</v>
      </c>
      <c r="AF266" s="4">
        <f t="shared" si="9"/>
        <v>5062707</v>
      </c>
    </row>
    <row r="267" spans="1:32" s="4" customFormat="1">
      <c r="A267" s="4">
        <v>118</v>
      </c>
      <c r="B267" s="4" t="s">
        <v>447</v>
      </c>
      <c r="D267" s="4" t="s">
        <v>170</v>
      </c>
      <c r="F267" s="1">
        <v>83347</v>
      </c>
      <c r="G267" s="1">
        <v>0</v>
      </c>
      <c r="H267" s="1">
        <v>29055</v>
      </c>
      <c r="I267" s="1">
        <v>0</v>
      </c>
      <c r="J267" s="1">
        <v>41646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6735</v>
      </c>
      <c r="Q267" s="1">
        <v>0</v>
      </c>
      <c r="R267" s="1">
        <v>24474</v>
      </c>
      <c r="S267" s="1">
        <v>0</v>
      </c>
      <c r="T267" s="1">
        <v>9334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F267" s="4">
        <f t="shared" si="9"/>
        <v>194591</v>
      </c>
    </row>
    <row r="268" spans="1:32" s="4" customFormat="1">
      <c r="A268" s="4">
        <v>79</v>
      </c>
      <c r="B268" s="4" t="s">
        <v>254</v>
      </c>
      <c r="D268" s="4" t="s">
        <v>92</v>
      </c>
      <c r="F268" s="1">
        <v>1473627</v>
      </c>
      <c r="G268" s="1">
        <v>0</v>
      </c>
      <c r="H268" s="1">
        <v>480330</v>
      </c>
      <c r="I268" s="1">
        <v>0</v>
      </c>
      <c r="J268" s="1">
        <v>916080</v>
      </c>
      <c r="K268" s="1">
        <v>0</v>
      </c>
      <c r="L268" s="1">
        <v>127466</v>
      </c>
      <c r="M268" s="1">
        <v>0</v>
      </c>
      <c r="N268" s="1">
        <v>0</v>
      </c>
      <c r="O268" s="1">
        <v>0</v>
      </c>
      <c r="P268" s="1">
        <v>80666</v>
      </c>
      <c r="Q268" s="1">
        <v>0</v>
      </c>
      <c r="R268" s="1">
        <v>31531</v>
      </c>
      <c r="S268" s="1">
        <v>0</v>
      </c>
      <c r="T268" s="1">
        <v>41491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F268" s="4">
        <f t="shared" si="9"/>
        <v>3151191</v>
      </c>
    </row>
    <row r="269" spans="1:32" s="4" customFormat="1">
      <c r="A269" s="4">
        <v>22</v>
      </c>
      <c r="B269" s="4" t="s">
        <v>316</v>
      </c>
      <c r="D269" s="4" t="s">
        <v>13</v>
      </c>
      <c r="F269" s="1">
        <v>209705.94</v>
      </c>
      <c r="G269" s="1"/>
      <c r="H269" s="1">
        <v>49617.56</v>
      </c>
      <c r="I269" s="1"/>
      <c r="J269" s="1">
        <v>56360.800000000003</v>
      </c>
      <c r="K269" s="1"/>
      <c r="L269" s="1">
        <v>42716.22</v>
      </c>
      <c r="M269" s="1"/>
      <c r="N269" s="1">
        <v>0</v>
      </c>
      <c r="O269" s="1"/>
      <c r="P269" s="1">
        <v>10450.92</v>
      </c>
      <c r="Q269" s="1"/>
      <c r="R269" s="1">
        <v>2936.23</v>
      </c>
      <c r="S269" s="1"/>
      <c r="T269" s="1">
        <v>71194.009999999995</v>
      </c>
      <c r="U269" s="1"/>
      <c r="V269" s="1">
        <v>0</v>
      </c>
      <c r="W269" s="1"/>
      <c r="X269" s="1">
        <v>0</v>
      </c>
      <c r="Y269" s="1"/>
      <c r="Z269" s="1">
        <v>0</v>
      </c>
      <c r="AA269" s="1"/>
      <c r="AB269" s="1">
        <v>0</v>
      </c>
      <c r="AC269" s="1"/>
      <c r="AD269" s="1">
        <v>0</v>
      </c>
      <c r="AF269" s="4">
        <f t="shared" si="9"/>
        <v>442981.68</v>
      </c>
    </row>
    <row r="270" spans="1:32" s="4" customFormat="1">
      <c r="A270" s="4">
        <v>18</v>
      </c>
      <c r="B270" s="4" t="s">
        <v>344</v>
      </c>
      <c r="D270" s="4" t="s">
        <v>44</v>
      </c>
      <c r="F270" s="1">
        <v>248343.42</v>
      </c>
      <c r="G270" s="1"/>
      <c r="H270" s="1">
        <v>64482.31</v>
      </c>
      <c r="I270" s="1"/>
      <c r="J270" s="1">
        <v>52414.73</v>
      </c>
      <c r="K270" s="1"/>
      <c r="L270" s="1">
        <v>24808.47</v>
      </c>
      <c r="M270" s="1"/>
      <c r="N270" s="1">
        <v>0</v>
      </c>
      <c r="O270" s="1"/>
      <c r="P270" s="1">
        <v>14154.14</v>
      </c>
      <c r="Q270" s="1"/>
      <c r="R270" s="1">
        <v>4864</v>
      </c>
      <c r="S270" s="1"/>
      <c r="T270" s="1">
        <v>14532.11</v>
      </c>
      <c r="U270" s="1"/>
      <c r="V270" s="1">
        <v>13366</v>
      </c>
      <c r="W270" s="1"/>
      <c r="X270" s="1">
        <v>5430.4</v>
      </c>
      <c r="Y270" s="1"/>
      <c r="Z270" s="1">
        <v>0</v>
      </c>
      <c r="AA270" s="1"/>
      <c r="AB270" s="1">
        <v>80400</v>
      </c>
      <c r="AC270" s="1"/>
      <c r="AD270" s="1">
        <v>0</v>
      </c>
      <c r="AF270" s="4">
        <f t="shared" si="9"/>
        <v>522795.57999999996</v>
      </c>
    </row>
    <row r="271" spans="1:32" s="4" customFormat="1">
      <c r="A271" s="4">
        <v>215</v>
      </c>
      <c r="B271" s="4" t="s">
        <v>592</v>
      </c>
      <c r="D271" s="4" t="s">
        <v>25</v>
      </c>
      <c r="F271" s="1">
        <v>6263151</v>
      </c>
      <c r="G271" s="1">
        <v>0</v>
      </c>
      <c r="H271" s="1">
        <v>0</v>
      </c>
      <c r="I271" s="1">
        <v>0</v>
      </c>
      <c r="J271" s="1">
        <v>1917645</v>
      </c>
      <c r="K271" s="1">
        <v>0</v>
      </c>
      <c r="L271" s="1">
        <v>0</v>
      </c>
      <c r="M271" s="1">
        <v>0</v>
      </c>
      <c r="N271" s="1">
        <v>1192330</v>
      </c>
      <c r="O271" s="1">
        <v>0</v>
      </c>
      <c r="P271" s="1">
        <v>0</v>
      </c>
      <c r="Q271" s="1">
        <v>0</v>
      </c>
      <c r="R271" s="1">
        <f>535273+1532205</f>
        <v>2067478</v>
      </c>
      <c r="S271" s="1">
        <v>0</v>
      </c>
      <c r="T271" s="1">
        <v>402297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F271" s="4">
        <f t="shared" si="9"/>
        <v>11842901</v>
      </c>
    </row>
    <row r="272" spans="1:32" s="4" customFormat="1">
      <c r="A272" s="4">
        <v>120</v>
      </c>
      <c r="B272" s="4" t="s">
        <v>256</v>
      </c>
      <c r="D272" s="4" t="s">
        <v>257</v>
      </c>
      <c r="F272" s="1">
        <v>1248948.06</v>
      </c>
      <c r="G272" s="1"/>
      <c r="H272" s="1">
        <v>574212.82999999996</v>
      </c>
      <c r="I272" s="1"/>
      <c r="J272" s="1">
        <v>305467.31</v>
      </c>
      <c r="K272" s="1"/>
      <c r="L272" s="1">
        <v>224281.71</v>
      </c>
      <c r="M272" s="1"/>
      <c r="N272" s="1">
        <v>0</v>
      </c>
      <c r="O272" s="1"/>
      <c r="P272" s="1">
        <v>49478.59</v>
      </c>
      <c r="Q272" s="1"/>
      <c r="R272" s="1">
        <v>123.8</v>
      </c>
      <c r="S272" s="1"/>
      <c r="T272" s="1">
        <v>70021.740000000005</v>
      </c>
      <c r="U272" s="1"/>
      <c r="V272" s="1">
        <v>0</v>
      </c>
      <c r="W272" s="1"/>
      <c r="X272" s="1">
        <v>0</v>
      </c>
      <c r="Y272" s="1"/>
      <c r="Z272" s="1">
        <v>200000</v>
      </c>
      <c r="AA272" s="1"/>
      <c r="AB272" s="1">
        <v>0</v>
      </c>
      <c r="AC272" s="1"/>
      <c r="AD272" s="1">
        <v>0</v>
      </c>
      <c r="AF272" s="4">
        <f t="shared" si="9"/>
        <v>2672534.04</v>
      </c>
    </row>
    <row r="273" spans="1:32" s="4" customFormat="1">
      <c r="A273" s="4">
        <v>220</v>
      </c>
      <c r="B273" s="4" t="s">
        <v>258</v>
      </c>
      <c r="D273" s="4" t="s">
        <v>22</v>
      </c>
      <c r="F273" s="1">
        <v>958344</v>
      </c>
      <c r="G273" s="1">
        <v>0</v>
      </c>
      <c r="H273" s="1">
        <v>0</v>
      </c>
      <c r="I273" s="1">
        <v>0</v>
      </c>
      <c r="J273" s="1">
        <v>453170</v>
      </c>
      <c r="K273" s="1">
        <v>0</v>
      </c>
      <c r="L273" s="1">
        <v>0</v>
      </c>
      <c r="M273" s="1">
        <v>0</v>
      </c>
      <c r="N273" s="1">
        <v>410493</v>
      </c>
      <c r="O273" s="1">
        <v>0</v>
      </c>
      <c r="P273" s="1">
        <v>0</v>
      </c>
      <c r="Q273" s="1">
        <v>0</v>
      </c>
      <c r="R273" s="1">
        <v>222455</v>
      </c>
      <c r="S273" s="1">
        <v>0</v>
      </c>
      <c r="T273" s="1">
        <v>8256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F273" s="4">
        <f t="shared" si="9"/>
        <v>2052718</v>
      </c>
    </row>
    <row r="274" spans="1:32" s="4" customFormat="1">
      <c r="A274" s="4">
        <v>86</v>
      </c>
      <c r="B274" s="4" t="s">
        <v>259</v>
      </c>
      <c r="D274" s="4" t="s">
        <v>42</v>
      </c>
      <c r="F274" s="1">
        <v>202316.45</v>
      </c>
      <c r="G274" s="1"/>
      <c r="H274" s="1">
        <v>69502.570000000007</v>
      </c>
      <c r="I274" s="1"/>
      <c r="J274" s="1">
        <v>73461.27</v>
      </c>
      <c r="K274" s="1"/>
      <c r="L274" s="1">
        <v>25223.7</v>
      </c>
      <c r="M274" s="1"/>
      <c r="N274" s="1">
        <v>0</v>
      </c>
      <c r="O274" s="1"/>
      <c r="P274" s="1">
        <v>7443.48</v>
      </c>
      <c r="Q274" s="1"/>
      <c r="R274" s="1">
        <v>5823.64</v>
      </c>
      <c r="S274" s="1"/>
      <c r="T274" s="1">
        <v>175</v>
      </c>
      <c r="U274" s="1"/>
      <c r="V274" s="1">
        <v>0</v>
      </c>
      <c r="W274" s="1"/>
      <c r="X274" s="1">
        <v>0</v>
      </c>
      <c r="Y274" s="1"/>
      <c r="Z274" s="1">
        <v>0</v>
      </c>
      <c r="AA274" s="1"/>
      <c r="AB274" s="1">
        <v>0</v>
      </c>
      <c r="AC274" s="1"/>
      <c r="AD274" s="1">
        <v>0</v>
      </c>
      <c r="AF274" s="4">
        <f t="shared" si="9"/>
        <v>383946.11000000004</v>
      </c>
    </row>
    <row r="275" spans="1:32" s="4" customFormat="1">
      <c r="A275" s="4">
        <v>119</v>
      </c>
      <c r="B275" s="4" t="s">
        <v>260</v>
      </c>
      <c r="D275" s="4" t="s">
        <v>170</v>
      </c>
      <c r="F275" s="1">
        <v>213622.18</v>
      </c>
      <c r="G275" s="1"/>
      <c r="H275" s="1">
        <v>79114</v>
      </c>
      <c r="I275" s="1"/>
      <c r="J275" s="1">
        <v>42003.61</v>
      </c>
      <c r="K275" s="1"/>
      <c r="L275" s="1">
        <v>31898.48</v>
      </c>
      <c r="M275" s="1"/>
      <c r="N275" s="1">
        <v>0</v>
      </c>
      <c r="O275" s="1"/>
      <c r="P275" s="1">
        <v>5272.4</v>
      </c>
      <c r="Q275" s="1"/>
      <c r="R275" s="1">
        <v>6188.39</v>
      </c>
      <c r="S275" s="1"/>
      <c r="T275" s="1">
        <v>5362.5</v>
      </c>
      <c r="U275" s="1"/>
      <c r="V275" s="1">
        <v>0</v>
      </c>
      <c r="W275" s="1"/>
      <c r="X275" s="1">
        <v>0</v>
      </c>
      <c r="Y275" s="1"/>
      <c r="Z275" s="1">
        <v>0</v>
      </c>
      <c r="AA275" s="1"/>
      <c r="AB275" s="1">
        <v>0</v>
      </c>
      <c r="AC275" s="1"/>
      <c r="AD275" s="1">
        <v>0</v>
      </c>
      <c r="AF275" s="4">
        <f t="shared" si="9"/>
        <v>383461.56</v>
      </c>
    </row>
    <row r="276" spans="1:32" s="4" customFormat="1" hidden="1">
      <c r="A276" s="4">
        <v>221</v>
      </c>
      <c r="B276" s="4" t="s">
        <v>261</v>
      </c>
      <c r="D276" s="4" t="s">
        <v>22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F276" s="4">
        <f t="shared" si="9"/>
        <v>0</v>
      </c>
    </row>
    <row r="277" spans="1:32" s="4" customFormat="1" hidden="1">
      <c r="A277" s="39">
        <v>92.1</v>
      </c>
      <c r="B277" s="4" t="s">
        <v>579</v>
      </c>
      <c r="C277" s="3"/>
      <c r="D277" s="3" t="s">
        <v>580</v>
      </c>
      <c r="E277" s="3"/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F277" s="4">
        <f t="shared" si="9"/>
        <v>0</v>
      </c>
    </row>
    <row r="278" spans="1:32" s="4" customFormat="1" hidden="1">
      <c r="A278" s="4">
        <v>71</v>
      </c>
      <c r="B278" s="4" t="s">
        <v>576</v>
      </c>
      <c r="D278" s="4" t="s">
        <v>67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F278" s="4">
        <f t="shared" si="9"/>
        <v>0</v>
      </c>
    </row>
    <row r="279" spans="1:32" s="4" customFormat="1">
      <c r="A279" s="4">
        <v>207</v>
      </c>
      <c r="B279" s="4" t="s">
        <v>262</v>
      </c>
      <c r="D279" s="4" t="s">
        <v>45</v>
      </c>
      <c r="F279" s="1">
        <v>588037.44999999995</v>
      </c>
      <c r="G279" s="1"/>
      <c r="H279" s="1">
        <v>194726.58</v>
      </c>
      <c r="I279" s="1"/>
      <c r="J279" s="1">
        <v>169310.51</v>
      </c>
      <c r="K279" s="1"/>
      <c r="L279" s="1">
        <v>172748.56</v>
      </c>
      <c r="M279" s="1"/>
      <c r="N279" s="1">
        <v>0</v>
      </c>
      <c r="O279" s="1"/>
      <c r="P279" s="1">
        <v>21449.18</v>
      </c>
      <c r="Q279" s="1"/>
      <c r="R279" s="1">
        <v>8533.92</v>
      </c>
      <c r="S279" s="1"/>
      <c r="T279" s="1">
        <v>9694.6200000000008</v>
      </c>
      <c r="U279" s="1"/>
      <c r="V279" s="1">
        <v>0</v>
      </c>
      <c r="W279" s="1"/>
      <c r="X279" s="1">
        <v>0</v>
      </c>
      <c r="Y279" s="1"/>
      <c r="Z279" s="1">
        <v>169236</v>
      </c>
      <c r="AA279" s="1"/>
      <c r="AB279" s="1">
        <v>0</v>
      </c>
      <c r="AC279" s="1"/>
      <c r="AD279" s="1">
        <v>38</v>
      </c>
      <c r="AF279" s="4">
        <f t="shared" si="9"/>
        <v>1333774.8199999998</v>
      </c>
    </row>
    <row r="280" spans="1:32" s="4" customFormat="1">
      <c r="A280" s="4">
        <v>166</v>
      </c>
      <c r="B280" s="4" t="s">
        <v>448</v>
      </c>
      <c r="D280" s="4" t="s">
        <v>53</v>
      </c>
      <c r="F280" s="1">
        <v>480455</v>
      </c>
      <c r="G280" s="1">
        <v>0</v>
      </c>
      <c r="H280" s="1">
        <v>0</v>
      </c>
      <c r="I280" s="1">
        <v>0</v>
      </c>
      <c r="J280" s="1">
        <v>85491</v>
      </c>
      <c r="K280" s="1">
        <v>0</v>
      </c>
      <c r="L280" s="1">
        <v>0</v>
      </c>
      <c r="M280" s="1">
        <v>0</v>
      </c>
      <c r="N280" s="1">
        <v>44785</v>
      </c>
      <c r="O280" s="1">
        <v>0</v>
      </c>
      <c r="P280" s="1">
        <v>0</v>
      </c>
      <c r="Q280" s="1">
        <v>0</v>
      </c>
      <c r="R280" s="1">
        <f>8858+55069</f>
        <v>63927</v>
      </c>
      <c r="S280" s="1">
        <v>0</v>
      </c>
      <c r="T280" s="1">
        <v>15911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9</v>
      </c>
      <c r="AA280" s="1">
        <v>0</v>
      </c>
      <c r="AB280" s="1">
        <v>0</v>
      </c>
      <c r="AC280" s="1">
        <v>0</v>
      </c>
      <c r="AD280" s="1">
        <v>0</v>
      </c>
      <c r="AF280" s="4">
        <f t="shared" si="9"/>
        <v>690578</v>
      </c>
    </row>
    <row r="281" spans="1:32" s="4" customFormat="1">
      <c r="A281" s="4">
        <v>147</v>
      </c>
      <c r="B281" s="4" t="s">
        <v>608</v>
      </c>
      <c r="D281" s="4" t="s">
        <v>264</v>
      </c>
      <c r="F281" s="1">
        <v>20395119</v>
      </c>
      <c r="G281" s="1">
        <v>0</v>
      </c>
      <c r="H281" s="1">
        <v>0</v>
      </c>
      <c r="I281" s="1">
        <v>0</v>
      </c>
      <c r="J281" s="1">
        <v>4642242</v>
      </c>
      <c r="K281" s="1">
        <v>0</v>
      </c>
      <c r="L281" s="1">
        <v>4033628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2153549</v>
      </c>
      <c r="U281" s="1">
        <v>0</v>
      </c>
      <c r="V281" s="1">
        <v>16203</v>
      </c>
      <c r="W281" s="1">
        <v>0</v>
      </c>
      <c r="X281" s="1">
        <v>4358</v>
      </c>
      <c r="Y281" s="1">
        <v>0</v>
      </c>
      <c r="Z281" s="1">
        <v>1717488</v>
      </c>
      <c r="AA281" s="1">
        <v>0</v>
      </c>
      <c r="AB281" s="1">
        <v>0</v>
      </c>
      <c r="AC281" s="1">
        <v>0</v>
      </c>
      <c r="AD281" s="1">
        <v>0</v>
      </c>
      <c r="AF281" s="4">
        <f t="shared" ref="AF281:AF308" si="10">SUM(F281:AD281)</f>
        <v>32962587</v>
      </c>
    </row>
    <row r="282" spans="1:32" s="4" customFormat="1">
      <c r="A282" s="4">
        <v>167</v>
      </c>
      <c r="B282" s="4" t="s">
        <v>609</v>
      </c>
      <c r="D282" s="4" t="s">
        <v>53</v>
      </c>
      <c r="F282" s="1">
        <v>705565</v>
      </c>
      <c r="G282" s="1">
        <v>0</v>
      </c>
      <c r="H282" s="1">
        <v>319656</v>
      </c>
      <c r="I282" s="1">
        <v>0</v>
      </c>
      <c r="J282" s="1">
        <v>228926</v>
      </c>
      <c r="K282" s="1">
        <v>0</v>
      </c>
      <c r="L282" s="1">
        <v>188971</v>
      </c>
      <c r="M282" s="1">
        <v>0</v>
      </c>
      <c r="N282" s="1">
        <v>0</v>
      </c>
      <c r="O282" s="1">
        <v>0</v>
      </c>
      <c r="P282" s="1">
        <v>63063</v>
      </c>
      <c r="Q282" s="1">
        <v>0</v>
      </c>
      <c r="R282" s="1">
        <v>4302</v>
      </c>
      <c r="S282" s="1">
        <v>0</v>
      </c>
      <c r="T282" s="1">
        <v>162602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50000</v>
      </c>
      <c r="AA282" s="1">
        <v>0</v>
      </c>
      <c r="AB282" s="1">
        <v>0</v>
      </c>
      <c r="AC282" s="1">
        <v>0</v>
      </c>
      <c r="AD282" s="1">
        <v>0</v>
      </c>
      <c r="AF282" s="4">
        <f t="shared" si="10"/>
        <v>1723085</v>
      </c>
    </row>
    <row r="283" spans="1:32" s="4" customFormat="1">
      <c r="A283" s="4">
        <v>236</v>
      </c>
      <c r="B283" s="4" t="s">
        <v>610</v>
      </c>
      <c r="D283" s="4" t="s">
        <v>26</v>
      </c>
      <c r="F283" s="1">
        <v>1037195</v>
      </c>
      <c r="G283" s="1">
        <v>0</v>
      </c>
      <c r="H283" s="1">
        <v>0</v>
      </c>
      <c r="I283" s="1">
        <v>0</v>
      </c>
      <c r="J283" s="1">
        <v>263351</v>
      </c>
      <c r="K283" s="1">
        <v>0</v>
      </c>
      <c r="L283" s="1">
        <v>0</v>
      </c>
      <c r="M283" s="1">
        <v>0</v>
      </c>
      <c r="N283" s="1">
        <v>106632</v>
      </c>
      <c r="O283" s="1">
        <v>0</v>
      </c>
      <c r="P283" s="1">
        <v>0</v>
      </c>
      <c r="Q283" s="1">
        <v>0</v>
      </c>
      <c r="R283" s="1">
        <f>16223+405069</f>
        <v>421292</v>
      </c>
      <c r="S283" s="1">
        <v>0</v>
      </c>
      <c r="T283" s="1">
        <v>30872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59956</v>
      </c>
      <c r="AA283" s="1">
        <v>0</v>
      </c>
      <c r="AB283" s="1">
        <v>0</v>
      </c>
      <c r="AC283" s="1">
        <v>0</v>
      </c>
      <c r="AD283" s="1">
        <v>0</v>
      </c>
      <c r="AF283" s="4">
        <f t="shared" si="10"/>
        <v>1919298</v>
      </c>
    </row>
    <row r="284" spans="1:32" s="4" customFormat="1">
      <c r="A284" s="4">
        <v>222</v>
      </c>
      <c r="B284" s="4" t="s">
        <v>319</v>
      </c>
      <c r="D284" s="4" t="s">
        <v>22</v>
      </c>
      <c r="F284" s="1">
        <v>1060608</v>
      </c>
      <c r="G284" s="1">
        <v>0</v>
      </c>
      <c r="H284" s="1">
        <v>0</v>
      </c>
      <c r="I284" s="1">
        <v>0</v>
      </c>
      <c r="J284" s="1">
        <v>648062</v>
      </c>
      <c r="K284" s="1">
        <v>0</v>
      </c>
      <c r="L284" s="1">
        <v>0</v>
      </c>
      <c r="M284" s="1">
        <v>0</v>
      </c>
      <c r="N284" s="1">
        <v>246510</v>
      </c>
      <c r="O284" s="1">
        <v>0</v>
      </c>
      <c r="P284" s="1">
        <v>0</v>
      </c>
      <c r="Q284" s="1">
        <v>0</v>
      </c>
      <c r="R284" s="1">
        <v>325598</v>
      </c>
      <c r="S284" s="1">
        <v>0</v>
      </c>
      <c r="T284" s="1">
        <v>89009</v>
      </c>
      <c r="U284" s="1">
        <v>0</v>
      </c>
      <c r="V284" s="1">
        <v>110000</v>
      </c>
      <c r="W284" s="1">
        <v>0</v>
      </c>
      <c r="X284" s="1">
        <v>15111</v>
      </c>
      <c r="Y284" s="1">
        <v>0</v>
      </c>
      <c r="Z284" s="1">
        <v>452375</v>
      </c>
      <c r="AA284" s="1">
        <v>0</v>
      </c>
      <c r="AB284" s="1">
        <v>0</v>
      </c>
      <c r="AC284" s="1">
        <v>0</v>
      </c>
      <c r="AD284" s="1">
        <v>0</v>
      </c>
      <c r="AF284" s="4">
        <f t="shared" si="10"/>
        <v>2947273</v>
      </c>
    </row>
    <row r="285" spans="1:32" s="4" customFormat="1">
      <c r="A285" s="4">
        <v>24</v>
      </c>
      <c r="B285" s="4" t="s">
        <v>266</v>
      </c>
      <c r="D285" s="4" t="s">
        <v>47</v>
      </c>
      <c r="F285" s="1">
        <v>301778</v>
      </c>
      <c r="G285" s="1">
        <v>0</v>
      </c>
      <c r="H285" s="1">
        <v>62656</v>
      </c>
      <c r="I285" s="1">
        <v>0</v>
      </c>
      <c r="J285" s="1">
        <v>89748</v>
      </c>
      <c r="K285" s="1">
        <v>0</v>
      </c>
      <c r="L285" s="1">
        <v>39536</v>
      </c>
      <c r="M285" s="1">
        <v>0</v>
      </c>
      <c r="N285" s="1">
        <v>0</v>
      </c>
      <c r="O285" s="1">
        <v>0</v>
      </c>
      <c r="P285" s="1">
        <v>8987</v>
      </c>
      <c r="Q285" s="1">
        <v>0</v>
      </c>
      <c r="R285" s="1">
        <v>1575</v>
      </c>
      <c r="S285" s="1">
        <v>0</v>
      </c>
      <c r="T285" s="1">
        <v>29640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F285" s="4">
        <f t="shared" si="10"/>
        <v>533920</v>
      </c>
    </row>
    <row r="286" spans="1:32" s="4" customFormat="1">
      <c r="B286" s="4" t="s">
        <v>267</v>
      </c>
      <c r="D286" s="4" t="s">
        <v>92</v>
      </c>
      <c r="F286" s="1">
        <v>2416617</v>
      </c>
      <c r="G286" s="1">
        <v>0</v>
      </c>
      <c r="H286" s="1">
        <v>876657</v>
      </c>
      <c r="I286" s="1">
        <v>0</v>
      </c>
      <c r="J286" s="1">
        <v>683711</v>
      </c>
      <c r="K286" s="1">
        <v>0</v>
      </c>
      <c r="L286" s="1">
        <v>772437</v>
      </c>
      <c r="M286" s="1">
        <v>0</v>
      </c>
      <c r="N286" s="1">
        <v>0</v>
      </c>
      <c r="O286" s="1">
        <v>0</v>
      </c>
      <c r="P286" s="1">
        <v>91350</v>
      </c>
      <c r="Q286" s="1">
        <v>0</v>
      </c>
      <c r="R286" s="1">
        <v>8570</v>
      </c>
      <c r="S286" s="1">
        <v>0</v>
      </c>
      <c r="T286" s="1">
        <v>277740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F286" s="4">
        <f t="shared" si="10"/>
        <v>5127082</v>
      </c>
    </row>
    <row r="287" spans="1:32" s="4" customFormat="1">
      <c r="A287" s="4">
        <v>260</v>
      </c>
      <c r="B287" s="4" t="s">
        <v>345</v>
      </c>
      <c r="D287" s="4" t="s">
        <v>63</v>
      </c>
      <c r="F287" s="1">
        <v>208161.91</v>
      </c>
      <c r="G287" s="1"/>
      <c r="H287" s="1">
        <v>53330.68</v>
      </c>
      <c r="I287" s="1"/>
      <c r="J287" s="1">
        <v>69421.33</v>
      </c>
      <c r="K287" s="1"/>
      <c r="L287" s="1">
        <v>78966.97</v>
      </c>
      <c r="M287" s="1"/>
      <c r="N287" s="1">
        <v>0</v>
      </c>
      <c r="O287" s="1"/>
      <c r="P287" s="1">
        <v>15290.32</v>
      </c>
      <c r="Q287" s="1"/>
      <c r="R287" s="1">
        <v>17444.939999999999</v>
      </c>
      <c r="S287" s="1"/>
      <c r="T287" s="1">
        <v>7958.6</v>
      </c>
      <c r="U287" s="1"/>
      <c r="V287" s="1">
        <v>0</v>
      </c>
      <c r="W287" s="1"/>
      <c r="X287" s="1">
        <v>0</v>
      </c>
      <c r="Y287" s="1"/>
      <c r="Z287" s="1">
        <v>0</v>
      </c>
      <c r="AA287" s="1"/>
      <c r="AB287" s="1">
        <v>0</v>
      </c>
      <c r="AC287" s="1"/>
      <c r="AD287" s="1">
        <v>0</v>
      </c>
      <c r="AF287" s="4">
        <f t="shared" si="10"/>
        <v>450574.75</v>
      </c>
    </row>
    <row r="288" spans="1:32" s="4" customFormat="1">
      <c r="B288" s="4" t="s">
        <v>622</v>
      </c>
      <c r="D288" s="4" t="s">
        <v>67</v>
      </c>
      <c r="F288" s="1">
        <v>105289</v>
      </c>
      <c r="G288" s="1">
        <v>0</v>
      </c>
      <c r="H288" s="1">
        <v>1967</v>
      </c>
      <c r="I288" s="1">
        <v>0</v>
      </c>
      <c r="J288" s="1">
        <v>0</v>
      </c>
      <c r="K288" s="1">
        <v>0</v>
      </c>
      <c r="L288" s="1">
        <v>28814</v>
      </c>
      <c r="M288" s="1">
        <v>0</v>
      </c>
      <c r="N288" s="1">
        <v>0</v>
      </c>
      <c r="O288" s="1">
        <v>0</v>
      </c>
      <c r="P288" s="1">
        <v>4111</v>
      </c>
      <c r="Q288" s="1">
        <v>0</v>
      </c>
      <c r="R288" s="1">
        <v>90964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F288" s="4">
        <f t="shared" si="10"/>
        <v>231145</v>
      </c>
    </row>
    <row r="289" spans="1:110" s="4" customFormat="1">
      <c r="A289" s="4">
        <v>230</v>
      </c>
      <c r="B289" s="4" t="s">
        <v>611</v>
      </c>
      <c r="D289" s="4" t="s">
        <v>56</v>
      </c>
      <c r="F289" s="1">
        <v>2727394</v>
      </c>
      <c r="G289" s="1">
        <v>0</v>
      </c>
      <c r="H289" s="1">
        <v>944563</v>
      </c>
      <c r="I289" s="1">
        <v>0</v>
      </c>
      <c r="J289" s="1">
        <v>449887</v>
      </c>
      <c r="K289" s="1">
        <v>0</v>
      </c>
      <c r="L289" s="1">
        <v>640508</v>
      </c>
      <c r="M289" s="1">
        <v>0</v>
      </c>
      <c r="N289" s="1">
        <v>0</v>
      </c>
      <c r="O289" s="1">
        <v>0</v>
      </c>
      <c r="P289" s="1">
        <v>206182</v>
      </c>
      <c r="Q289" s="1"/>
      <c r="R289" s="1">
        <v>30689</v>
      </c>
      <c r="S289" s="1">
        <v>0</v>
      </c>
      <c r="T289" s="1">
        <v>85278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2266567</v>
      </c>
      <c r="AA289" s="1">
        <v>0</v>
      </c>
      <c r="AB289" s="1">
        <v>0</v>
      </c>
      <c r="AC289" s="1">
        <v>0</v>
      </c>
      <c r="AD289" s="1">
        <v>0</v>
      </c>
      <c r="AF289" s="4">
        <f t="shared" si="10"/>
        <v>7351068</v>
      </c>
    </row>
    <row r="290" spans="1:110" s="4" customFormat="1">
      <c r="A290" s="4">
        <v>245</v>
      </c>
      <c r="B290" s="4" t="s">
        <v>612</v>
      </c>
      <c r="D290" s="4" t="s">
        <v>27</v>
      </c>
      <c r="F290" s="1">
        <v>1093562</v>
      </c>
      <c r="G290" s="1">
        <v>0</v>
      </c>
      <c r="H290" s="1">
        <v>0</v>
      </c>
      <c r="I290" s="1">
        <v>0</v>
      </c>
      <c r="J290" s="1">
        <v>288194</v>
      </c>
      <c r="K290" s="1">
        <v>0</v>
      </c>
      <c r="L290" s="1">
        <v>203260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66868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F290" s="4">
        <f t="shared" si="10"/>
        <v>1651884</v>
      </c>
    </row>
    <row r="291" spans="1:110" s="4" customFormat="1">
      <c r="A291" s="4">
        <v>171</v>
      </c>
      <c r="B291" s="4" t="s">
        <v>269</v>
      </c>
      <c r="D291" s="4" t="s">
        <v>55</v>
      </c>
      <c r="F291" s="1">
        <v>3337028</v>
      </c>
      <c r="G291" s="1">
        <v>0</v>
      </c>
      <c r="H291" s="1">
        <v>1246248</v>
      </c>
      <c r="I291" s="1">
        <v>0</v>
      </c>
      <c r="J291" s="1">
        <v>771695</v>
      </c>
      <c r="K291" s="1">
        <v>0</v>
      </c>
      <c r="L291" s="1">
        <v>919019</v>
      </c>
      <c r="M291" s="1">
        <v>0</v>
      </c>
      <c r="N291" s="1">
        <v>0</v>
      </c>
      <c r="O291" s="1">
        <v>0</v>
      </c>
      <c r="P291" s="1">
        <v>117331</v>
      </c>
      <c r="Q291" s="1">
        <v>0</v>
      </c>
      <c r="R291" s="1">
        <v>7271</v>
      </c>
      <c r="S291" s="1">
        <v>0</v>
      </c>
      <c r="T291" s="1">
        <v>176680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500000</v>
      </c>
      <c r="AA291" s="1">
        <v>0</v>
      </c>
      <c r="AB291" s="1">
        <v>0</v>
      </c>
      <c r="AC291" s="1">
        <v>0</v>
      </c>
      <c r="AD291" s="1">
        <v>0</v>
      </c>
      <c r="AF291" s="4">
        <f t="shared" si="10"/>
        <v>7075272</v>
      </c>
    </row>
    <row r="292" spans="1:110" s="4" customFormat="1">
      <c r="A292" s="4">
        <v>87</v>
      </c>
      <c r="B292" s="4" t="s">
        <v>468</v>
      </c>
      <c r="D292" s="4" t="s">
        <v>42</v>
      </c>
      <c r="F292" s="1">
        <v>185168.55</v>
      </c>
      <c r="G292" s="1"/>
      <c r="H292" s="1">
        <v>32695.61</v>
      </c>
      <c r="I292" s="1"/>
      <c r="J292" s="1">
        <v>49875.89</v>
      </c>
      <c r="K292" s="1"/>
      <c r="L292" s="1">
        <v>21644.02</v>
      </c>
      <c r="M292" s="1"/>
      <c r="N292" s="1">
        <v>0</v>
      </c>
      <c r="O292" s="1"/>
      <c r="P292" s="1">
        <v>4852.3900000000003</v>
      </c>
      <c r="Q292" s="1"/>
      <c r="R292" s="1">
        <v>5165.47</v>
      </c>
      <c r="S292" s="1"/>
      <c r="T292" s="1">
        <v>0</v>
      </c>
      <c r="U292" s="1"/>
      <c r="V292" s="1">
        <v>0</v>
      </c>
      <c r="W292" s="1"/>
      <c r="X292" s="1">
        <v>0</v>
      </c>
      <c r="Y292" s="1"/>
      <c r="Z292" s="1">
        <v>0</v>
      </c>
      <c r="AA292" s="1"/>
      <c r="AB292" s="1">
        <v>0</v>
      </c>
      <c r="AC292" s="1"/>
      <c r="AD292" s="1">
        <v>516</v>
      </c>
      <c r="AF292" s="4">
        <f t="shared" si="10"/>
        <v>299917.93</v>
      </c>
    </row>
    <row r="293" spans="1:110" s="4" customFormat="1">
      <c r="A293" s="4">
        <v>247</v>
      </c>
      <c r="B293" s="4" t="s">
        <v>613</v>
      </c>
      <c r="D293" s="4" t="s">
        <v>225</v>
      </c>
      <c r="F293" s="1">
        <v>1961175</v>
      </c>
      <c r="G293" s="1">
        <v>0</v>
      </c>
      <c r="H293" s="1">
        <v>554977</v>
      </c>
      <c r="I293" s="1">
        <v>0</v>
      </c>
      <c r="J293" s="1">
        <v>889996</v>
      </c>
      <c r="K293" s="1">
        <v>0</v>
      </c>
      <c r="L293" s="1">
        <v>700254</v>
      </c>
      <c r="M293" s="1">
        <v>0</v>
      </c>
      <c r="N293" s="1">
        <v>0</v>
      </c>
      <c r="O293" s="1">
        <v>0</v>
      </c>
      <c r="P293" s="1">
        <v>140047</v>
      </c>
      <c r="Q293" s="1">
        <v>0</v>
      </c>
      <c r="R293" s="1">
        <v>21378</v>
      </c>
      <c r="S293" s="1">
        <v>0</v>
      </c>
      <c r="T293" s="1">
        <v>106205</v>
      </c>
      <c r="U293" s="1">
        <v>0</v>
      </c>
      <c r="V293" s="1">
        <v>240000</v>
      </c>
      <c r="W293" s="1">
        <v>0</v>
      </c>
      <c r="X293" s="1">
        <v>224106</v>
      </c>
      <c r="Y293" s="1">
        <v>0</v>
      </c>
      <c r="Z293" s="1">
        <v>205115</v>
      </c>
      <c r="AA293" s="1">
        <v>0</v>
      </c>
      <c r="AB293" s="1">
        <v>0</v>
      </c>
      <c r="AC293" s="1">
        <v>0</v>
      </c>
      <c r="AD293" s="1">
        <v>0</v>
      </c>
      <c r="AF293" s="4">
        <f t="shared" si="10"/>
        <v>5043253</v>
      </c>
    </row>
    <row r="294" spans="1:110" s="4" customFormat="1">
      <c r="A294" s="4">
        <v>254</v>
      </c>
      <c r="B294" s="4" t="s">
        <v>271</v>
      </c>
      <c r="D294" s="4" t="s">
        <v>65</v>
      </c>
      <c r="F294" s="1">
        <v>138782.71</v>
      </c>
      <c r="G294" s="1"/>
      <c r="H294" s="1">
        <v>22584.51</v>
      </c>
      <c r="I294" s="1"/>
      <c r="J294" s="1">
        <v>28446.73</v>
      </c>
      <c r="K294" s="1"/>
      <c r="L294" s="1">
        <v>21333.77</v>
      </c>
      <c r="M294" s="1"/>
      <c r="N294" s="1">
        <v>0</v>
      </c>
      <c r="O294" s="1"/>
      <c r="P294" s="1">
        <v>5227.91</v>
      </c>
      <c r="Q294" s="1"/>
      <c r="R294" s="1">
        <v>3644.98</v>
      </c>
      <c r="S294" s="1"/>
      <c r="T294" s="1">
        <v>1231.1199999999999</v>
      </c>
      <c r="U294" s="1"/>
      <c r="V294" s="1">
        <v>0</v>
      </c>
      <c r="W294" s="1"/>
      <c r="X294" s="1">
        <v>0</v>
      </c>
      <c r="Y294" s="1"/>
      <c r="Z294" s="1">
        <v>0</v>
      </c>
      <c r="AA294" s="1"/>
      <c r="AB294" s="1">
        <v>0</v>
      </c>
      <c r="AC294" s="1"/>
      <c r="AD294" s="1">
        <v>0</v>
      </c>
      <c r="AF294" s="4">
        <f t="shared" si="10"/>
        <v>221251.73</v>
      </c>
    </row>
    <row r="295" spans="1:110" s="4" customFormat="1">
      <c r="A295" s="4">
        <v>255</v>
      </c>
      <c r="B295" s="4" t="s">
        <v>272</v>
      </c>
      <c r="D295" s="4" t="s">
        <v>65</v>
      </c>
      <c r="F295" s="1">
        <v>919584.98</v>
      </c>
      <c r="G295" s="1"/>
      <c r="H295" s="1">
        <v>303775.08</v>
      </c>
      <c r="I295" s="1"/>
      <c r="J295" s="1">
        <v>302915.26</v>
      </c>
      <c r="K295" s="1"/>
      <c r="L295" s="1">
        <v>230800.51</v>
      </c>
      <c r="M295" s="1"/>
      <c r="N295" s="1">
        <v>0</v>
      </c>
      <c r="O295" s="1"/>
      <c r="P295" s="1">
        <v>31509.47</v>
      </c>
      <c r="Q295" s="1"/>
      <c r="R295" s="1">
        <v>3501.6</v>
      </c>
      <c r="S295" s="1"/>
      <c r="T295" s="1">
        <v>30402.68</v>
      </c>
      <c r="U295" s="1"/>
      <c r="V295" s="1">
        <v>0</v>
      </c>
      <c r="W295" s="1"/>
      <c r="X295" s="1">
        <v>0</v>
      </c>
      <c r="Y295" s="1"/>
      <c r="Z295" s="1">
        <v>0</v>
      </c>
      <c r="AA295" s="1"/>
      <c r="AB295" s="1">
        <v>0</v>
      </c>
      <c r="AC295" s="1"/>
      <c r="AD295" s="1">
        <v>0</v>
      </c>
      <c r="AF295" s="4">
        <f t="shared" si="10"/>
        <v>1822489.58</v>
      </c>
    </row>
    <row r="296" spans="1:110" s="4" customFormat="1">
      <c r="A296" s="4">
        <v>44</v>
      </c>
      <c r="B296" s="4" t="s">
        <v>273</v>
      </c>
      <c r="D296" s="4" t="s">
        <v>51</v>
      </c>
      <c r="F296" s="1">
        <v>167202.75</v>
      </c>
      <c r="G296" s="1"/>
      <c r="H296" s="1">
        <v>55091.76</v>
      </c>
      <c r="I296" s="1"/>
      <c r="J296" s="1">
        <v>57133.51</v>
      </c>
      <c r="K296" s="1"/>
      <c r="L296" s="1">
        <v>73110.27</v>
      </c>
      <c r="M296" s="1"/>
      <c r="N296" s="1">
        <v>0</v>
      </c>
      <c r="O296" s="1"/>
      <c r="P296" s="1">
        <v>5066.3999999999996</v>
      </c>
      <c r="Q296" s="1"/>
      <c r="R296" s="1">
        <v>7347</v>
      </c>
      <c r="S296" s="1"/>
      <c r="T296" s="1">
        <v>11619.23</v>
      </c>
      <c r="U296" s="1"/>
      <c r="V296" s="1">
        <v>0</v>
      </c>
      <c r="W296" s="1"/>
      <c r="X296" s="1">
        <v>0</v>
      </c>
      <c r="Y296" s="1"/>
      <c r="Z296" s="1">
        <v>0</v>
      </c>
      <c r="AA296" s="1"/>
      <c r="AB296" s="1">
        <v>0</v>
      </c>
      <c r="AC296" s="1"/>
      <c r="AD296" s="1">
        <v>4110</v>
      </c>
      <c r="AF296" s="4">
        <f t="shared" si="10"/>
        <v>380680.92000000004</v>
      </c>
    </row>
    <row r="297" spans="1:110" s="4" customFormat="1">
      <c r="A297" s="4">
        <v>78</v>
      </c>
      <c r="B297" s="4" t="s">
        <v>575</v>
      </c>
      <c r="D297" s="4" t="s">
        <v>92</v>
      </c>
      <c r="F297" s="1">
        <v>2089630</v>
      </c>
      <c r="G297" s="1">
        <v>0</v>
      </c>
      <c r="H297" s="1">
        <v>734672</v>
      </c>
      <c r="I297" s="1">
        <v>0</v>
      </c>
      <c r="J297" s="1">
        <v>728311</v>
      </c>
      <c r="K297" s="1">
        <v>0</v>
      </c>
      <c r="L297" s="1">
        <v>620473</v>
      </c>
      <c r="M297" s="1">
        <v>0</v>
      </c>
      <c r="N297" s="1">
        <v>0</v>
      </c>
      <c r="O297" s="1">
        <v>0</v>
      </c>
      <c r="P297" s="1">
        <v>110184</v>
      </c>
      <c r="Q297" s="1"/>
      <c r="R297" s="1">
        <v>15147</v>
      </c>
      <c r="S297" s="1">
        <v>0</v>
      </c>
      <c r="T297" s="1">
        <v>90329</v>
      </c>
      <c r="U297" s="1">
        <v>0</v>
      </c>
      <c r="V297" s="1">
        <v>220307</v>
      </c>
      <c r="W297" s="1">
        <v>0</v>
      </c>
      <c r="X297" s="1">
        <v>28756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F297" s="4">
        <f t="shared" si="10"/>
        <v>4637809</v>
      </c>
    </row>
    <row r="298" spans="1:110" s="4" customFormat="1">
      <c r="A298" s="4">
        <v>256</v>
      </c>
      <c r="B298" s="4" t="s">
        <v>274</v>
      </c>
      <c r="D298" s="4" t="s">
        <v>65</v>
      </c>
      <c r="F298" s="1">
        <v>188470.21</v>
      </c>
      <c r="G298" s="1"/>
      <c r="H298" s="1">
        <v>71460.42</v>
      </c>
      <c r="I298" s="1"/>
      <c r="J298" s="1">
        <v>36516.18</v>
      </c>
      <c r="K298" s="1"/>
      <c r="L298" s="1">
        <v>56422.36</v>
      </c>
      <c r="M298" s="1"/>
      <c r="N298" s="1">
        <v>0</v>
      </c>
      <c r="O298" s="1"/>
      <c r="P298" s="1">
        <v>5265.91</v>
      </c>
      <c r="Q298" s="1"/>
      <c r="R298" s="1">
        <v>4270.45</v>
      </c>
      <c r="S298" s="1"/>
      <c r="T298" s="1">
        <v>2479.9899999999998</v>
      </c>
      <c r="U298" s="1"/>
      <c r="V298" s="1">
        <v>0</v>
      </c>
      <c r="W298" s="1"/>
      <c r="X298" s="1">
        <v>0</v>
      </c>
      <c r="Y298" s="1"/>
      <c r="Z298" s="1">
        <v>0</v>
      </c>
      <c r="AA298" s="1"/>
      <c r="AB298" s="1">
        <v>0</v>
      </c>
      <c r="AC298" s="1"/>
      <c r="AD298" s="1">
        <v>2991</v>
      </c>
      <c r="AF298" s="4">
        <f t="shared" si="10"/>
        <v>367876.51999999996</v>
      </c>
    </row>
    <row r="299" spans="1:110" s="4" customFormat="1">
      <c r="A299" s="4">
        <v>129</v>
      </c>
      <c r="B299" s="4" t="s">
        <v>469</v>
      </c>
      <c r="D299" s="4" t="s">
        <v>15</v>
      </c>
      <c r="F299" s="1">
        <v>671604.5</v>
      </c>
      <c r="G299" s="1"/>
      <c r="H299" s="1">
        <v>317633.05</v>
      </c>
      <c r="I299" s="1"/>
      <c r="J299" s="1">
        <v>120561.88</v>
      </c>
      <c r="K299" s="1"/>
      <c r="L299" s="1">
        <v>284511.88</v>
      </c>
      <c r="M299" s="1"/>
      <c r="N299" s="1">
        <v>0</v>
      </c>
      <c r="O299" s="1"/>
      <c r="P299" s="1">
        <v>18280.23</v>
      </c>
      <c r="Q299" s="1"/>
      <c r="R299" s="1">
        <v>4571.78</v>
      </c>
      <c r="S299" s="1"/>
      <c r="T299" s="1">
        <v>18359.03</v>
      </c>
      <c r="U299" s="1"/>
      <c r="V299" s="1">
        <v>0</v>
      </c>
      <c r="W299" s="1"/>
      <c r="X299" s="1">
        <v>0</v>
      </c>
      <c r="Y299" s="1"/>
      <c r="Z299" s="1">
        <v>0</v>
      </c>
      <c r="AA299" s="1"/>
      <c r="AB299" s="1">
        <v>0</v>
      </c>
      <c r="AC299" s="1"/>
      <c r="AD299" s="1">
        <v>0</v>
      </c>
      <c r="AF299" s="4">
        <f t="shared" si="10"/>
        <v>1435522.35</v>
      </c>
    </row>
    <row r="300" spans="1:110" s="4" customFormat="1" hidden="1">
      <c r="A300" s="4">
        <v>114</v>
      </c>
      <c r="B300" s="4" t="s">
        <v>275</v>
      </c>
      <c r="D300" s="4" t="s">
        <v>89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F300" s="4">
        <f t="shared" si="10"/>
        <v>0</v>
      </c>
    </row>
    <row r="301" spans="1:110" s="4" customFormat="1">
      <c r="A301" s="4">
        <v>249</v>
      </c>
      <c r="B301" s="4" t="s">
        <v>614</v>
      </c>
      <c r="D301" s="4" t="s">
        <v>204</v>
      </c>
      <c r="F301" s="1">
        <v>764845.35</v>
      </c>
      <c r="G301" s="1"/>
      <c r="H301" s="1">
        <v>243237.79</v>
      </c>
      <c r="I301" s="1"/>
      <c r="J301" s="1">
        <v>164244.14000000001</v>
      </c>
      <c r="K301" s="1"/>
      <c r="L301" s="1">
        <v>166043.38</v>
      </c>
      <c r="M301" s="1"/>
      <c r="N301" s="1">
        <v>0</v>
      </c>
      <c r="O301" s="1"/>
      <c r="P301" s="1">
        <v>40347.839999999997</v>
      </c>
      <c r="Q301" s="1"/>
      <c r="R301" s="1">
        <v>51190.23</v>
      </c>
      <c r="S301" s="1"/>
      <c r="T301" s="1">
        <v>4847.84</v>
      </c>
      <c r="U301" s="1"/>
      <c r="V301" s="1">
        <v>0</v>
      </c>
      <c r="W301" s="1"/>
      <c r="X301" s="1">
        <v>0</v>
      </c>
      <c r="Y301" s="1"/>
      <c r="Z301" s="1">
        <v>0</v>
      </c>
      <c r="AA301" s="1"/>
      <c r="AB301" s="1">
        <v>0</v>
      </c>
      <c r="AC301" s="1"/>
      <c r="AD301" s="1">
        <v>0</v>
      </c>
      <c r="AF301" s="4">
        <f t="shared" si="10"/>
        <v>1434756.5700000003</v>
      </c>
    </row>
    <row r="302" spans="1:110" s="4" customFormat="1">
      <c r="A302" s="4">
        <v>130</v>
      </c>
      <c r="B302" s="4" t="s">
        <v>276</v>
      </c>
      <c r="D302" s="4" t="s">
        <v>15</v>
      </c>
      <c r="F302" s="1">
        <v>2870871</v>
      </c>
      <c r="G302" s="1">
        <v>0</v>
      </c>
      <c r="H302" s="1">
        <v>0</v>
      </c>
      <c r="I302" s="1">
        <v>0</v>
      </c>
      <c r="J302" s="1">
        <v>388564</v>
      </c>
      <c r="K302" s="1">
        <v>0</v>
      </c>
      <c r="L302" s="1">
        <v>927146</v>
      </c>
      <c r="M302" s="1">
        <v>0</v>
      </c>
      <c r="N302" s="1">
        <v>269038</v>
      </c>
      <c r="O302" s="1">
        <v>0</v>
      </c>
      <c r="P302" s="1">
        <v>60884</v>
      </c>
      <c r="Q302" s="1">
        <v>0</v>
      </c>
      <c r="R302" s="1">
        <v>112067</v>
      </c>
      <c r="S302" s="1">
        <v>0</v>
      </c>
      <c r="T302" s="1">
        <v>31305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F302" s="4">
        <f t="shared" si="10"/>
        <v>4659875</v>
      </c>
      <c r="DF302" s="4">
        <v>0</v>
      </c>
    </row>
    <row r="303" spans="1:110" s="4" customFormat="1">
      <c r="A303" s="4">
        <v>37</v>
      </c>
      <c r="B303" s="4" t="s">
        <v>277</v>
      </c>
      <c r="D303" s="4" t="s">
        <v>69</v>
      </c>
      <c r="F303" s="1">
        <v>310199.83</v>
      </c>
      <c r="G303" s="1"/>
      <c r="H303" s="1">
        <v>98605.21</v>
      </c>
      <c r="I303" s="1"/>
      <c r="J303" s="1">
        <v>140426.37</v>
      </c>
      <c r="K303" s="1"/>
      <c r="L303" s="1">
        <v>36753.32</v>
      </c>
      <c r="M303" s="1"/>
      <c r="N303" s="1">
        <v>0</v>
      </c>
      <c r="O303" s="1"/>
      <c r="P303" s="1">
        <v>20323.63</v>
      </c>
      <c r="Q303" s="1"/>
      <c r="R303" s="1">
        <v>6518.55</v>
      </c>
      <c r="S303" s="1"/>
      <c r="T303" s="1">
        <v>3976.25</v>
      </c>
      <c r="U303" s="1"/>
      <c r="V303" s="1">
        <v>0</v>
      </c>
      <c r="W303" s="1"/>
      <c r="X303" s="1">
        <v>0</v>
      </c>
      <c r="Y303" s="1"/>
      <c r="Z303" s="1">
        <v>0</v>
      </c>
      <c r="AA303" s="1"/>
      <c r="AB303" s="1">
        <v>0</v>
      </c>
      <c r="AC303" s="1"/>
      <c r="AD303" s="1">
        <v>0</v>
      </c>
      <c r="AF303" s="4">
        <f t="shared" si="10"/>
        <v>616803.16</v>
      </c>
    </row>
    <row r="304" spans="1:110" s="4" customFormat="1">
      <c r="A304" s="4">
        <v>257</v>
      </c>
      <c r="B304" s="4" t="s">
        <v>615</v>
      </c>
      <c r="D304" s="4" t="s">
        <v>65</v>
      </c>
      <c r="F304" s="1">
        <v>712715</v>
      </c>
      <c r="G304" s="1">
        <v>0</v>
      </c>
      <c r="H304" s="1">
        <v>172902</v>
      </c>
      <c r="I304" s="1">
        <v>0</v>
      </c>
      <c r="J304" s="1">
        <v>226155</v>
      </c>
      <c r="K304" s="1">
        <v>0</v>
      </c>
      <c r="L304" s="1">
        <v>145206</v>
      </c>
      <c r="M304" s="1">
        <v>0</v>
      </c>
      <c r="N304" s="1">
        <v>0</v>
      </c>
      <c r="O304" s="1">
        <v>0</v>
      </c>
      <c r="P304" s="1">
        <v>19289</v>
      </c>
      <c r="Q304" s="1">
        <v>0</v>
      </c>
      <c r="R304" s="1">
        <v>12701</v>
      </c>
      <c r="S304" s="1">
        <v>0</v>
      </c>
      <c r="T304" s="1">
        <v>45205</v>
      </c>
      <c r="U304" s="1">
        <v>0</v>
      </c>
      <c r="V304" s="1">
        <v>40015</v>
      </c>
      <c r="W304" s="1">
        <v>0</v>
      </c>
      <c r="X304" s="1">
        <v>40231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F304" s="4">
        <f t="shared" si="10"/>
        <v>1414419</v>
      </c>
    </row>
    <row r="305" spans="1:32" s="4" customFormat="1">
      <c r="A305" s="4">
        <v>61</v>
      </c>
      <c r="B305" s="4" t="s">
        <v>278</v>
      </c>
      <c r="D305" s="4" t="s">
        <v>81</v>
      </c>
      <c r="F305" s="1">
        <v>123005.31</v>
      </c>
      <c r="G305" s="1"/>
      <c r="H305" s="1">
        <v>31651.52</v>
      </c>
      <c r="I305" s="1"/>
      <c r="J305" s="1">
        <v>55783.37</v>
      </c>
      <c r="K305" s="1"/>
      <c r="L305" s="1">
        <v>20543.68</v>
      </c>
      <c r="M305" s="1"/>
      <c r="N305" s="1">
        <v>0</v>
      </c>
      <c r="O305" s="1"/>
      <c r="P305" s="1">
        <v>6823.88</v>
      </c>
      <c r="Q305" s="1"/>
      <c r="R305" s="1">
        <v>814</v>
      </c>
      <c r="S305" s="1"/>
      <c r="T305" s="1">
        <v>9820.0300000000007</v>
      </c>
      <c r="U305" s="1"/>
      <c r="V305" s="1">
        <v>0</v>
      </c>
      <c r="W305" s="1"/>
      <c r="X305" s="1">
        <v>0</v>
      </c>
      <c r="Y305" s="1"/>
      <c r="Z305" s="1">
        <v>0</v>
      </c>
      <c r="AA305" s="1"/>
      <c r="AB305" s="1">
        <v>0</v>
      </c>
      <c r="AC305" s="1"/>
      <c r="AD305" s="1">
        <v>0</v>
      </c>
      <c r="AF305" s="4">
        <f t="shared" si="10"/>
        <v>248441.78999999998</v>
      </c>
    </row>
    <row r="306" spans="1:32" s="4" customFormat="1">
      <c r="A306" s="4">
        <v>65</v>
      </c>
      <c r="B306" s="4" t="s">
        <v>320</v>
      </c>
      <c r="D306" s="4" t="s">
        <v>70</v>
      </c>
      <c r="F306" s="1">
        <v>94051.93</v>
      </c>
      <c r="G306" s="1"/>
      <c r="H306" s="1">
        <v>14521.27</v>
      </c>
      <c r="I306" s="1"/>
      <c r="J306" s="1">
        <v>19381.46</v>
      </c>
      <c r="K306" s="1"/>
      <c r="L306" s="1">
        <v>16950.55</v>
      </c>
      <c r="M306" s="1"/>
      <c r="N306" s="1">
        <v>0</v>
      </c>
      <c r="O306" s="1"/>
      <c r="P306" s="1">
        <v>3119.87</v>
      </c>
      <c r="Q306" s="1"/>
      <c r="R306" s="1">
        <v>630</v>
      </c>
      <c r="S306" s="1"/>
      <c r="T306" s="1">
        <v>787.24</v>
      </c>
      <c r="U306" s="1"/>
      <c r="V306" s="1">
        <v>0</v>
      </c>
      <c r="W306" s="1"/>
      <c r="X306" s="1">
        <v>0</v>
      </c>
      <c r="Y306" s="1"/>
      <c r="Z306" s="1">
        <v>0</v>
      </c>
      <c r="AA306" s="1"/>
      <c r="AB306" s="1">
        <v>0</v>
      </c>
      <c r="AC306" s="1"/>
      <c r="AD306" s="1">
        <v>0</v>
      </c>
      <c r="AF306" s="4">
        <f t="shared" si="10"/>
        <v>149442.31999999998</v>
      </c>
    </row>
    <row r="307" spans="1:32" s="4" customFormat="1">
      <c r="A307" s="4">
        <v>81</v>
      </c>
      <c r="B307" s="4" t="s">
        <v>279</v>
      </c>
      <c r="D307" s="4" t="s">
        <v>92</v>
      </c>
      <c r="F307" s="1">
        <v>3428167</v>
      </c>
      <c r="G307" s="1">
        <v>0</v>
      </c>
      <c r="H307" s="1">
        <v>0</v>
      </c>
      <c r="I307" s="1">
        <v>0</v>
      </c>
      <c r="J307" s="1">
        <v>2030005</v>
      </c>
      <c r="K307" s="1">
        <v>0</v>
      </c>
      <c r="L307" s="1">
        <v>0</v>
      </c>
      <c r="M307" s="1">
        <v>0</v>
      </c>
      <c r="N307" s="1">
        <v>718718</v>
      </c>
      <c r="O307" s="1">
        <v>0</v>
      </c>
      <c r="P307" s="1">
        <v>0</v>
      </c>
      <c r="Q307" s="1">
        <v>0</v>
      </c>
      <c r="R307" s="1">
        <f>902607+1381822</f>
        <v>2284429</v>
      </c>
      <c r="S307" s="1">
        <v>0</v>
      </c>
      <c r="T307" s="1">
        <v>63703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31483</v>
      </c>
      <c r="AA307" s="1">
        <v>0</v>
      </c>
      <c r="AB307" s="1">
        <v>0</v>
      </c>
      <c r="AC307" s="1">
        <v>0</v>
      </c>
      <c r="AD307" s="1">
        <v>0</v>
      </c>
      <c r="AF307" s="4">
        <f t="shared" si="10"/>
        <v>8556505</v>
      </c>
    </row>
    <row r="308" spans="1:32" s="4" customFormat="1">
      <c r="A308" s="4">
        <v>172</v>
      </c>
      <c r="B308" s="4" t="s">
        <v>470</v>
      </c>
      <c r="D308" s="4" t="s">
        <v>55</v>
      </c>
      <c r="F308" s="1">
        <v>871174.01</v>
      </c>
      <c r="G308" s="1"/>
      <c r="H308" s="1">
        <v>195033.82</v>
      </c>
      <c r="I308" s="1"/>
      <c r="J308" s="1">
        <v>169002.54</v>
      </c>
      <c r="K308" s="1"/>
      <c r="L308" s="1">
        <v>216093.26</v>
      </c>
      <c r="M308" s="1"/>
      <c r="N308" s="1">
        <v>0</v>
      </c>
      <c r="O308" s="1"/>
      <c r="P308" s="1">
        <v>25287.06</v>
      </c>
      <c r="Q308" s="1"/>
      <c r="R308" s="1">
        <v>5060.37</v>
      </c>
      <c r="S308" s="1"/>
      <c r="T308" s="1">
        <v>120872.93</v>
      </c>
      <c r="U308" s="1"/>
      <c r="V308" s="1">
        <v>0</v>
      </c>
      <c r="W308" s="1"/>
      <c r="X308" s="1">
        <v>0</v>
      </c>
      <c r="Y308" s="1"/>
      <c r="Z308" s="1">
        <v>0</v>
      </c>
      <c r="AA308" s="1"/>
      <c r="AB308" s="1">
        <v>0</v>
      </c>
      <c r="AC308" s="1"/>
      <c r="AD308" s="1">
        <v>0</v>
      </c>
      <c r="AF308" s="4">
        <f t="shared" si="10"/>
        <v>1602523.9900000002</v>
      </c>
    </row>
    <row r="309" spans="1:32" s="4" customFormat="1"/>
    <row r="310" spans="1:32" s="4" customFormat="1"/>
    <row r="311" spans="1:32" s="4" customFormat="1"/>
    <row r="312" spans="1:32" s="4" customFormat="1">
      <c r="AF312" s="8"/>
    </row>
    <row r="313" spans="1:32" s="4" customFormat="1">
      <c r="AF313" s="8"/>
    </row>
    <row r="314" spans="1:32" s="4" customFormat="1">
      <c r="AF314" s="8"/>
    </row>
    <row r="315" spans="1:32" s="4" customFormat="1">
      <c r="AF315" s="8"/>
    </row>
    <row r="316" spans="1:32" s="4" customFormat="1">
      <c r="P316" s="8"/>
    </row>
    <row r="317" spans="1:32" s="54" customFormat="1" ht="12.75"/>
    <row r="318" spans="1:32" s="54" customFormat="1" ht="12.75"/>
    <row r="319" spans="1:32" s="54" customFormat="1" ht="12.75"/>
    <row r="320" spans="1:32" s="54" customFormat="1" ht="12.75"/>
    <row r="321" s="54" customFormat="1" ht="12.75"/>
    <row r="322" s="54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48" spans="6:6">
      <c r="F348" s="3" t="s">
        <v>566</v>
      </c>
    </row>
  </sheetData>
  <sortState ref="A18:AF268">
    <sortCondition ref="B18:B268"/>
  </sortState>
  <phoneticPr fontId="2" type="noConversion"/>
  <printOptions horizontalCentered="1"/>
  <pageMargins left="0.75" right="0.75" top="0.5" bottom="0.5" header="0" footer="0.3"/>
  <pageSetup scale="81" firstPageNumber="32" fitToWidth="2" fitToHeight="3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2" manualBreakCount="2">
    <brk id="163" min="1" max="31" man="1"/>
    <brk id="240" min="1" max="31" man="1"/>
  </rowBreaks>
  <colBreaks count="1" manualBreakCount="1">
    <brk id="14" max="2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79"/>
  <sheetViews>
    <sheetView workbookViewId="0">
      <selection activeCell="I29" sqref="I29"/>
    </sheetView>
  </sheetViews>
  <sheetFormatPr defaultColWidth="8.85546875" defaultRowHeight="12"/>
  <cols>
    <col min="1" max="1" width="30" style="17" customWidth="1"/>
    <col min="2" max="2" width="2.140625" style="17" customWidth="1"/>
    <col min="3" max="3" width="8.85546875" style="17" customWidth="1"/>
    <col min="4" max="4" width="2" style="17" customWidth="1"/>
    <col min="5" max="5" width="9" style="17" bestFit="1" customWidth="1"/>
    <col min="6" max="6" width="2" style="17" customWidth="1"/>
    <col min="7" max="7" width="9" style="17" bestFit="1" customWidth="1"/>
    <col min="8" max="8" width="2.140625" style="17" customWidth="1"/>
    <col min="9" max="9" width="9.7109375" style="17" bestFit="1" customWidth="1"/>
    <col min="10" max="10" width="2.42578125" style="17" customWidth="1"/>
    <col min="11" max="11" width="9" style="17" bestFit="1" customWidth="1"/>
    <col min="12" max="12" width="2.5703125" style="17" customWidth="1"/>
    <col min="13" max="13" width="8.85546875" style="17"/>
    <col min="14" max="14" width="2.7109375" style="17" customWidth="1"/>
    <col min="15" max="15" width="8.85546875" style="17"/>
    <col min="16" max="16" width="2.7109375" style="17" customWidth="1"/>
    <col min="17" max="17" width="9" style="17" bestFit="1" customWidth="1"/>
    <col min="18" max="18" width="2.7109375" style="17" customWidth="1"/>
    <col min="19" max="19" width="9" style="17" bestFit="1" customWidth="1"/>
    <col min="20" max="20" width="2.28515625" style="17" customWidth="1"/>
    <col min="21" max="21" width="9.7109375" style="17" customWidth="1"/>
    <col min="22" max="22" width="2.28515625" style="17" customWidth="1"/>
    <col min="23" max="23" width="9" style="17" bestFit="1" customWidth="1"/>
    <col min="24" max="24" width="2.7109375" style="17" customWidth="1"/>
    <col min="25" max="25" width="9" style="17" bestFit="1" customWidth="1"/>
    <col min="26" max="26" width="2.140625" style="17" customWidth="1"/>
    <col min="27" max="27" width="10.5703125" style="17" customWidth="1"/>
    <col min="28" max="28" width="2" style="17" customWidth="1"/>
    <col min="29" max="29" width="11" style="17" customWidth="1"/>
    <col min="30" max="16384" width="8.85546875" style="17"/>
  </cols>
  <sheetData>
    <row r="1" spans="1:29">
      <c r="A1" s="77" t="s">
        <v>528</v>
      </c>
      <c r="B1" s="77"/>
      <c r="C1" s="77"/>
      <c r="D1" s="77"/>
      <c r="E1" s="77"/>
      <c r="F1" s="77"/>
      <c r="G1" s="77"/>
    </row>
    <row r="2" spans="1:29">
      <c r="A2" s="18" t="s">
        <v>636</v>
      </c>
    </row>
    <row r="3" spans="1:29" ht="12.75">
      <c r="A3" s="18"/>
      <c r="G3" s="19"/>
    </row>
    <row r="4" spans="1:29" ht="12.75">
      <c r="A4" s="20" t="s">
        <v>529</v>
      </c>
      <c r="G4" s="19"/>
    </row>
    <row r="5" spans="1:29">
      <c r="A5" s="21"/>
    </row>
    <row r="6" spans="1:29" s="18" customFormat="1">
      <c r="A6" s="22" t="s">
        <v>7</v>
      </c>
      <c r="B6" s="22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9">
      <c r="E7" s="78" t="s">
        <v>32</v>
      </c>
      <c r="F7" s="78"/>
      <c r="G7" s="78"/>
      <c r="H7" s="78"/>
      <c r="I7" s="25"/>
      <c r="K7" s="78" t="s">
        <v>530</v>
      </c>
      <c r="L7" s="78"/>
      <c r="M7" s="78"/>
      <c r="N7" s="26"/>
      <c r="O7" s="26"/>
      <c r="P7" s="25"/>
      <c r="Q7" s="25"/>
      <c r="S7" s="78" t="s">
        <v>411</v>
      </c>
      <c r="T7" s="78"/>
      <c r="U7" s="78"/>
      <c r="V7" s="78"/>
      <c r="W7" s="78"/>
      <c r="X7" s="25"/>
      <c r="Y7" s="25"/>
      <c r="AA7" s="17" t="s">
        <v>531</v>
      </c>
      <c r="AC7" s="17" t="s">
        <v>531</v>
      </c>
    </row>
    <row r="8" spans="1:29">
      <c r="E8" s="28" t="s">
        <v>532</v>
      </c>
      <c r="F8" s="28"/>
      <c r="G8" s="28" t="s">
        <v>30</v>
      </c>
      <c r="H8" s="28"/>
      <c r="I8" s="27" t="s">
        <v>28</v>
      </c>
      <c r="K8" s="28" t="s">
        <v>532</v>
      </c>
      <c r="L8" s="28"/>
      <c r="M8" s="29" t="s">
        <v>533</v>
      </c>
      <c r="N8" s="29"/>
      <c r="O8" s="29"/>
      <c r="P8" s="27"/>
      <c r="Q8" s="27" t="s">
        <v>28</v>
      </c>
      <c r="S8" s="27" t="s">
        <v>534</v>
      </c>
      <c r="T8" s="27"/>
      <c r="U8" s="27"/>
      <c r="V8" s="27"/>
      <c r="W8" s="27"/>
      <c r="X8" s="27"/>
      <c r="Y8" s="27" t="s">
        <v>28</v>
      </c>
      <c r="AA8" s="17" t="s">
        <v>535</v>
      </c>
      <c r="AC8" s="17" t="s">
        <v>535</v>
      </c>
    </row>
    <row r="9" spans="1:29">
      <c r="A9" s="26" t="s">
        <v>8</v>
      </c>
      <c r="B9" s="28"/>
      <c r="C9" s="26" t="s">
        <v>6</v>
      </c>
      <c r="D9" s="28"/>
      <c r="E9" s="26" t="s">
        <v>32</v>
      </c>
      <c r="F9" s="27"/>
      <c r="G9" s="26" t="s">
        <v>32</v>
      </c>
      <c r="H9" s="27"/>
      <c r="I9" s="26" t="s">
        <v>32</v>
      </c>
      <c r="J9" s="23"/>
      <c r="K9" s="26" t="s">
        <v>536</v>
      </c>
      <c r="L9" s="27"/>
      <c r="M9" s="26" t="s">
        <v>537</v>
      </c>
      <c r="N9" s="27"/>
      <c r="O9" s="26" t="s">
        <v>538</v>
      </c>
      <c r="P9" s="27"/>
      <c r="Q9" s="26" t="s">
        <v>536</v>
      </c>
      <c r="R9" s="23"/>
      <c r="S9" s="26" t="s">
        <v>539</v>
      </c>
      <c r="T9" s="27"/>
      <c r="U9" s="26" t="s">
        <v>540</v>
      </c>
      <c r="V9" s="27"/>
      <c r="W9" s="26" t="s">
        <v>413</v>
      </c>
      <c r="X9" s="27"/>
      <c r="Y9" s="26" t="s">
        <v>411</v>
      </c>
      <c r="AA9" s="17" t="s">
        <v>541</v>
      </c>
      <c r="AC9" s="17" t="s">
        <v>541</v>
      </c>
    </row>
    <row r="10" spans="1:29">
      <c r="K10" s="27"/>
      <c r="L10" s="27"/>
      <c r="M10" s="27"/>
      <c r="N10" s="27"/>
      <c r="O10" s="27"/>
      <c r="P10" s="27"/>
      <c r="Q10" s="27"/>
      <c r="S10" s="27"/>
      <c r="T10" s="27"/>
      <c r="U10" s="27"/>
      <c r="V10" s="27"/>
      <c r="W10" s="27"/>
      <c r="X10" s="27"/>
      <c r="Y10" s="27"/>
    </row>
    <row r="11" spans="1:29" s="33" customFormat="1">
      <c r="A11" s="2" t="s">
        <v>353</v>
      </c>
      <c r="B11" s="2"/>
      <c r="C11" s="2" t="s">
        <v>40</v>
      </c>
      <c r="D11" s="30"/>
      <c r="E11" s="33">
        <f t="shared" ref="E11:E21" si="0">+I11-G11</f>
        <v>0</v>
      </c>
      <c r="F11" s="32"/>
      <c r="G11" s="32">
        <v>0</v>
      </c>
      <c r="H11" s="32"/>
      <c r="I11" s="32">
        <v>0</v>
      </c>
      <c r="K11" s="33">
        <f>+Q11-M11-O11</f>
        <v>0</v>
      </c>
      <c r="M11" s="33">
        <v>0</v>
      </c>
      <c r="O11" s="33">
        <v>0</v>
      </c>
      <c r="Q11" s="33">
        <v>0</v>
      </c>
      <c r="S11" s="33">
        <v>0</v>
      </c>
      <c r="U11" s="33">
        <f>Y11-W11-S11</f>
        <v>0</v>
      </c>
      <c r="W11" s="33">
        <v>0</v>
      </c>
      <c r="Y11" s="33">
        <v>0</v>
      </c>
      <c r="AA11" s="17">
        <f>+H11-P11-X11</f>
        <v>0</v>
      </c>
      <c r="AC11" s="33">
        <f>+D11+F11+-J11-L11-R11-T11-V11-N11</f>
        <v>0</v>
      </c>
    </row>
    <row r="12" spans="1:29">
      <c r="A12" s="5" t="s">
        <v>71</v>
      </c>
      <c r="B12" s="5"/>
      <c r="C12" s="6" t="s">
        <v>41</v>
      </c>
      <c r="D12" s="31"/>
      <c r="E12" s="17">
        <f t="shared" si="0"/>
        <v>0</v>
      </c>
      <c r="F12" s="33"/>
      <c r="G12" s="33"/>
      <c r="H12" s="33"/>
      <c r="I12" s="33"/>
      <c r="K12" s="17">
        <f>+Q12-M12-O12</f>
        <v>0</v>
      </c>
      <c r="U12" s="17">
        <f>Y12-W12-S12</f>
        <v>0</v>
      </c>
      <c r="AA12" s="17">
        <f t="shared" ref="AA12:AA75" si="1">+H12-P12-X12</f>
        <v>0</v>
      </c>
      <c r="AB12" s="33"/>
      <c r="AC12" s="33">
        <f t="shared" ref="AC12:AC75" si="2">+D12+F12+-J12-L12-R12-T12-V12-N12</f>
        <v>0</v>
      </c>
    </row>
    <row r="13" spans="1:29">
      <c r="A13" s="5" t="s">
        <v>435</v>
      </c>
      <c r="B13" s="5"/>
      <c r="C13" s="6" t="s">
        <v>97</v>
      </c>
      <c r="D13" s="30"/>
      <c r="E13" s="17">
        <f t="shared" si="0"/>
        <v>0</v>
      </c>
      <c r="K13" s="17">
        <f t="shared" ref="K13:K57" si="3">+Q13-M13-O13</f>
        <v>0</v>
      </c>
      <c r="U13" s="17">
        <f t="shared" ref="U13:U57" si="4">Y13-W13-S13</f>
        <v>0</v>
      </c>
      <c r="AA13" s="17">
        <f t="shared" si="1"/>
        <v>0</v>
      </c>
      <c r="AB13" s="33"/>
      <c r="AC13" s="33">
        <f t="shared" si="2"/>
        <v>0</v>
      </c>
    </row>
    <row r="14" spans="1:29">
      <c r="A14" s="6" t="s">
        <v>76</v>
      </c>
      <c r="B14" s="6"/>
      <c r="C14" s="6" t="s">
        <v>57</v>
      </c>
      <c r="D14" s="30"/>
      <c r="E14" s="17">
        <f t="shared" si="0"/>
        <v>0</v>
      </c>
      <c r="K14" s="17">
        <f t="shared" si="3"/>
        <v>0</v>
      </c>
      <c r="U14" s="17">
        <f t="shared" si="4"/>
        <v>0</v>
      </c>
      <c r="AA14" s="17">
        <f t="shared" si="1"/>
        <v>0</v>
      </c>
      <c r="AB14" s="33"/>
      <c r="AC14" s="33">
        <f t="shared" si="2"/>
        <v>0</v>
      </c>
    </row>
    <row r="15" spans="1:29">
      <c r="A15" s="12" t="s">
        <v>77</v>
      </c>
      <c r="B15" s="12"/>
      <c r="C15" s="12" t="s">
        <v>78</v>
      </c>
      <c r="D15" s="30"/>
      <c r="E15" s="17">
        <f t="shared" si="0"/>
        <v>0</v>
      </c>
      <c r="K15" s="17">
        <f t="shared" si="3"/>
        <v>0</v>
      </c>
      <c r="U15" s="17">
        <f t="shared" si="4"/>
        <v>0</v>
      </c>
      <c r="AA15" s="17">
        <f t="shared" si="1"/>
        <v>0</v>
      </c>
      <c r="AB15" s="33"/>
      <c r="AC15" s="33">
        <f t="shared" si="2"/>
        <v>0</v>
      </c>
    </row>
    <row r="16" spans="1:29">
      <c r="A16" s="5" t="s">
        <v>354</v>
      </c>
      <c r="B16" s="5"/>
      <c r="C16" s="6" t="s">
        <v>42</v>
      </c>
      <c r="D16" s="30"/>
      <c r="E16" s="17">
        <f t="shared" si="0"/>
        <v>0</v>
      </c>
      <c r="K16" s="17">
        <f t="shared" si="3"/>
        <v>0</v>
      </c>
      <c r="U16" s="17">
        <f t="shared" si="4"/>
        <v>0</v>
      </c>
      <c r="AA16" s="17">
        <f t="shared" si="1"/>
        <v>0</v>
      </c>
      <c r="AB16" s="33"/>
      <c r="AC16" s="33">
        <f t="shared" si="2"/>
        <v>0</v>
      </c>
    </row>
    <row r="17" spans="1:31">
      <c r="A17" s="6" t="s">
        <v>434</v>
      </c>
      <c r="B17" s="6"/>
      <c r="C17" s="6" t="s">
        <v>22</v>
      </c>
      <c r="D17" s="30"/>
      <c r="E17" s="17">
        <f t="shared" si="0"/>
        <v>0</v>
      </c>
      <c r="K17" s="17">
        <f t="shared" si="3"/>
        <v>0</v>
      </c>
      <c r="U17" s="17">
        <f t="shared" si="4"/>
        <v>0</v>
      </c>
      <c r="AA17" s="17">
        <f t="shared" si="1"/>
        <v>0</v>
      </c>
      <c r="AB17" s="33"/>
      <c r="AC17" s="33">
        <f t="shared" si="2"/>
        <v>0</v>
      </c>
    </row>
    <row r="18" spans="1:31">
      <c r="A18" s="5" t="s">
        <v>355</v>
      </c>
      <c r="B18" s="5"/>
      <c r="C18" s="6" t="s">
        <v>43</v>
      </c>
      <c r="D18" s="30"/>
      <c r="E18" s="17">
        <f t="shared" si="0"/>
        <v>0</v>
      </c>
      <c r="K18" s="17">
        <f t="shared" si="3"/>
        <v>0</v>
      </c>
      <c r="U18" s="17">
        <f t="shared" si="4"/>
        <v>0</v>
      </c>
      <c r="AA18" s="17">
        <f t="shared" si="1"/>
        <v>0</v>
      </c>
      <c r="AB18" s="33"/>
      <c r="AC18" s="33">
        <f t="shared" si="2"/>
        <v>0</v>
      </c>
    </row>
    <row r="19" spans="1:31">
      <c r="A19" s="5" t="s">
        <v>356</v>
      </c>
      <c r="B19" s="5"/>
      <c r="C19" s="6" t="s">
        <v>44</v>
      </c>
      <c r="D19" s="30"/>
      <c r="E19" s="17">
        <f t="shared" si="0"/>
        <v>0</v>
      </c>
      <c r="K19" s="17">
        <f t="shared" si="3"/>
        <v>0</v>
      </c>
      <c r="U19" s="17">
        <f t="shared" si="4"/>
        <v>0</v>
      </c>
      <c r="AA19" s="17">
        <f t="shared" si="1"/>
        <v>0</v>
      </c>
      <c r="AB19" s="33"/>
      <c r="AC19" s="33">
        <f t="shared" si="2"/>
        <v>0</v>
      </c>
    </row>
    <row r="20" spans="1:31">
      <c r="A20" s="5" t="s">
        <v>84</v>
      </c>
      <c r="B20" s="5"/>
      <c r="C20" s="6" t="s">
        <v>57</v>
      </c>
      <c r="D20" s="30"/>
      <c r="E20" s="17">
        <f t="shared" si="0"/>
        <v>0</v>
      </c>
      <c r="K20" s="17">
        <f>+Q20-M20-O20</f>
        <v>0</v>
      </c>
      <c r="U20" s="17">
        <f>Y20-W20-S20</f>
        <v>0</v>
      </c>
      <c r="AA20" s="17">
        <f t="shared" si="1"/>
        <v>0</v>
      </c>
      <c r="AB20" s="33"/>
      <c r="AC20" s="33">
        <f t="shared" si="2"/>
        <v>0</v>
      </c>
    </row>
    <row r="21" spans="1:31">
      <c r="A21" s="5" t="s">
        <v>357</v>
      </c>
      <c r="B21" s="6"/>
      <c r="C21" s="6" t="s">
        <v>22</v>
      </c>
      <c r="D21" s="30"/>
      <c r="E21" s="17">
        <f t="shared" si="0"/>
        <v>0</v>
      </c>
      <c r="K21" s="17">
        <f t="shared" si="3"/>
        <v>0</v>
      </c>
      <c r="U21" s="17">
        <f t="shared" si="4"/>
        <v>0</v>
      </c>
      <c r="AA21" s="17">
        <f t="shared" si="1"/>
        <v>0</v>
      </c>
      <c r="AB21" s="33"/>
      <c r="AC21" s="33">
        <f t="shared" si="2"/>
        <v>0</v>
      </c>
    </row>
    <row r="22" spans="1:31">
      <c r="A22" s="12" t="s">
        <v>21</v>
      </c>
      <c r="B22" s="12"/>
      <c r="C22" s="12" t="s">
        <v>13</v>
      </c>
      <c r="D22" s="30"/>
      <c r="E22" s="17">
        <v>0</v>
      </c>
      <c r="K22" s="17">
        <v>0</v>
      </c>
      <c r="U22" s="17">
        <v>0</v>
      </c>
      <c r="AA22" s="17">
        <f t="shared" si="1"/>
        <v>0</v>
      </c>
      <c r="AB22" s="33"/>
      <c r="AC22" s="33">
        <f t="shared" si="2"/>
        <v>0</v>
      </c>
    </row>
    <row r="23" spans="1:31">
      <c r="A23" s="5" t="s">
        <v>358</v>
      </c>
      <c r="B23" s="6"/>
      <c r="C23" s="6" t="s">
        <v>13</v>
      </c>
      <c r="D23" s="30"/>
      <c r="E23" s="17">
        <f t="shared" ref="E23:E54" si="5">+I23-G23</f>
        <v>0</v>
      </c>
      <c r="K23" s="17">
        <f t="shared" si="3"/>
        <v>0</v>
      </c>
      <c r="U23" s="17">
        <f t="shared" si="4"/>
        <v>0</v>
      </c>
      <c r="AA23" s="17">
        <f t="shared" si="1"/>
        <v>0</v>
      </c>
      <c r="AB23" s="33"/>
      <c r="AC23" s="33">
        <f t="shared" si="2"/>
        <v>0</v>
      </c>
    </row>
    <row r="24" spans="1:31">
      <c r="A24" s="5" t="s">
        <v>88</v>
      </c>
      <c r="B24" s="6"/>
      <c r="C24" s="6" t="s">
        <v>89</v>
      </c>
      <c r="D24" s="30"/>
      <c r="E24" s="17">
        <f t="shared" si="5"/>
        <v>0</v>
      </c>
      <c r="K24" s="17">
        <f>+Q24-M24-O24</f>
        <v>0</v>
      </c>
      <c r="U24" s="17">
        <f>Y24-W24-S24</f>
        <v>0</v>
      </c>
      <c r="AA24" s="17">
        <f t="shared" si="1"/>
        <v>0</v>
      </c>
      <c r="AB24" s="33"/>
      <c r="AC24" s="33">
        <f t="shared" si="2"/>
        <v>0</v>
      </c>
    </row>
    <row r="25" spans="1:31">
      <c r="A25" s="5" t="s">
        <v>359</v>
      </c>
      <c r="B25" s="6"/>
      <c r="C25" s="6" t="s">
        <v>46</v>
      </c>
      <c r="D25" s="30"/>
      <c r="E25" s="17">
        <f t="shared" si="5"/>
        <v>0</v>
      </c>
      <c r="K25" s="17">
        <f t="shared" si="3"/>
        <v>0</v>
      </c>
      <c r="U25" s="17">
        <f t="shared" si="4"/>
        <v>0</v>
      </c>
      <c r="AA25" s="17">
        <f t="shared" si="1"/>
        <v>0</v>
      </c>
      <c r="AB25" s="33"/>
      <c r="AC25" s="33">
        <f t="shared" si="2"/>
        <v>0</v>
      </c>
    </row>
    <row r="26" spans="1:31">
      <c r="A26" s="5" t="s">
        <v>100</v>
      </c>
      <c r="B26" s="6"/>
      <c r="C26" s="6" t="s">
        <v>56</v>
      </c>
      <c r="D26" s="30"/>
      <c r="E26" s="17">
        <f t="shared" si="5"/>
        <v>0</v>
      </c>
      <c r="K26" s="17">
        <f>+Q26-M26-O26</f>
        <v>0</v>
      </c>
      <c r="U26" s="17">
        <f>Y26-W26-S26</f>
        <v>0</v>
      </c>
      <c r="AA26" s="17">
        <f t="shared" si="1"/>
        <v>0</v>
      </c>
      <c r="AB26" s="33"/>
      <c r="AC26" s="33">
        <f t="shared" si="2"/>
        <v>0</v>
      </c>
    </row>
    <row r="27" spans="1:31">
      <c r="A27" s="5" t="s">
        <v>33</v>
      </c>
      <c r="B27" s="6"/>
      <c r="C27" s="6" t="s">
        <v>47</v>
      </c>
      <c r="D27" s="30"/>
      <c r="E27" s="17">
        <f t="shared" si="5"/>
        <v>0</v>
      </c>
      <c r="K27" s="17">
        <f t="shared" si="3"/>
        <v>0</v>
      </c>
      <c r="U27" s="17">
        <f t="shared" si="4"/>
        <v>0</v>
      </c>
      <c r="AA27" s="17">
        <f t="shared" si="1"/>
        <v>0</v>
      </c>
      <c r="AB27" s="33"/>
      <c r="AC27" s="33">
        <f t="shared" si="2"/>
        <v>0</v>
      </c>
      <c r="AE27" s="17" t="s">
        <v>542</v>
      </c>
    </row>
    <row r="28" spans="1:31">
      <c r="A28" s="12" t="s">
        <v>109</v>
      </c>
      <c r="B28" s="12"/>
      <c r="C28" s="12" t="s">
        <v>110</v>
      </c>
      <c r="D28" s="30"/>
      <c r="E28" s="17">
        <f t="shared" si="5"/>
        <v>0</v>
      </c>
      <c r="K28" s="17">
        <f>+Q28-M28-O28</f>
        <v>0</v>
      </c>
      <c r="U28" s="17">
        <f>Y28-W28-S28</f>
        <v>0</v>
      </c>
      <c r="AA28" s="17">
        <f t="shared" si="1"/>
        <v>0</v>
      </c>
      <c r="AB28" s="33"/>
      <c r="AC28" s="33">
        <f t="shared" si="2"/>
        <v>0</v>
      </c>
    </row>
    <row r="29" spans="1:31">
      <c r="A29" s="5" t="s">
        <v>360</v>
      </c>
      <c r="B29" s="6"/>
      <c r="C29" s="6" t="s">
        <v>48</v>
      </c>
      <c r="D29" s="30"/>
      <c r="E29" s="17">
        <f t="shared" si="5"/>
        <v>0</v>
      </c>
      <c r="K29" s="17">
        <f t="shared" si="3"/>
        <v>0</v>
      </c>
      <c r="U29" s="17">
        <f t="shared" si="4"/>
        <v>0</v>
      </c>
      <c r="AA29" s="17">
        <f t="shared" si="1"/>
        <v>0</v>
      </c>
      <c r="AB29" s="33"/>
      <c r="AC29" s="33">
        <f t="shared" si="2"/>
        <v>0</v>
      </c>
    </row>
    <row r="30" spans="1:31">
      <c r="A30" s="5" t="s">
        <v>361</v>
      </c>
      <c r="B30" s="6"/>
      <c r="C30" s="6" t="s">
        <v>49</v>
      </c>
      <c r="D30" s="30"/>
      <c r="E30" s="17">
        <f t="shared" si="5"/>
        <v>0</v>
      </c>
      <c r="K30" s="17">
        <f t="shared" si="3"/>
        <v>0</v>
      </c>
      <c r="U30" s="17">
        <f t="shared" si="4"/>
        <v>0</v>
      </c>
      <c r="AA30" s="17">
        <f t="shared" si="1"/>
        <v>0</v>
      </c>
      <c r="AB30" s="33"/>
      <c r="AC30" s="33">
        <f t="shared" si="2"/>
        <v>0</v>
      </c>
    </row>
    <row r="31" spans="1:31">
      <c r="A31" s="5" t="s">
        <v>362</v>
      </c>
      <c r="B31" s="6"/>
      <c r="C31" s="6" t="s">
        <v>26</v>
      </c>
      <c r="D31" s="30"/>
      <c r="E31" s="17">
        <f t="shared" si="5"/>
        <v>0</v>
      </c>
      <c r="K31" s="17">
        <f t="shared" si="3"/>
        <v>0</v>
      </c>
      <c r="U31" s="17">
        <f t="shared" si="4"/>
        <v>0</v>
      </c>
      <c r="AA31" s="17">
        <f t="shared" si="1"/>
        <v>0</v>
      </c>
      <c r="AB31" s="33"/>
      <c r="AC31" s="33">
        <f t="shared" si="2"/>
        <v>0</v>
      </c>
    </row>
    <row r="32" spans="1:31">
      <c r="A32" s="6" t="s">
        <v>363</v>
      </c>
      <c r="B32" s="6"/>
      <c r="C32" s="6" t="s">
        <v>70</v>
      </c>
      <c r="D32" s="30"/>
      <c r="E32" s="17">
        <f t="shared" si="5"/>
        <v>0</v>
      </c>
      <c r="K32" s="17">
        <f t="shared" si="3"/>
        <v>0</v>
      </c>
      <c r="U32" s="17">
        <f t="shared" si="4"/>
        <v>0</v>
      </c>
      <c r="AA32" s="17">
        <f t="shared" si="1"/>
        <v>0</v>
      </c>
      <c r="AB32" s="33"/>
      <c r="AC32" s="33">
        <f t="shared" si="2"/>
        <v>0</v>
      </c>
    </row>
    <row r="33" spans="1:29">
      <c r="A33" s="5" t="s">
        <v>364</v>
      </c>
      <c r="B33" s="6"/>
      <c r="C33" s="6" t="s">
        <v>52</v>
      </c>
      <c r="D33" s="30"/>
      <c r="E33" s="17">
        <f t="shared" si="5"/>
        <v>0</v>
      </c>
      <c r="K33" s="17">
        <f t="shared" si="3"/>
        <v>0</v>
      </c>
      <c r="U33" s="17">
        <f t="shared" si="4"/>
        <v>0</v>
      </c>
      <c r="AA33" s="17">
        <f t="shared" si="1"/>
        <v>0</v>
      </c>
      <c r="AB33" s="33"/>
      <c r="AC33" s="33">
        <f t="shared" si="2"/>
        <v>0</v>
      </c>
    </row>
    <row r="34" spans="1:29">
      <c r="A34" s="6" t="s">
        <v>366</v>
      </c>
      <c r="B34" s="6"/>
      <c r="C34" s="6" t="s">
        <v>42</v>
      </c>
      <c r="D34" s="30"/>
      <c r="E34" s="17">
        <f t="shared" si="5"/>
        <v>0</v>
      </c>
      <c r="K34" s="17">
        <f t="shared" si="3"/>
        <v>0</v>
      </c>
      <c r="U34" s="17">
        <f t="shared" si="4"/>
        <v>0</v>
      </c>
      <c r="AA34" s="17">
        <f t="shared" si="1"/>
        <v>0</v>
      </c>
      <c r="AB34" s="33"/>
      <c r="AC34" s="33">
        <f t="shared" si="2"/>
        <v>0</v>
      </c>
    </row>
    <row r="35" spans="1:29">
      <c r="A35" s="5" t="s">
        <v>365</v>
      </c>
      <c r="B35" s="6"/>
      <c r="C35" s="6" t="s">
        <v>53</v>
      </c>
      <c r="D35" s="30"/>
      <c r="E35" s="17">
        <f t="shared" si="5"/>
        <v>0</v>
      </c>
      <c r="K35" s="17">
        <f t="shared" si="3"/>
        <v>0</v>
      </c>
      <c r="U35" s="17">
        <f t="shared" si="4"/>
        <v>0</v>
      </c>
      <c r="AA35" s="17">
        <f t="shared" si="1"/>
        <v>0</v>
      </c>
      <c r="AB35" s="33"/>
      <c r="AC35" s="33">
        <f t="shared" si="2"/>
        <v>0</v>
      </c>
    </row>
    <row r="36" spans="1:29">
      <c r="A36" s="5" t="s">
        <v>367</v>
      </c>
      <c r="B36" s="6"/>
      <c r="C36" s="6" t="s">
        <v>54</v>
      </c>
      <c r="D36" s="30"/>
      <c r="E36" s="17">
        <f t="shared" si="5"/>
        <v>0</v>
      </c>
      <c r="K36" s="17">
        <f t="shared" si="3"/>
        <v>0</v>
      </c>
      <c r="U36" s="17">
        <f t="shared" si="4"/>
        <v>0</v>
      </c>
      <c r="AA36" s="17">
        <f t="shared" si="1"/>
        <v>0</v>
      </c>
      <c r="AB36" s="33"/>
      <c r="AC36" s="33">
        <f t="shared" si="2"/>
        <v>0</v>
      </c>
    </row>
    <row r="37" spans="1:29">
      <c r="A37" s="5" t="s">
        <v>368</v>
      </c>
      <c r="B37" s="6"/>
      <c r="C37" s="6" t="s">
        <v>52</v>
      </c>
      <c r="D37" s="30"/>
      <c r="E37" s="17">
        <f t="shared" si="5"/>
        <v>0</v>
      </c>
      <c r="K37" s="17">
        <f t="shared" si="3"/>
        <v>0</v>
      </c>
      <c r="U37" s="17">
        <f t="shared" si="4"/>
        <v>0</v>
      </c>
      <c r="AA37" s="17">
        <f t="shared" si="1"/>
        <v>0</v>
      </c>
      <c r="AB37" s="33"/>
      <c r="AC37" s="33">
        <f t="shared" si="2"/>
        <v>0</v>
      </c>
    </row>
    <row r="38" spans="1:29">
      <c r="A38" s="5" t="s">
        <v>369</v>
      </c>
      <c r="B38" s="6"/>
      <c r="C38" s="6" t="s">
        <v>55</v>
      </c>
      <c r="D38" s="30"/>
      <c r="E38" s="17">
        <f t="shared" si="5"/>
        <v>0</v>
      </c>
      <c r="K38" s="17">
        <f t="shared" si="3"/>
        <v>0</v>
      </c>
      <c r="U38" s="17">
        <f t="shared" si="4"/>
        <v>0</v>
      </c>
      <c r="AA38" s="17">
        <f t="shared" si="1"/>
        <v>0</v>
      </c>
      <c r="AB38" s="33"/>
      <c r="AC38" s="33">
        <f t="shared" si="2"/>
        <v>0</v>
      </c>
    </row>
    <row r="39" spans="1:29">
      <c r="A39" s="5" t="s">
        <v>35</v>
      </c>
      <c r="B39" s="6"/>
      <c r="C39" s="6" t="s">
        <v>26</v>
      </c>
      <c r="D39" s="30"/>
      <c r="E39" s="17">
        <f t="shared" si="5"/>
        <v>0</v>
      </c>
      <c r="K39" s="17">
        <f t="shared" si="3"/>
        <v>0</v>
      </c>
      <c r="U39" s="17">
        <f t="shared" si="4"/>
        <v>0</v>
      </c>
      <c r="AA39" s="17">
        <f t="shared" si="1"/>
        <v>0</v>
      </c>
      <c r="AB39" s="33"/>
      <c r="AC39" s="33">
        <f t="shared" si="2"/>
        <v>0</v>
      </c>
    </row>
    <row r="40" spans="1:29">
      <c r="A40" s="6" t="s">
        <v>375</v>
      </c>
      <c r="B40" s="6"/>
      <c r="C40" s="6" t="s">
        <v>57</v>
      </c>
      <c r="D40" s="30"/>
      <c r="E40" s="17">
        <f t="shared" si="5"/>
        <v>0</v>
      </c>
      <c r="K40" s="17">
        <f t="shared" si="3"/>
        <v>0</v>
      </c>
      <c r="U40" s="17">
        <f t="shared" si="4"/>
        <v>0</v>
      </c>
      <c r="AA40" s="17">
        <f t="shared" si="1"/>
        <v>0</v>
      </c>
      <c r="AB40" s="33"/>
      <c r="AC40" s="33">
        <f t="shared" si="2"/>
        <v>0</v>
      </c>
    </row>
    <row r="41" spans="1:29">
      <c r="A41" s="5" t="s">
        <v>36</v>
      </c>
      <c r="B41" s="6"/>
      <c r="C41" s="6" t="s">
        <v>57</v>
      </c>
      <c r="D41" s="30"/>
      <c r="E41" s="17">
        <f t="shared" si="5"/>
        <v>0</v>
      </c>
      <c r="K41" s="17">
        <f t="shared" si="3"/>
        <v>0</v>
      </c>
      <c r="U41" s="17">
        <f t="shared" si="4"/>
        <v>0</v>
      </c>
      <c r="AA41" s="17">
        <f t="shared" si="1"/>
        <v>0</v>
      </c>
      <c r="AB41" s="33"/>
      <c r="AC41" s="33">
        <f t="shared" si="2"/>
        <v>0</v>
      </c>
    </row>
    <row r="42" spans="1:29">
      <c r="A42" s="5" t="s">
        <v>370</v>
      </c>
      <c r="B42" s="6"/>
      <c r="C42" s="6" t="s">
        <v>58</v>
      </c>
      <c r="D42" s="30"/>
      <c r="E42" s="17">
        <f t="shared" si="5"/>
        <v>0</v>
      </c>
      <c r="K42" s="17">
        <f t="shared" si="3"/>
        <v>0</v>
      </c>
      <c r="U42" s="17">
        <f t="shared" si="4"/>
        <v>0</v>
      </c>
      <c r="AA42" s="17">
        <f t="shared" si="1"/>
        <v>0</v>
      </c>
      <c r="AB42" s="33"/>
      <c r="AC42" s="33">
        <f t="shared" si="2"/>
        <v>0</v>
      </c>
    </row>
    <row r="43" spans="1:29">
      <c r="A43" s="6" t="s">
        <v>164</v>
      </c>
      <c r="B43" s="6"/>
      <c r="C43" s="6" t="s">
        <v>56</v>
      </c>
      <c r="D43" s="30"/>
      <c r="E43" s="17">
        <f t="shared" si="5"/>
        <v>0</v>
      </c>
      <c r="K43" s="17">
        <f>+Q43-M43-O43</f>
        <v>0</v>
      </c>
      <c r="U43" s="17">
        <f>Y43-W43-S43</f>
        <v>0</v>
      </c>
      <c r="AA43" s="17">
        <f t="shared" si="1"/>
        <v>0</v>
      </c>
      <c r="AB43" s="33"/>
      <c r="AC43" s="33">
        <f t="shared" si="2"/>
        <v>0</v>
      </c>
    </row>
    <row r="44" spans="1:29">
      <c r="A44" s="5" t="s">
        <v>37</v>
      </c>
      <c r="B44" s="6"/>
      <c r="C44" s="6" t="s">
        <v>12</v>
      </c>
      <c r="D44" s="30"/>
      <c r="E44" s="17">
        <f t="shared" si="5"/>
        <v>0</v>
      </c>
      <c r="K44" s="17">
        <f t="shared" si="3"/>
        <v>0</v>
      </c>
      <c r="U44" s="17">
        <f t="shared" si="4"/>
        <v>0</v>
      </c>
      <c r="AA44" s="17">
        <f t="shared" si="1"/>
        <v>0</v>
      </c>
      <c r="AB44" s="33"/>
      <c r="AC44" s="33">
        <f t="shared" si="2"/>
        <v>0</v>
      </c>
    </row>
    <row r="45" spans="1:29">
      <c r="A45" s="6" t="s">
        <v>374</v>
      </c>
      <c r="B45" s="6"/>
      <c r="C45" s="6" t="s">
        <v>170</v>
      </c>
      <c r="D45" s="30"/>
      <c r="E45" s="17">
        <f t="shared" si="5"/>
        <v>0</v>
      </c>
      <c r="K45" s="17">
        <f t="shared" si="3"/>
        <v>0</v>
      </c>
      <c r="U45" s="17">
        <f t="shared" si="4"/>
        <v>0</v>
      </c>
      <c r="AA45" s="17">
        <f t="shared" si="1"/>
        <v>0</v>
      </c>
      <c r="AB45" s="33"/>
      <c r="AC45" s="33">
        <f t="shared" si="2"/>
        <v>0</v>
      </c>
    </row>
    <row r="46" spans="1:29">
      <c r="A46" s="5" t="s">
        <v>371</v>
      </c>
      <c r="B46" s="6"/>
      <c r="C46" s="6" t="s">
        <v>59</v>
      </c>
      <c r="D46" s="30"/>
      <c r="E46" s="17">
        <f t="shared" si="5"/>
        <v>0</v>
      </c>
      <c r="K46" s="17">
        <f t="shared" si="3"/>
        <v>0</v>
      </c>
      <c r="U46" s="17">
        <f t="shared" si="4"/>
        <v>0</v>
      </c>
      <c r="AA46" s="17">
        <f t="shared" si="1"/>
        <v>0</v>
      </c>
      <c r="AB46" s="33"/>
      <c r="AC46" s="33">
        <f t="shared" si="2"/>
        <v>0</v>
      </c>
    </row>
    <row r="47" spans="1:29">
      <c r="A47" s="5" t="s">
        <v>372</v>
      </c>
      <c r="B47" s="6"/>
      <c r="C47" s="6" t="s">
        <v>54</v>
      </c>
      <c r="D47" s="30"/>
      <c r="E47" s="17">
        <f t="shared" si="5"/>
        <v>0</v>
      </c>
      <c r="K47" s="17">
        <f t="shared" si="3"/>
        <v>0</v>
      </c>
      <c r="U47" s="17">
        <f t="shared" si="4"/>
        <v>0</v>
      </c>
      <c r="AA47" s="17">
        <f t="shared" si="1"/>
        <v>0</v>
      </c>
      <c r="AB47" s="33"/>
      <c r="AC47" s="33">
        <f t="shared" si="2"/>
        <v>0</v>
      </c>
    </row>
    <row r="48" spans="1:29">
      <c r="A48" s="5" t="s">
        <v>373</v>
      </c>
      <c r="B48" s="6"/>
      <c r="C48" s="6" t="s">
        <v>51</v>
      </c>
      <c r="D48" s="34"/>
      <c r="E48" s="17">
        <f t="shared" si="5"/>
        <v>0</v>
      </c>
      <c r="K48" s="17">
        <f t="shared" si="3"/>
        <v>0</v>
      </c>
      <c r="U48" s="17">
        <f t="shared" si="4"/>
        <v>0</v>
      </c>
      <c r="AA48" s="17">
        <f t="shared" si="1"/>
        <v>0</v>
      </c>
      <c r="AB48" s="33"/>
      <c r="AC48" s="33">
        <f t="shared" si="2"/>
        <v>0</v>
      </c>
    </row>
    <row r="49" spans="1:29">
      <c r="A49" s="12" t="s">
        <v>427</v>
      </c>
      <c r="B49" s="6"/>
      <c r="C49" s="6" t="s">
        <v>19</v>
      </c>
      <c r="D49" s="30"/>
      <c r="E49" s="17">
        <f t="shared" si="5"/>
        <v>0</v>
      </c>
      <c r="K49" s="17">
        <f t="shared" si="3"/>
        <v>0</v>
      </c>
      <c r="U49" s="17">
        <f t="shared" si="4"/>
        <v>0</v>
      </c>
      <c r="AA49" s="17">
        <f t="shared" si="1"/>
        <v>0</v>
      </c>
      <c r="AB49" s="33"/>
      <c r="AC49" s="33">
        <f t="shared" si="2"/>
        <v>0</v>
      </c>
    </row>
    <row r="50" spans="1:29">
      <c r="A50" s="12" t="s">
        <v>428</v>
      </c>
      <c r="B50" s="12"/>
      <c r="C50" s="12" t="s">
        <v>19</v>
      </c>
      <c r="D50" s="30"/>
      <c r="E50" s="17">
        <f t="shared" si="5"/>
        <v>0</v>
      </c>
      <c r="K50" s="17">
        <f t="shared" si="3"/>
        <v>0</v>
      </c>
      <c r="U50" s="17">
        <f t="shared" si="4"/>
        <v>0</v>
      </c>
      <c r="AA50" s="17">
        <f t="shared" si="1"/>
        <v>0</v>
      </c>
      <c r="AB50" s="33"/>
      <c r="AC50" s="33">
        <f t="shared" si="2"/>
        <v>0</v>
      </c>
    </row>
    <row r="51" spans="1:29">
      <c r="A51" s="6" t="s">
        <v>386</v>
      </c>
      <c r="B51" s="6"/>
      <c r="C51" s="6" t="s">
        <v>185</v>
      </c>
      <c r="D51" s="30"/>
      <c r="E51" s="17">
        <f t="shared" si="5"/>
        <v>0</v>
      </c>
      <c r="K51" s="17">
        <f t="shared" si="3"/>
        <v>0</v>
      </c>
      <c r="U51" s="17">
        <f t="shared" si="4"/>
        <v>0</v>
      </c>
      <c r="AA51" s="17">
        <f t="shared" si="1"/>
        <v>0</v>
      </c>
      <c r="AB51" s="33"/>
      <c r="AC51" s="33">
        <f t="shared" si="2"/>
        <v>0</v>
      </c>
    </row>
    <row r="52" spans="1:29">
      <c r="A52" s="5" t="s">
        <v>376</v>
      </c>
      <c r="B52" s="6"/>
      <c r="C52" s="6" t="s">
        <v>54</v>
      </c>
      <c r="D52" s="30"/>
      <c r="E52" s="17">
        <f t="shared" si="5"/>
        <v>0</v>
      </c>
      <c r="K52" s="17">
        <f t="shared" si="3"/>
        <v>0</v>
      </c>
      <c r="U52" s="17">
        <f t="shared" si="4"/>
        <v>0</v>
      </c>
      <c r="AA52" s="17">
        <f t="shared" si="1"/>
        <v>0</v>
      </c>
      <c r="AB52" s="33"/>
      <c r="AC52" s="33">
        <f t="shared" si="2"/>
        <v>0</v>
      </c>
    </row>
    <row r="53" spans="1:29">
      <c r="A53" s="5" t="s">
        <v>377</v>
      </c>
      <c r="B53" s="6"/>
      <c r="C53" s="6" t="s">
        <v>61</v>
      </c>
      <c r="D53" s="30"/>
      <c r="E53" s="17">
        <f t="shared" si="5"/>
        <v>0</v>
      </c>
      <c r="K53" s="17">
        <f t="shared" si="3"/>
        <v>0</v>
      </c>
      <c r="U53" s="17">
        <f t="shared" si="4"/>
        <v>0</v>
      </c>
      <c r="AA53" s="17">
        <f t="shared" si="1"/>
        <v>0</v>
      </c>
      <c r="AB53" s="33"/>
      <c r="AC53" s="33">
        <f t="shared" si="2"/>
        <v>0</v>
      </c>
    </row>
    <row r="54" spans="1:29">
      <c r="A54" s="5" t="s">
        <v>378</v>
      </c>
      <c r="B54" s="6"/>
      <c r="C54" s="6" t="s">
        <v>54</v>
      </c>
      <c r="D54" s="34"/>
      <c r="E54" s="17">
        <f t="shared" si="5"/>
        <v>0</v>
      </c>
      <c r="K54" s="17">
        <f t="shared" si="3"/>
        <v>0</v>
      </c>
      <c r="U54" s="17">
        <f t="shared" si="4"/>
        <v>0</v>
      </c>
      <c r="AA54" s="17">
        <f t="shared" si="1"/>
        <v>0</v>
      </c>
      <c r="AB54" s="33"/>
      <c r="AC54" s="33">
        <f t="shared" si="2"/>
        <v>0</v>
      </c>
    </row>
    <row r="55" spans="1:29">
      <c r="A55" s="5" t="s">
        <v>379</v>
      </c>
      <c r="B55" s="6"/>
      <c r="C55" s="6" t="s">
        <v>62</v>
      </c>
      <c r="D55" s="30"/>
      <c r="E55" s="17">
        <f t="shared" ref="E55:E86" si="6">+I55-G55</f>
        <v>0</v>
      </c>
      <c r="K55" s="17">
        <f t="shared" si="3"/>
        <v>0</v>
      </c>
      <c r="U55" s="17">
        <f t="shared" si="4"/>
        <v>0</v>
      </c>
      <c r="AA55" s="17">
        <f t="shared" si="1"/>
        <v>0</v>
      </c>
      <c r="AB55" s="33"/>
      <c r="AC55" s="33">
        <f t="shared" si="2"/>
        <v>0</v>
      </c>
    </row>
    <row r="56" spans="1:29">
      <c r="A56" s="1" t="s">
        <v>72</v>
      </c>
      <c r="B56" s="1"/>
      <c r="C56" s="1" t="s">
        <v>50</v>
      </c>
      <c r="D56" s="30"/>
      <c r="E56" s="17">
        <f t="shared" si="6"/>
        <v>0</v>
      </c>
      <c r="K56" s="17">
        <f t="shared" si="3"/>
        <v>0</v>
      </c>
      <c r="U56" s="17">
        <f t="shared" si="4"/>
        <v>0</v>
      </c>
      <c r="AA56" s="17">
        <f t="shared" si="1"/>
        <v>0</v>
      </c>
      <c r="AB56" s="33"/>
      <c r="AC56" s="33">
        <f t="shared" si="2"/>
        <v>0</v>
      </c>
    </row>
    <row r="57" spans="1:29">
      <c r="A57" s="5" t="s">
        <v>380</v>
      </c>
      <c r="B57" s="6"/>
      <c r="C57" s="6" t="s">
        <v>25</v>
      </c>
      <c r="D57" s="30"/>
      <c r="E57" s="17">
        <f t="shared" si="6"/>
        <v>0</v>
      </c>
      <c r="K57" s="17">
        <f t="shared" si="3"/>
        <v>0</v>
      </c>
      <c r="U57" s="17">
        <f t="shared" si="4"/>
        <v>0</v>
      </c>
      <c r="Y57" s="8"/>
      <c r="AA57" s="17">
        <f t="shared" si="1"/>
        <v>0</v>
      </c>
      <c r="AB57" s="33"/>
      <c r="AC57" s="33">
        <f t="shared" si="2"/>
        <v>0</v>
      </c>
    </row>
    <row r="58" spans="1:29">
      <c r="A58" s="5" t="s">
        <v>381</v>
      </c>
      <c r="B58" s="6"/>
      <c r="C58" s="6" t="s">
        <v>352</v>
      </c>
      <c r="D58" s="30"/>
      <c r="E58" s="17">
        <f t="shared" si="6"/>
        <v>0</v>
      </c>
      <c r="K58" s="17">
        <f>+Q58-M58-O58</f>
        <v>0</v>
      </c>
      <c r="U58" s="17">
        <f>Y58-W58-S58</f>
        <v>0</v>
      </c>
      <c r="AA58" s="17">
        <f t="shared" si="1"/>
        <v>0</v>
      </c>
      <c r="AB58" s="33"/>
      <c r="AC58" s="33">
        <f t="shared" si="2"/>
        <v>0</v>
      </c>
    </row>
    <row r="59" spans="1:29">
      <c r="A59" s="6" t="s">
        <v>387</v>
      </c>
      <c r="B59" s="6"/>
      <c r="C59" s="6" t="s">
        <v>12</v>
      </c>
      <c r="D59" s="30"/>
      <c r="E59" s="17">
        <f t="shared" si="6"/>
        <v>0</v>
      </c>
      <c r="K59" s="17">
        <f>+Q59-M59-O59</f>
        <v>0</v>
      </c>
      <c r="U59" s="17">
        <f>Y59-W59-S59</f>
        <v>0</v>
      </c>
      <c r="AA59" s="17">
        <f t="shared" si="1"/>
        <v>0</v>
      </c>
      <c r="AB59" s="33"/>
      <c r="AC59" s="33">
        <f t="shared" si="2"/>
        <v>0</v>
      </c>
    </row>
    <row r="60" spans="1:29">
      <c r="A60" s="1" t="s">
        <v>363</v>
      </c>
      <c r="B60" s="1"/>
      <c r="C60" s="1" t="s">
        <v>70</v>
      </c>
      <c r="D60" s="30"/>
      <c r="E60" s="17">
        <f t="shared" si="6"/>
        <v>0</v>
      </c>
      <c r="K60" s="17">
        <v>0</v>
      </c>
      <c r="U60" s="17">
        <v>0</v>
      </c>
      <c r="AA60" s="17">
        <f t="shared" si="1"/>
        <v>0</v>
      </c>
      <c r="AB60" s="33"/>
      <c r="AC60" s="33">
        <f t="shared" si="2"/>
        <v>0</v>
      </c>
    </row>
    <row r="61" spans="1:29">
      <c r="A61" s="1" t="s">
        <v>364</v>
      </c>
      <c r="B61" s="1"/>
      <c r="C61" s="1" t="s">
        <v>52</v>
      </c>
      <c r="E61" s="17">
        <f t="shared" si="6"/>
        <v>0</v>
      </c>
      <c r="K61" s="17">
        <v>0</v>
      </c>
      <c r="U61" s="17">
        <v>0</v>
      </c>
      <c r="AA61" s="17">
        <f t="shared" si="1"/>
        <v>0</v>
      </c>
      <c r="AB61" s="33"/>
      <c r="AC61" s="33">
        <f t="shared" si="2"/>
        <v>0</v>
      </c>
    </row>
    <row r="62" spans="1:29" s="33" customFormat="1">
      <c r="A62" s="5" t="s">
        <v>382</v>
      </c>
      <c r="B62" s="6"/>
      <c r="C62" s="6" t="s">
        <v>65</v>
      </c>
      <c r="D62" s="17"/>
      <c r="E62" s="17">
        <f t="shared" si="6"/>
        <v>0</v>
      </c>
      <c r="F62" s="17"/>
      <c r="G62" s="17"/>
      <c r="H62" s="17"/>
      <c r="I62" s="17"/>
      <c r="K62" s="33">
        <v>0</v>
      </c>
      <c r="U62" s="33">
        <f>Y62-W62-S62</f>
        <v>0</v>
      </c>
      <c r="AA62" s="17">
        <f t="shared" si="1"/>
        <v>0</v>
      </c>
      <c r="AC62" s="33">
        <f t="shared" si="2"/>
        <v>0</v>
      </c>
    </row>
    <row r="63" spans="1:29">
      <c r="A63" s="12" t="s">
        <v>123</v>
      </c>
      <c r="B63" s="6"/>
      <c r="C63" s="6" t="s">
        <v>19</v>
      </c>
      <c r="D63" s="31"/>
      <c r="E63" s="17">
        <f t="shared" si="6"/>
        <v>0</v>
      </c>
      <c r="F63" s="33"/>
      <c r="G63" s="33"/>
      <c r="H63" s="33"/>
      <c r="I63" s="33"/>
      <c r="K63" s="17">
        <v>0</v>
      </c>
      <c r="U63" s="17">
        <f t="shared" ref="U63:U116" si="7">Y63-W63-S63</f>
        <v>0</v>
      </c>
      <c r="AA63" s="17">
        <f t="shared" si="1"/>
        <v>0</v>
      </c>
      <c r="AB63" s="33"/>
      <c r="AC63" s="33">
        <f t="shared" si="2"/>
        <v>0</v>
      </c>
    </row>
    <row r="64" spans="1:29">
      <c r="A64" s="6" t="s">
        <v>222</v>
      </c>
      <c r="B64" s="6"/>
      <c r="C64" s="6" t="s">
        <v>57</v>
      </c>
      <c r="D64" s="30"/>
      <c r="E64" s="17">
        <f t="shared" si="6"/>
        <v>0</v>
      </c>
      <c r="K64" s="17">
        <v>0</v>
      </c>
      <c r="U64" s="17">
        <f t="shared" si="7"/>
        <v>0</v>
      </c>
      <c r="AA64" s="17">
        <f t="shared" si="1"/>
        <v>0</v>
      </c>
      <c r="AB64" s="33"/>
      <c r="AC64" s="33">
        <f t="shared" si="2"/>
        <v>0</v>
      </c>
    </row>
    <row r="65" spans="1:29">
      <c r="A65" s="5" t="s">
        <v>383</v>
      </c>
      <c r="B65" s="6"/>
      <c r="C65" s="6" t="s">
        <v>22</v>
      </c>
      <c r="D65" s="30"/>
      <c r="E65" s="17">
        <f t="shared" si="6"/>
        <v>0</v>
      </c>
      <c r="K65" s="17">
        <v>0</v>
      </c>
      <c r="U65" s="17">
        <f t="shared" si="7"/>
        <v>0</v>
      </c>
      <c r="AA65" s="17">
        <f t="shared" si="1"/>
        <v>0</v>
      </c>
      <c r="AB65" s="33"/>
      <c r="AC65" s="33">
        <f t="shared" si="2"/>
        <v>0</v>
      </c>
    </row>
    <row r="66" spans="1:29">
      <c r="A66" s="5" t="s">
        <v>384</v>
      </c>
      <c r="B66" s="6"/>
      <c r="C66" s="6" t="s">
        <v>66</v>
      </c>
      <c r="D66" s="30"/>
      <c r="E66" s="17">
        <f t="shared" si="6"/>
        <v>0</v>
      </c>
      <c r="K66" s="17">
        <f>+Q66-M66-O66</f>
        <v>0</v>
      </c>
      <c r="U66" s="17">
        <f>Y66-W66-S66</f>
        <v>0</v>
      </c>
      <c r="AA66" s="17">
        <f t="shared" si="1"/>
        <v>0</v>
      </c>
      <c r="AB66" s="33"/>
      <c r="AC66" s="33">
        <f t="shared" si="2"/>
        <v>0</v>
      </c>
    </row>
    <row r="67" spans="1:29">
      <c r="A67" s="12" t="s">
        <v>124</v>
      </c>
      <c r="B67" s="12"/>
      <c r="C67" s="12" t="s">
        <v>55</v>
      </c>
      <c r="D67" s="30"/>
      <c r="E67" s="17">
        <f t="shared" si="6"/>
        <v>0</v>
      </c>
      <c r="K67" s="17">
        <f>+Q67-M67-O67</f>
        <v>0</v>
      </c>
      <c r="U67" s="17">
        <f>Y67-W67-S67</f>
        <v>0</v>
      </c>
      <c r="AA67" s="17">
        <f t="shared" si="1"/>
        <v>0</v>
      </c>
      <c r="AB67" s="33"/>
      <c r="AC67" s="33">
        <f t="shared" si="2"/>
        <v>0</v>
      </c>
    </row>
    <row r="68" spans="1:29">
      <c r="A68" s="5" t="s">
        <v>385</v>
      </c>
      <c r="B68" s="6"/>
      <c r="C68" s="6" t="s">
        <v>12</v>
      </c>
      <c r="D68" s="30"/>
      <c r="E68" s="17">
        <f t="shared" si="6"/>
        <v>0</v>
      </c>
      <c r="K68" s="17">
        <f t="shared" ref="K68:K116" si="8">+Q68-M68-O68</f>
        <v>0</v>
      </c>
      <c r="U68" s="17">
        <f t="shared" si="7"/>
        <v>0</v>
      </c>
      <c r="AA68" s="17">
        <f t="shared" si="1"/>
        <v>0</v>
      </c>
      <c r="AB68" s="33"/>
      <c r="AC68" s="33">
        <f t="shared" si="2"/>
        <v>0</v>
      </c>
    </row>
    <row r="69" spans="1:29">
      <c r="A69" s="12" t="s">
        <v>127</v>
      </c>
      <c r="B69" s="12"/>
      <c r="C69" s="12" t="s">
        <v>70</v>
      </c>
      <c r="D69" s="30"/>
      <c r="E69" s="17">
        <f t="shared" si="6"/>
        <v>0</v>
      </c>
      <c r="K69" s="17">
        <f t="shared" si="8"/>
        <v>0</v>
      </c>
      <c r="U69" s="17">
        <f t="shared" si="7"/>
        <v>0</v>
      </c>
      <c r="AA69" s="17">
        <f t="shared" si="1"/>
        <v>0</v>
      </c>
      <c r="AB69" s="33"/>
      <c r="AC69" s="33">
        <f t="shared" si="2"/>
        <v>0</v>
      </c>
    </row>
    <row r="70" spans="1:29">
      <c r="A70" s="5" t="s">
        <v>388</v>
      </c>
      <c r="B70" s="6"/>
      <c r="C70" s="6" t="s">
        <v>46</v>
      </c>
      <c r="D70" s="30"/>
      <c r="E70" s="17">
        <f t="shared" si="6"/>
        <v>0</v>
      </c>
      <c r="K70" s="17">
        <f>+Q70-M70-O70</f>
        <v>0</v>
      </c>
      <c r="U70" s="17">
        <v>0</v>
      </c>
      <c r="AA70" s="17">
        <f t="shared" si="1"/>
        <v>0</v>
      </c>
      <c r="AB70" s="33"/>
      <c r="AC70" s="33">
        <f t="shared" si="2"/>
        <v>0</v>
      </c>
    </row>
    <row r="71" spans="1:29">
      <c r="A71" s="5" t="s">
        <v>389</v>
      </c>
      <c r="B71" s="6"/>
      <c r="C71" s="6" t="s">
        <v>61</v>
      </c>
      <c r="D71" s="30"/>
      <c r="E71" s="17">
        <f t="shared" si="6"/>
        <v>0</v>
      </c>
      <c r="K71" s="17">
        <f t="shared" si="8"/>
        <v>0</v>
      </c>
      <c r="U71" s="17">
        <f t="shared" si="7"/>
        <v>0</v>
      </c>
      <c r="AA71" s="17">
        <f t="shared" si="1"/>
        <v>0</v>
      </c>
      <c r="AB71" s="33"/>
      <c r="AC71" s="33">
        <f t="shared" si="2"/>
        <v>0</v>
      </c>
    </row>
    <row r="72" spans="1:29">
      <c r="A72" s="6" t="s">
        <v>242</v>
      </c>
      <c r="B72" s="6"/>
      <c r="C72" s="6" t="s">
        <v>167</v>
      </c>
      <c r="D72" s="30"/>
      <c r="E72" s="17">
        <f t="shared" si="6"/>
        <v>0</v>
      </c>
      <c r="K72" s="17">
        <f t="shared" si="8"/>
        <v>0</v>
      </c>
      <c r="U72" s="17">
        <f t="shared" si="7"/>
        <v>0</v>
      </c>
      <c r="AA72" s="17">
        <f t="shared" si="1"/>
        <v>0</v>
      </c>
      <c r="AB72" s="33"/>
      <c r="AC72" s="33">
        <f t="shared" si="2"/>
        <v>0</v>
      </c>
    </row>
    <row r="73" spans="1:29">
      <c r="A73" s="5" t="s">
        <v>390</v>
      </c>
      <c r="B73" s="6"/>
      <c r="C73" s="6" t="s">
        <v>43</v>
      </c>
      <c r="D73" s="30"/>
      <c r="E73" s="17">
        <f t="shared" si="6"/>
        <v>0</v>
      </c>
      <c r="K73" s="17">
        <f t="shared" si="8"/>
        <v>0</v>
      </c>
      <c r="U73" s="17">
        <f t="shared" si="7"/>
        <v>0</v>
      </c>
      <c r="AA73" s="17">
        <f t="shared" si="1"/>
        <v>0</v>
      </c>
      <c r="AB73" s="33"/>
      <c r="AC73" s="33">
        <f t="shared" si="2"/>
        <v>0</v>
      </c>
    </row>
    <row r="74" spans="1:29" s="33" customFormat="1">
      <c r="A74" s="5" t="s">
        <v>391</v>
      </c>
      <c r="B74" s="6"/>
      <c r="C74" s="6" t="s">
        <v>50</v>
      </c>
      <c r="D74" s="30"/>
      <c r="E74" s="17">
        <f t="shared" si="6"/>
        <v>0</v>
      </c>
      <c r="F74" s="17"/>
      <c r="G74" s="17"/>
      <c r="H74" s="17"/>
      <c r="I74" s="17"/>
      <c r="J74" s="17"/>
      <c r="K74" s="17">
        <f t="shared" si="8"/>
        <v>0</v>
      </c>
      <c r="L74" s="17"/>
      <c r="M74" s="17"/>
      <c r="N74" s="17"/>
      <c r="O74" s="17"/>
      <c r="P74" s="17"/>
      <c r="Q74" s="17"/>
      <c r="R74" s="17"/>
      <c r="S74" s="17"/>
      <c r="T74" s="17"/>
      <c r="U74" s="17">
        <f t="shared" si="7"/>
        <v>0</v>
      </c>
      <c r="V74" s="17"/>
      <c r="W74" s="17"/>
      <c r="X74" s="17"/>
      <c r="Y74" s="17"/>
      <c r="AA74" s="17">
        <f t="shared" si="1"/>
        <v>0</v>
      </c>
      <c r="AC74" s="33">
        <f t="shared" si="2"/>
        <v>0</v>
      </c>
    </row>
    <row r="75" spans="1:29">
      <c r="A75" s="5" t="s">
        <v>392</v>
      </c>
      <c r="B75" s="6"/>
      <c r="C75" s="6" t="s">
        <v>62</v>
      </c>
      <c r="D75" s="31"/>
      <c r="E75" s="17">
        <f t="shared" si="6"/>
        <v>0</v>
      </c>
      <c r="K75" s="17">
        <f t="shared" si="8"/>
        <v>0</v>
      </c>
      <c r="U75" s="17">
        <f t="shared" si="7"/>
        <v>0</v>
      </c>
      <c r="AA75" s="17">
        <f t="shared" si="1"/>
        <v>0</v>
      </c>
      <c r="AB75" s="33"/>
      <c r="AC75" s="33">
        <f t="shared" si="2"/>
        <v>0</v>
      </c>
    </row>
    <row r="76" spans="1:29">
      <c r="A76" s="5" t="s">
        <v>393</v>
      </c>
      <c r="B76" s="6"/>
      <c r="C76" s="6" t="s">
        <v>68</v>
      </c>
      <c r="D76" s="30"/>
      <c r="E76" s="17">
        <f t="shared" si="6"/>
        <v>0</v>
      </c>
      <c r="K76" s="17">
        <f t="shared" si="8"/>
        <v>0</v>
      </c>
      <c r="U76" s="17">
        <f t="shared" si="7"/>
        <v>0</v>
      </c>
      <c r="AA76" s="17">
        <f t="shared" ref="AA76:AA139" si="9">+H76-P76-X76</f>
        <v>0</v>
      </c>
      <c r="AB76" s="33"/>
      <c r="AC76" s="33">
        <f t="shared" ref="AC76:AC139" si="10">+D76+F76+-J76-L76-R76-T76-V76-N76</f>
        <v>0</v>
      </c>
    </row>
    <row r="77" spans="1:29">
      <c r="A77" s="5" t="s">
        <v>394</v>
      </c>
      <c r="B77" s="6"/>
      <c r="C77" s="6" t="s">
        <v>45</v>
      </c>
      <c r="D77" s="30"/>
      <c r="E77" s="17">
        <f t="shared" si="6"/>
        <v>0</v>
      </c>
      <c r="K77" s="17">
        <f t="shared" si="8"/>
        <v>0</v>
      </c>
      <c r="U77" s="17">
        <f t="shared" si="7"/>
        <v>0</v>
      </c>
      <c r="AA77" s="17">
        <f t="shared" si="9"/>
        <v>0</v>
      </c>
      <c r="AB77" s="33"/>
      <c r="AC77" s="33">
        <f t="shared" si="10"/>
        <v>0</v>
      </c>
    </row>
    <row r="78" spans="1:29">
      <c r="A78" s="1" t="s">
        <v>513</v>
      </c>
      <c r="B78" s="1"/>
      <c r="C78" s="1" t="s">
        <v>19</v>
      </c>
      <c r="D78" s="30"/>
      <c r="E78" s="17">
        <f t="shared" si="6"/>
        <v>0</v>
      </c>
      <c r="K78" s="17">
        <f t="shared" si="8"/>
        <v>0</v>
      </c>
      <c r="U78" s="17">
        <f t="shared" si="7"/>
        <v>0</v>
      </c>
      <c r="AA78" s="17">
        <f t="shared" si="9"/>
        <v>0</v>
      </c>
      <c r="AB78" s="33"/>
      <c r="AC78" s="33">
        <f t="shared" si="10"/>
        <v>0</v>
      </c>
    </row>
    <row r="79" spans="1:29">
      <c r="A79" s="5" t="s">
        <v>395</v>
      </c>
      <c r="B79" s="6"/>
      <c r="C79" s="6" t="s">
        <v>44</v>
      </c>
      <c r="D79" s="30"/>
      <c r="E79" s="17">
        <f t="shared" si="6"/>
        <v>0</v>
      </c>
      <c r="K79" s="17">
        <f t="shared" si="8"/>
        <v>0</v>
      </c>
      <c r="U79" s="17">
        <f t="shared" si="7"/>
        <v>0</v>
      </c>
      <c r="AA79" s="17">
        <f t="shared" si="9"/>
        <v>0</v>
      </c>
      <c r="AB79" s="33"/>
      <c r="AC79" s="33">
        <f t="shared" si="10"/>
        <v>0</v>
      </c>
    </row>
    <row r="80" spans="1:29">
      <c r="A80" s="5" t="s">
        <v>396</v>
      </c>
      <c r="B80" s="6"/>
      <c r="C80" s="6" t="s">
        <v>13</v>
      </c>
      <c r="D80" s="30"/>
      <c r="E80" s="17">
        <f t="shared" si="6"/>
        <v>0</v>
      </c>
      <c r="K80" s="17">
        <f t="shared" si="8"/>
        <v>0</v>
      </c>
      <c r="U80" s="17">
        <f t="shared" si="7"/>
        <v>0</v>
      </c>
      <c r="AA80" s="17">
        <f t="shared" si="9"/>
        <v>0</v>
      </c>
      <c r="AB80" s="33"/>
      <c r="AC80" s="33">
        <f t="shared" si="10"/>
        <v>0</v>
      </c>
    </row>
    <row r="81" spans="1:29">
      <c r="A81" s="12" t="s">
        <v>429</v>
      </c>
      <c r="B81" s="12"/>
      <c r="C81" s="12" t="s">
        <v>20</v>
      </c>
      <c r="D81" s="30"/>
      <c r="E81" s="17">
        <f t="shared" si="6"/>
        <v>0</v>
      </c>
      <c r="K81" s="17">
        <f>+Q81-M81-O81</f>
        <v>0</v>
      </c>
      <c r="U81" s="17">
        <f>Y81-W81-S81</f>
        <v>0</v>
      </c>
      <c r="AA81" s="17">
        <f t="shared" si="9"/>
        <v>0</v>
      </c>
      <c r="AB81" s="33"/>
      <c r="AC81" s="33">
        <f t="shared" si="10"/>
        <v>0</v>
      </c>
    </row>
    <row r="82" spans="1:29">
      <c r="A82" s="5" t="s">
        <v>397</v>
      </c>
      <c r="B82" s="6"/>
      <c r="C82" s="6" t="s">
        <v>42</v>
      </c>
      <c r="D82" s="30"/>
      <c r="E82" s="17">
        <f t="shared" si="6"/>
        <v>0</v>
      </c>
      <c r="K82" s="17">
        <f>+Q82-M82-O82</f>
        <v>0</v>
      </c>
      <c r="U82" s="17">
        <f>Y82-W82-S82</f>
        <v>0</v>
      </c>
      <c r="AA82" s="17">
        <f t="shared" si="9"/>
        <v>0</v>
      </c>
      <c r="AB82" s="33"/>
      <c r="AC82" s="33">
        <f t="shared" si="10"/>
        <v>0</v>
      </c>
    </row>
    <row r="83" spans="1:29">
      <c r="A83" s="12" t="s">
        <v>18</v>
      </c>
      <c r="B83" s="12"/>
      <c r="C83" s="12" t="s">
        <v>19</v>
      </c>
      <c r="D83" s="30"/>
      <c r="E83" s="17">
        <f t="shared" si="6"/>
        <v>0</v>
      </c>
      <c r="K83" s="17">
        <f t="shared" si="8"/>
        <v>0</v>
      </c>
      <c r="U83" s="17">
        <f t="shared" si="7"/>
        <v>0</v>
      </c>
      <c r="AA83" s="17">
        <f t="shared" si="9"/>
        <v>0</v>
      </c>
      <c r="AB83" s="33"/>
      <c r="AC83" s="33">
        <f t="shared" si="10"/>
        <v>0</v>
      </c>
    </row>
    <row r="84" spans="1:29">
      <c r="A84" s="1" t="s">
        <v>514</v>
      </c>
      <c r="B84" s="1"/>
      <c r="C84" s="1" t="s">
        <v>139</v>
      </c>
      <c r="D84" s="30"/>
      <c r="E84" s="17">
        <f t="shared" si="6"/>
        <v>0</v>
      </c>
      <c r="K84" s="17">
        <f t="shared" si="8"/>
        <v>0</v>
      </c>
      <c r="U84" s="17">
        <f t="shared" si="7"/>
        <v>0</v>
      </c>
      <c r="AA84" s="17">
        <f t="shared" si="9"/>
        <v>0</v>
      </c>
      <c r="AB84" s="33"/>
      <c r="AC84" s="33">
        <f t="shared" si="10"/>
        <v>0</v>
      </c>
    </row>
    <row r="85" spans="1:29">
      <c r="A85" s="1" t="s">
        <v>365</v>
      </c>
      <c r="B85" s="1"/>
      <c r="C85" s="1" t="s">
        <v>53</v>
      </c>
      <c r="D85" s="30"/>
      <c r="E85" s="17">
        <f t="shared" si="6"/>
        <v>0</v>
      </c>
      <c r="K85" s="17">
        <f t="shared" si="8"/>
        <v>0</v>
      </c>
      <c r="U85" s="17">
        <f t="shared" si="7"/>
        <v>0</v>
      </c>
      <c r="AA85" s="17">
        <f t="shared" si="9"/>
        <v>0</v>
      </c>
      <c r="AB85" s="33"/>
      <c r="AC85" s="33">
        <f t="shared" si="10"/>
        <v>0</v>
      </c>
    </row>
    <row r="86" spans="1:29">
      <c r="A86" s="1" t="s">
        <v>367</v>
      </c>
      <c r="B86" s="1"/>
      <c r="C86" s="1" t="s">
        <v>54</v>
      </c>
      <c r="D86" s="30"/>
      <c r="E86" s="17">
        <f t="shared" si="6"/>
        <v>0</v>
      </c>
      <c r="K86" s="17">
        <f t="shared" si="8"/>
        <v>0</v>
      </c>
      <c r="U86" s="17">
        <f t="shared" si="7"/>
        <v>0</v>
      </c>
      <c r="AA86" s="17">
        <f t="shared" si="9"/>
        <v>0</v>
      </c>
      <c r="AB86" s="33"/>
      <c r="AC86" s="33">
        <f t="shared" si="10"/>
        <v>0</v>
      </c>
    </row>
    <row r="87" spans="1:29">
      <c r="A87" s="1" t="s">
        <v>368</v>
      </c>
      <c r="B87" s="1"/>
      <c r="C87" s="1" t="s">
        <v>52</v>
      </c>
      <c r="D87" s="30"/>
      <c r="E87" s="17">
        <f t="shared" ref="E87:E118" si="11">+I87-G87</f>
        <v>0</v>
      </c>
      <c r="K87" s="17">
        <f t="shared" si="8"/>
        <v>0</v>
      </c>
      <c r="U87" s="17">
        <f t="shared" si="7"/>
        <v>0</v>
      </c>
      <c r="AA87" s="17">
        <f t="shared" si="9"/>
        <v>0</v>
      </c>
      <c r="AB87" s="33"/>
      <c r="AC87" s="33">
        <f t="shared" si="10"/>
        <v>0</v>
      </c>
    </row>
    <row r="88" spans="1:29">
      <c r="A88" s="12" t="s">
        <v>146</v>
      </c>
      <c r="B88" s="12"/>
      <c r="C88" s="12" t="s">
        <v>17</v>
      </c>
      <c r="D88" s="30"/>
      <c r="E88" s="17">
        <f t="shared" si="11"/>
        <v>0</v>
      </c>
      <c r="K88" s="17">
        <f t="shared" si="8"/>
        <v>0</v>
      </c>
      <c r="U88" s="17">
        <f t="shared" si="7"/>
        <v>0</v>
      </c>
      <c r="AA88" s="17">
        <f t="shared" si="9"/>
        <v>0</v>
      </c>
      <c r="AB88" s="33"/>
      <c r="AC88" s="33">
        <f t="shared" si="10"/>
        <v>0</v>
      </c>
    </row>
    <row r="89" spans="1:29">
      <c r="A89" s="5" t="s">
        <v>38</v>
      </c>
      <c r="B89" s="6"/>
      <c r="C89" s="6" t="s">
        <v>42</v>
      </c>
      <c r="D89" s="30"/>
      <c r="E89" s="17">
        <f t="shared" si="11"/>
        <v>0</v>
      </c>
      <c r="K89" s="17">
        <f>+Q89-M89-O89</f>
        <v>0</v>
      </c>
      <c r="U89" s="17">
        <f>Y89-W89-S89</f>
        <v>0</v>
      </c>
      <c r="AA89" s="17">
        <f t="shared" si="9"/>
        <v>0</v>
      </c>
      <c r="AB89" s="33"/>
      <c r="AC89" s="33">
        <f t="shared" si="10"/>
        <v>0</v>
      </c>
    </row>
    <row r="90" spans="1:29">
      <c r="A90" s="6" t="s">
        <v>272</v>
      </c>
      <c r="B90" s="6"/>
      <c r="C90" s="6" t="s">
        <v>65</v>
      </c>
      <c r="D90" s="30"/>
      <c r="E90" s="17">
        <f t="shared" si="11"/>
        <v>0</v>
      </c>
      <c r="K90" s="17">
        <f t="shared" si="8"/>
        <v>0</v>
      </c>
      <c r="U90" s="17">
        <f t="shared" si="7"/>
        <v>0</v>
      </c>
      <c r="AA90" s="17">
        <f t="shared" si="9"/>
        <v>0</v>
      </c>
      <c r="AB90" s="33"/>
      <c r="AC90" s="33">
        <f t="shared" si="10"/>
        <v>0</v>
      </c>
    </row>
    <row r="91" spans="1:29">
      <c r="A91" s="5" t="s">
        <v>39</v>
      </c>
      <c r="B91" s="6"/>
      <c r="C91" s="6" t="s">
        <v>15</v>
      </c>
      <c r="D91" s="30"/>
      <c r="E91" s="17">
        <f t="shared" si="11"/>
        <v>0</v>
      </c>
      <c r="K91" s="17">
        <f t="shared" si="8"/>
        <v>0</v>
      </c>
      <c r="U91" s="17">
        <f t="shared" si="7"/>
        <v>0</v>
      </c>
      <c r="AA91" s="17">
        <f t="shared" si="9"/>
        <v>0</v>
      </c>
      <c r="AB91" s="33"/>
      <c r="AC91" s="33">
        <f t="shared" si="10"/>
        <v>0</v>
      </c>
    </row>
    <row r="92" spans="1:29">
      <c r="A92" s="1" t="s">
        <v>369</v>
      </c>
      <c r="B92" s="1"/>
      <c r="C92" s="1" t="s">
        <v>55</v>
      </c>
      <c r="D92" s="30"/>
      <c r="E92" s="17">
        <f t="shared" si="11"/>
        <v>0</v>
      </c>
      <c r="K92" s="17">
        <f t="shared" si="8"/>
        <v>0</v>
      </c>
      <c r="U92" s="17">
        <f t="shared" si="7"/>
        <v>0</v>
      </c>
      <c r="AA92" s="17">
        <f t="shared" si="9"/>
        <v>0</v>
      </c>
      <c r="AB92" s="33"/>
      <c r="AC92" s="33">
        <f t="shared" si="10"/>
        <v>0</v>
      </c>
    </row>
    <row r="93" spans="1:29">
      <c r="A93" s="5" t="s">
        <v>398</v>
      </c>
      <c r="B93" s="6"/>
      <c r="C93" s="6" t="s">
        <v>69</v>
      </c>
      <c r="D93" s="34"/>
      <c r="E93" s="17">
        <f t="shared" si="11"/>
        <v>0</v>
      </c>
      <c r="K93" s="17">
        <f t="shared" si="8"/>
        <v>0</v>
      </c>
      <c r="U93" s="17">
        <f t="shared" si="7"/>
        <v>0</v>
      </c>
      <c r="AA93" s="17">
        <f t="shared" si="9"/>
        <v>0</v>
      </c>
      <c r="AB93" s="33"/>
      <c r="AC93" s="33">
        <f t="shared" si="10"/>
        <v>0</v>
      </c>
    </row>
    <row r="94" spans="1:29">
      <c r="A94" s="5" t="s">
        <v>399</v>
      </c>
      <c r="B94" s="6"/>
      <c r="C94" s="6" t="s">
        <v>70</v>
      </c>
      <c r="D94" s="30"/>
      <c r="E94" s="17">
        <f t="shared" si="11"/>
        <v>0</v>
      </c>
      <c r="K94" s="17">
        <f t="shared" si="8"/>
        <v>0</v>
      </c>
      <c r="U94" s="17">
        <f t="shared" si="7"/>
        <v>0</v>
      </c>
      <c r="AA94" s="17">
        <f t="shared" si="9"/>
        <v>0</v>
      </c>
      <c r="AB94" s="33"/>
      <c r="AC94" s="33">
        <f t="shared" si="10"/>
        <v>0</v>
      </c>
    </row>
    <row r="95" spans="1:29">
      <c r="A95" s="1" t="s">
        <v>375</v>
      </c>
      <c r="B95" s="1"/>
      <c r="C95" s="1" t="s">
        <v>57</v>
      </c>
      <c r="D95" s="30"/>
      <c r="E95" s="17">
        <f t="shared" si="11"/>
        <v>0</v>
      </c>
      <c r="K95" s="17">
        <f t="shared" si="8"/>
        <v>0</v>
      </c>
      <c r="U95" s="17">
        <f t="shared" si="7"/>
        <v>0</v>
      </c>
      <c r="AA95" s="17">
        <f t="shared" si="9"/>
        <v>0</v>
      </c>
      <c r="AB95" s="33"/>
      <c r="AC95" s="33">
        <f t="shared" si="10"/>
        <v>0</v>
      </c>
    </row>
    <row r="96" spans="1:29">
      <c r="A96" s="6" t="s">
        <v>280</v>
      </c>
      <c r="B96" s="6"/>
      <c r="C96" s="6" t="s">
        <v>55</v>
      </c>
      <c r="D96" s="30"/>
      <c r="E96" s="17">
        <f t="shared" si="11"/>
        <v>0</v>
      </c>
      <c r="K96" s="17">
        <f t="shared" si="8"/>
        <v>0</v>
      </c>
      <c r="U96" s="17">
        <f t="shared" si="7"/>
        <v>0</v>
      </c>
      <c r="AA96" s="17">
        <f t="shared" si="9"/>
        <v>0</v>
      </c>
      <c r="AB96" s="33"/>
      <c r="AC96" s="33">
        <f t="shared" si="10"/>
        <v>0</v>
      </c>
    </row>
    <row r="97" spans="1:29">
      <c r="A97" s="12" t="s">
        <v>151</v>
      </c>
      <c r="B97" s="12"/>
      <c r="C97" s="12" t="s">
        <v>152</v>
      </c>
      <c r="D97" s="30"/>
      <c r="E97" s="17">
        <f t="shared" si="11"/>
        <v>0</v>
      </c>
      <c r="K97" s="17">
        <f t="shared" si="8"/>
        <v>0</v>
      </c>
      <c r="U97" s="17">
        <f t="shared" si="7"/>
        <v>0</v>
      </c>
      <c r="AA97" s="17">
        <f t="shared" si="9"/>
        <v>0</v>
      </c>
      <c r="AB97" s="33"/>
      <c r="AC97" s="33">
        <f t="shared" si="10"/>
        <v>0</v>
      </c>
    </row>
    <row r="98" spans="1:29">
      <c r="A98" s="1" t="s">
        <v>36</v>
      </c>
      <c r="B98" s="1"/>
      <c r="C98" s="1" t="s">
        <v>57</v>
      </c>
      <c r="D98" s="30"/>
      <c r="E98" s="17">
        <f t="shared" si="11"/>
        <v>0</v>
      </c>
      <c r="K98" s="17">
        <f t="shared" si="8"/>
        <v>0</v>
      </c>
      <c r="U98" s="17">
        <f t="shared" si="7"/>
        <v>0</v>
      </c>
      <c r="AA98" s="17">
        <f t="shared" si="9"/>
        <v>0</v>
      </c>
      <c r="AB98" s="33"/>
      <c r="AC98" s="33">
        <f t="shared" si="10"/>
        <v>0</v>
      </c>
    </row>
    <row r="99" spans="1:29">
      <c r="A99" s="1" t="s">
        <v>515</v>
      </c>
      <c r="B99" s="1"/>
      <c r="C99" s="1" t="s">
        <v>58</v>
      </c>
      <c r="D99" s="30"/>
      <c r="E99" s="17">
        <f t="shared" si="11"/>
        <v>0</v>
      </c>
      <c r="K99" s="17">
        <f t="shared" si="8"/>
        <v>0</v>
      </c>
      <c r="U99" s="17">
        <f t="shared" si="7"/>
        <v>0</v>
      </c>
      <c r="AA99" s="17">
        <f t="shared" si="9"/>
        <v>0</v>
      </c>
      <c r="AB99" s="33"/>
      <c r="AC99" s="33">
        <f t="shared" si="10"/>
        <v>0</v>
      </c>
    </row>
    <row r="100" spans="1:29">
      <c r="A100" s="1" t="s">
        <v>164</v>
      </c>
      <c r="B100" s="1"/>
      <c r="C100" s="1" t="s">
        <v>56</v>
      </c>
      <c r="D100" s="34"/>
      <c r="E100" s="17">
        <f t="shared" si="11"/>
        <v>0</v>
      </c>
      <c r="K100" s="17">
        <f t="shared" si="8"/>
        <v>0</v>
      </c>
      <c r="U100" s="17">
        <f t="shared" si="7"/>
        <v>0</v>
      </c>
      <c r="AA100" s="17">
        <f t="shared" si="9"/>
        <v>0</v>
      </c>
      <c r="AB100" s="33"/>
      <c r="AC100" s="33">
        <f t="shared" si="10"/>
        <v>0</v>
      </c>
    </row>
    <row r="101" spans="1:29">
      <c r="A101" s="1" t="s">
        <v>374</v>
      </c>
      <c r="B101" s="1"/>
      <c r="C101" s="1" t="s">
        <v>170</v>
      </c>
      <c r="D101" s="30"/>
      <c r="E101" s="17">
        <f t="shared" si="11"/>
        <v>0</v>
      </c>
      <c r="K101" s="17">
        <f t="shared" si="8"/>
        <v>0</v>
      </c>
      <c r="U101" s="17">
        <f t="shared" si="7"/>
        <v>0</v>
      </c>
      <c r="AA101" s="17">
        <f t="shared" si="9"/>
        <v>0</v>
      </c>
      <c r="AB101" s="33"/>
      <c r="AC101" s="33">
        <f t="shared" si="10"/>
        <v>0</v>
      </c>
    </row>
    <row r="102" spans="1:29">
      <c r="A102" s="1" t="s">
        <v>371</v>
      </c>
      <c r="B102" s="1"/>
      <c r="C102" s="1" t="s">
        <v>59</v>
      </c>
      <c r="D102" s="30"/>
      <c r="E102" s="17">
        <f t="shared" si="11"/>
        <v>0</v>
      </c>
      <c r="K102" s="17">
        <f t="shared" si="8"/>
        <v>0</v>
      </c>
      <c r="U102" s="17">
        <f t="shared" si="7"/>
        <v>0</v>
      </c>
      <c r="AA102" s="17">
        <f t="shared" si="9"/>
        <v>0</v>
      </c>
      <c r="AB102" s="33"/>
      <c r="AC102" s="33">
        <f t="shared" si="10"/>
        <v>0</v>
      </c>
    </row>
    <row r="103" spans="1:29">
      <c r="A103" s="5" t="s">
        <v>438</v>
      </c>
      <c r="B103" s="6"/>
      <c r="C103" s="6" t="s">
        <v>19</v>
      </c>
      <c r="D103" s="30"/>
      <c r="E103" s="17">
        <f t="shared" si="11"/>
        <v>0</v>
      </c>
      <c r="K103" s="17">
        <f t="shared" si="8"/>
        <v>0</v>
      </c>
      <c r="U103" s="17">
        <f t="shared" si="7"/>
        <v>0</v>
      </c>
      <c r="AA103" s="17">
        <f t="shared" si="9"/>
        <v>0</v>
      </c>
      <c r="AB103" s="33"/>
      <c r="AC103" s="33">
        <f t="shared" si="10"/>
        <v>0</v>
      </c>
    </row>
    <row r="104" spans="1:29">
      <c r="A104" s="1" t="s">
        <v>372</v>
      </c>
      <c r="B104" s="1"/>
      <c r="C104" s="1" t="s">
        <v>54</v>
      </c>
      <c r="D104" s="30"/>
      <c r="E104" s="17">
        <f t="shared" si="11"/>
        <v>0</v>
      </c>
      <c r="K104" s="17">
        <f t="shared" si="8"/>
        <v>0</v>
      </c>
      <c r="U104" s="17">
        <f t="shared" si="7"/>
        <v>0</v>
      </c>
      <c r="AA104" s="17">
        <f t="shared" si="9"/>
        <v>0</v>
      </c>
      <c r="AB104" s="33"/>
      <c r="AC104" s="33">
        <f t="shared" si="10"/>
        <v>0</v>
      </c>
    </row>
    <row r="105" spans="1:29">
      <c r="A105" s="1" t="s">
        <v>516</v>
      </c>
      <c r="B105" s="1"/>
      <c r="C105" s="1" t="s">
        <v>51</v>
      </c>
      <c r="D105" s="30"/>
      <c r="E105" s="17">
        <f t="shared" si="11"/>
        <v>0</v>
      </c>
      <c r="K105" s="17">
        <f t="shared" si="8"/>
        <v>0</v>
      </c>
      <c r="U105" s="17">
        <f t="shared" si="7"/>
        <v>0</v>
      </c>
      <c r="AA105" s="17">
        <f t="shared" si="9"/>
        <v>0</v>
      </c>
      <c r="AB105" s="33"/>
      <c r="AC105" s="33">
        <f t="shared" si="10"/>
        <v>0</v>
      </c>
    </row>
    <row r="106" spans="1:29">
      <c r="A106" s="12" t="s">
        <v>11</v>
      </c>
      <c r="B106" s="12"/>
      <c r="C106" s="12" t="s">
        <v>12</v>
      </c>
      <c r="D106" s="30"/>
      <c r="E106" s="17">
        <f t="shared" si="11"/>
        <v>0</v>
      </c>
      <c r="K106" s="17">
        <f t="shared" si="8"/>
        <v>0</v>
      </c>
      <c r="U106" s="17">
        <f t="shared" si="7"/>
        <v>0</v>
      </c>
      <c r="AA106" s="17">
        <f t="shared" si="9"/>
        <v>0</v>
      </c>
      <c r="AB106" s="33"/>
      <c r="AC106" s="33">
        <f t="shared" si="10"/>
        <v>0</v>
      </c>
    </row>
    <row r="107" spans="1:29">
      <c r="A107" s="1" t="s">
        <v>520</v>
      </c>
      <c r="B107" s="1"/>
      <c r="C107" s="1" t="s">
        <v>25</v>
      </c>
      <c r="D107" s="30"/>
      <c r="E107" s="17">
        <f t="shared" si="11"/>
        <v>0</v>
      </c>
      <c r="K107" s="17">
        <f t="shared" si="8"/>
        <v>0</v>
      </c>
      <c r="U107" s="17">
        <f t="shared" si="7"/>
        <v>0</v>
      </c>
      <c r="AA107" s="17">
        <f t="shared" si="9"/>
        <v>0</v>
      </c>
      <c r="AB107" s="33"/>
      <c r="AC107" s="33">
        <f t="shared" si="10"/>
        <v>0</v>
      </c>
    </row>
    <row r="108" spans="1:29">
      <c r="A108" s="12" t="s">
        <v>439</v>
      </c>
      <c r="B108" s="12"/>
      <c r="C108" s="12" t="s">
        <v>13</v>
      </c>
      <c r="D108" s="30"/>
      <c r="E108" s="17">
        <f t="shared" si="11"/>
        <v>0</v>
      </c>
      <c r="K108" s="17">
        <f t="shared" si="8"/>
        <v>0</v>
      </c>
      <c r="U108" s="17">
        <f t="shared" si="7"/>
        <v>0</v>
      </c>
      <c r="AA108" s="17">
        <f t="shared" si="9"/>
        <v>0</v>
      </c>
      <c r="AB108" s="33"/>
      <c r="AC108" s="33">
        <f t="shared" si="10"/>
        <v>0</v>
      </c>
    </row>
    <row r="109" spans="1:29">
      <c r="A109" s="1" t="s">
        <v>439</v>
      </c>
      <c r="B109" s="1"/>
      <c r="C109" s="1" t="s">
        <v>13</v>
      </c>
      <c r="D109" s="30"/>
      <c r="E109" s="17">
        <f t="shared" si="11"/>
        <v>0</v>
      </c>
      <c r="K109" s="17">
        <f t="shared" si="8"/>
        <v>0</v>
      </c>
      <c r="U109" s="17">
        <f t="shared" si="7"/>
        <v>0</v>
      </c>
      <c r="AA109" s="17">
        <f t="shared" si="9"/>
        <v>0</v>
      </c>
      <c r="AB109" s="33"/>
      <c r="AC109" s="33">
        <f t="shared" si="10"/>
        <v>0</v>
      </c>
    </row>
    <row r="110" spans="1:29">
      <c r="A110" s="1" t="s">
        <v>386</v>
      </c>
      <c r="B110" s="1"/>
      <c r="C110" s="1" t="s">
        <v>185</v>
      </c>
      <c r="D110" s="30"/>
      <c r="E110" s="17">
        <f t="shared" si="11"/>
        <v>0</v>
      </c>
      <c r="K110" s="17">
        <f t="shared" si="8"/>
        <v>0</v>
      </c>
      <c r="U110" s="17">
        <f t="shared" si="7"/>
        <v>0</v>
      </c>
      <c r="AA110" s="17">
        <f t="shared" si="9"/>
        <v>0</v>
      </c>
      <c r="AB110" s="33"/>
      <c r="AC110" s="33">
        <f t="shared" si="10"/>
        <v>0</v>
      </c>
    </row>
    <row r="111" spans="1:29">
      <c r="A111" s="1" t="s">
        <v>376</v>
      </c>
      <c r="B111" s="1"/>
      <c r="C111" s="1" t="s">
        <v>54</v>
      </c>
      <c r="D111" s="30"/>
      <c r="E111" s="17">
        <f t="shared" si="11"/>
        <v>0</v>
      </c>
      <c r="K111" s="17">
        <f t="shared" si="8"/>
        <v>0</v>
      </c>
      <c r="U111" s="17">
        <f t="shared" si="7"/>
        <v>0</v>
      </c>
      <c r="AA111" s="17">
        <f t="shared" si="9"/>
        <v>0</v>
      </c>
      <c r="AB111" s="33"/>
      <c r="AC111" s="33">
        <f t="shared" si="10"/>
        <v>0</v>
      </c>
    </row>
    <row r="112" spans="1:29">
      <c r="A112" s="1" t="s">
        <v>378</v>
      </c>
      <c r="B112" s="1"/>
      <c r="C112" s="1" t="s">
        <v>54</v>
      </c>
      <c r="D112" s="30"/>
      <c r="E112" s="17">
        <f t="shared" si="11"/>
        <v>0</v>
      </c>
      <c r="K112" s="17">
        <f t="shared" si="8"/>
        <v>0</v>
      </c>
      <c r="U112" s="17">
        <f t="shared" si="7"/>
        <v>0</v>
      </c>
      <c r="AA112" s="17">
        <f t="shared" si="9"/>
        <v>0</v>
      </c>
      <c r="AB112" s="33"/>
      <c r="AC112" s="33">
        <f t="shared" si="10"/>
        <v>0</v>
      </c>
    </row>
    <row r="113" spans="1:29">
      <c r="A113" s="1" t="s">
        <v>195</v>
      </c>
      <c r="B113" s="1"/>
      <c r="C113" s="1" t="s">
        <v>25</v>
      </c>
      <c r="D113" s="30"/>
      <c r="E113" s="17">
        <f t="shared" si="11"/>
        <v>0</v>
      </c>
      <c r="K113" s="17">
        <f t="shared" si="8"/>
        <v>0</v>
      </c>
      <c r="U113" s="17">
        <f t="shared" si="7"/>
        <v>0</v>
      </c>
      <c r="AA113" s="17">
        <f t="shared" si="9"/>
        <v>0</v>
      </c>
      <c r="AB113" s="33"/>
      <c r="AC113" s="33">
        <f t="shared" si="10"/>
        <v>0</v>
      </c>
    </row>
    <row r="114" spans="1:29">
      <c r="A114" s="1" t="s">
        <v>379</v>
      </c>
      <c r="B114" s="1"/>
      <c r="C114" s="1" t="s">
        <v>62</v>
      </c>
      <c r="D114" s="30"/>
      <c r="E114" s="17">
        <f t="shared" si="11"/>
        <v>0</v>
      </c>
      <c r="K114" s="17">
        <f t="shared" si="8"/>
        <v>0</v>
      </c>
      <c r="U114" s="17">
        <f t="shared" si="7"/>
        <v>0</v>
      </c>
      <c r="AA114" s="17">
        <f t="shared" si="9"/>
        <v>0</v>
      </c>
      <c r="AB114" s="33"/>
      <c r="AC114" s="33">
        <f t="shared" si="10"/>
        <v>0</v>
      </c>
    </row>
    <row r="115" spans="1:29">
      <c r="A115" s="12" t="s">
        <v>197</v>
      </c>
      <c r="B115" s="12"/>
      <c r="C115" s="12" t="s">
        <v>10</v>
      </c>
      <c r="D115" s="30"/>
      <c r="E115" s="17">
        <f t="shared" si="11"/>
        <v>0</v>
      </c>
      <c r="K115" s="17">
        <f t="shared" si="8"/>
        <v>0</v>
      </c>
      <c r="U115" s="17">
        <f t="shared" si="7"/>
        <v>0</v>
      </c>
      <c r="Z115" s="33"/>
      <c r="AA115" s="17">
        <f t="shared" si="9"/>
        <v>0</v>
      </c>
      <c r="AB115" s="33"/>
      <c r="AC115" s="33">
        <f t="shared" si="10"/>
        <v>0</v>
      </c>
    </row>
    <row r="116" spans="1:29">
      <c r="A116" s="1" t="s">
        <v>380</v>
      </c>
      <c r="B116" s="1"/>
      <c r="C116" s="1" t="s">
        <v>25</v>
      </c>
      <c r="D116" s="30"/>
      <c r="E116" s="17">
        <f t="shared" si="11"/>
        <v>0</v>
      </c>
      <c r="K116" s="17">
        <f t="shared" si="8"/>
        <v>0</v>
      </c>
      <c r="U116" s="17">
        <f t="shared" si="7"/>
        <v>0</v>
      </c>
      <c r="AA116" s="17">
        <f t="shared" si="9"/>
        <v>0</v>
      </c>
      <c r="AB116" s="33"/>
      <c r="AC116" s="33">
        <f t="shared" si="10"/>
        <v>0</v>
      </c>
    </row>
    <row r="117" spans="1:29">
      <c r="A117" s="1" t="s">
        <v>518</v>
      </c>
      <c r="B117" s="1"/>
      <c r="C117" s="1" t="s">
        <v>64</v>
      </c>
      <c r="D117" s="30"/>
      <c r="E117" s="17">
        <f t="shared" si="11"/>
        <v>0</v>
      </c>
      <c r="K117" s="17">
        <f>+Q117-M117-O117</f>
        <v>0</v>
      </c>
      <c r="U117" s="17">
        <f>Y117-W117-S117</f>
        <v>0</v>
      </c>
      <c r="AA117" s="17">
        <f t="shared" si="9"/>
        <v>0</v>
      </c>
      <c r="AB117" s="33"/>
      <c r="AC117" s="33">
        <f t="shared" si="10"/>
        <v>0</v>
      </c>
    </row>
    <row r="118" spans="1:29">
      <c r="A118" s="12" t="s">
        <v>431</v>
      </c>
      <c r="B118" s="12"/>
      <c r="C118" s="12" t="s">
        <v>16</v>
      </c>
      <c r="D118" s="30"/>
      <c r="E118" s="17">
        <f t="shared" si="11"/>
        <v>0</v>
      </c>
      <c r="K118" s="17">
        <f>+Q118-M118-O118</f>
        <v>0</v>
      </c>
      <c r="U118" s="17">
        <f>Y118-W118-S118</f>
        <v>0</v>
      </c>
      <c r="AA118" s="17">
        <f t="shared" si="9"/>
        <v>0</v>
      </c>
      <c r="AB118" s="33"/>
      <c r="AC118" s="33">
        <f t="shared" si="10"/>
        <v>0</v>
      </c>
    </row>
    <row r="119" spans="1:29">
      <c r="A119" s="6" t="s">
        <v>208</v>
      </c>
      <c r="B119" s="6"/>
      <c r="C119" s="6" t="s">
        <v>209</v>
      </c>
      <c r="D119" s="30"/>
      <c r="E119" s="17">
        <f t="shared" ref="E119:E148" si="12">+I119-G119</f>
        <v>0</v>
      </c>
      <c r="K119" s="17">
        <f t="shared" ref="K119:K182" si="13">+Q119-M119-O119</f>
        <v>0</v>
      </c>
      <c r="U119" s="17">
        <f t="shared" ref="U119:U182" si="14">Y119-W119-S119</f>
        <v>0</v>
      </c>
      <c r="AA119" s="17">
        <f t="shared" si="9"/>
        <v>0</v>
      </c>
      <c r="AB119" s="33"/>
      <c r="AC119" s="33">
        <f t="shared" si="10"/>
        <v>0</v>
      </c>
    </row>
    <row r="120" spans="1:29">
      <c r="A120" s="1" t="s">
        <v>382</v>
      </c>
      <c r="B120" s="1"/>
      <c r="C120" s="1" t="s">
        <v>65</v>
      </c>
      <c r="D120" s="30"/>
      <c r="E120" s="17">
        <f t="shared" si="12"/>
        <v>0</v>
      </c>
      <c r="K120" s="17">
        <f t="shared" si="13"/>
        <v>0</v>
      </c>
      <c r="U120" s="17">
        <f t="shared" si="14"/>
        <v>0</v>
      </c>
      <c r="AA120" s="17">
        <f t="shared" si="9"/>
        <v>0</v>
      </c>
      <c r="AB120" s="33"/>
      <c r="AC120" s="33">
        <f t="shared" si="10"/>
        <v>0</v>
      </c>
    </row>
    <row r="121" spans="1:29">
      <c r="A121" s="5" t="s">
        <v>218</v>
      </c>
      <c r="B121" s="6"/>
      <c r="C121" s="6" t="s">
        <v>25</v>
      </c>
      <c r="D121" s="30"/>
      <c r="E121" s="17">
        <f t="shared" si="12"/>
        <v>0</v>
      </c>
      <c r="K121" s="17">
        <v>0</v>
      </c>
      <c r="U121" s="17">
        <v>0</v>
      </c>
      <c r="AA121" s="17">
        <f t="shared" si="9"/>
        <v>0</v>
      </c>
      <c r="AB121" s="33"/>
      <c r="AC121" s="33">
        <f t="shared" si="10"/>
        <v>0</v>
      </c>
    </row>
    <row r="122" spans="1:29">
      <c r="A122" s="1" t="s">
        <v>383</v>
      </c>
      <c r="B122" s="1"/>
      <c r="C122" s="1" t="s">
        <v>22</v>
      </c>
      <c r="E122" s="17">
        <f t="shared" si="12"/>
        <v>0</v>
      </c>
      <c r="K122" s="17">
        <v>0</v>
      </c>
      <c r="U122" s="17">
        <v>0</v>
      </c>
      <c r="AA122" s="17">
        <f t="shared" si="9"/>
        <v>0</v>
      </c>
      <c r="AB122" s="33"/>
      <c r="AC122" s="33">
        <f t="shared" si="10"/>
        <v>0</v>
      </c>
    </row>
    <row r="123" spans="1:29" s="33" customFormat="1">
      <c r="A123" s="1" t="s">
        <v>519</v>
      </c>
      <c r="B123" s="1"/>
      <c r="C123" s="1" t="s">
        <v>66</v>
      </c>
      <c r="D123" s="17"/>
      <c r="E123" s="17">
        <f t="shared" si="12"/>
        <v>0</v>
      </c>
      <c r="F123" s="17"/>
      <c r="G123" s="17"/>
      <c r="H123" s="17"/>
      <c r="I123" s="17"/>
      <c r="K123" s="33">
        <f>+Q123-M123-O123</f>
        <v>0</v>
      </c>
      <c r="U123" s="33">
        <f>Y123-W123-S123</f>
        <v>0</v>
      </c>
      <c r="AA123" s="17">
        <f t="shared" si="9"/>
        <v>0</v>
      </c>
      <c r="AC123" s="33">
        <f t="shared" si="10"/>
        <v>0</v>
      </c>
    </row>
    <row r="124" spans="1:29">
      <c r="A124" s="5" t="s">
        <v>444</v>
      </c>
      <c r="B124" s="6"/>
      <c r="C124" s="6" t="s">
        <v>236</v>
      </c>
      <c r="D124" s="31"/>
      <c r="E124" s="17">
        <f t="shared" si="12"/>
        <v>0</v>
      </c>
      <c r="F124" s="33"/>
      <c r="G124" s="33"/>
      <c r="H124" s="33"/>
      <c r="I124" s="33"/>
      <c r="K124" s="17">
        <f>+Q124-M124-O124</f>
        <v>0</v>
      </c>
      <c r="U124" s="17">
        <f>Y124-W124-S124</f>
        <v>0</v>
      </c>
      <c r="AA124" s="17">
        <f t="shared" si="9"/>
        <v>0</v>
      </c>
      <c r="AB124" s="33"/>
      <c r="AC124" s="33">
        <f t="shared" si="10"/>
        <v>0</v>
      </c>
    </row>
    <row r="125" spans="1:29">
      <c r="A125" s="1" t="s">
        <v>385</v>
      </c>
      <c r="B125" s="1"/>
      <c r="C125" s="1" t="s">
        <v>12</v>
      </c>
      <c r="D125" s="30"/>
      <c r="E125" s="17">
        <f t="shared" si="12"/>
        <v>0</v>
      </c>
      <c r="K125" s="17">
        <f t="shared" si="13"/>
        <v>0</v>
      </c>
      <c r="U125" s="17">
        <f t="shared" si="14"/>
        <v>0</v>
      </c>
      <c r="AA125" s="17">
        <f t="shared" si="9"/>
        <v>0</v>
      </c>
      <c r="AB125" s="33"/>
      <c r="AC125" s="33">
        <f t="shared" si="10"/>
        <v>0</v>
      </c>
    </row>
    <row r="126" spans="1:29">
      <c r="A126" s="12" t="s">
        <v>547</v>
      </c>
      <c r="B126" s="12"/>
      <c r="C126" s="12" t="s">
        <v>446</v>
      </c>
      <c r="D126" s="30"/>
      <c r="E126" s="17">
        <f t="shared" si="12"/>
        <v>0</v>
      </c>
      <c r="K126" s="17">
        <f t="shared" si="13"/>
        <v>0</v>
      </c>
      <c r="U126" s="17">
        <f t="shared" si="14"/>
        <v>0</v>
      </c>
      <c r="AA126" s="17">
        <f t="shared" si="9"/>
        <v>0</v>
      </c>
      <c r="AB126" s="33"/>
      <c r="AC126" s="33">
        <f t="shared" si="10"/>
        <v>0</v>
      </c>
    </row>
    <row r="127" spans="1:29">
      <c r="A127" s="1" t="s">
        <v>388</v>
      </c>
      <c r="B127" s="1"/>
      <c r="C127" s="1" t="s">
        <v>46</v>
      </c>
      <c r="D127" s="30"/>
      <c r="E127" s="17">
        <f t="shared" si="12"/>
        <v>0</v>
      </c>
      <c r="K127" s="17">
        <f t="shared" si="13"/>
        <v>0</v>
      </c>
      <c r="U127" s="17">
        <f t="shared" si="14"/>
        <v>0</v>
      </c>
      <c r="AA127" s="17">
        <f t="shared" si="9"/>
        <v>0</v>
      </c>
      <c r="AB127" s="33"/>
      <c r="AC127" s="33">
        <f t="shared" si="10"/>
        <v>0</v>
      </c>
    </row>
    <row r="128" spans="1:29">
      <c r="A128" s="1" t="s">
        <v>389</v>
      </c>
      <c r="B128" s="1"/>
      <c r="C128" s="1" t="s">
        <v>61</v>
      </c>
      <c r="D128" s="30"/>
      <c r="E128" s="17">
        <f t="shared" si="12"/>
        <v>0</v>
      </c>
      <c r="K128" s="17">
        <f t="shared" si="13"/>
        <v>0</v>
      </c>
      <c r="U128" s="17">
        <f t="shared" si="14"/>
        <v>0</v>
      </c>
      <c r="AA128" s="17">
        <f t="shared" si="9"/>
        <v>0</v>
      </c>
      <c r="AB128" s="33"/>
      <c r="AC128" s="33">
        <f t="shared" si="10"/>
        <v>0</v>
      </c>
    </row>
    <row r="129" spans="1:29">
      <c r="A129" s="1" t="s">
        <v>242</v>
      </c>
      <c r="B129" s="1"/>
      <c r="C129" s="1" t="s">
        <v>167</v>
      </c>
      <c r="D129" s="30"/>
      <c r="E129" s="17">
        <f t="shared" si="12"/>
        <v>0</v>
      </c>
      <c r="K129" s="17">
        <f t="shared" si="13"/>
        <v>0</v>
      </c>
      <c r="U129" s="17">
        <f t="shared" si="14"/>
        <v>0</v>
      </c>
      <c r="AA129" s="17">
        <f t="shared" si="9"/>
        <v>0</v>
      </c>
      <c r="AB129" s="33"/>
      <c r="AC129" s="33">
        <f t="shared" si="10"/>
        <v>0</v>
      </c>
    </row>
    <row r="130" spans="1:29">
      <c r="A130" s="2" t="s">
        <v>517</v>
      </c>
      <c r="B130" s="2"/>
      <c r="C130" s="2" t="s">
        <v>50</v>
      </c>
      <c r="D130" s="34"/>
      <c r="E130" s="17">
        <f t="shared" si="12"/>
        <v>0</v>
      </c>
      <c r="K130" s="17">
        <f t="shared" si="13"/>
        <v>0</v>
      </c>
      <c r="U130" s="17">
        <f t="shared" si="14"/>
        <v>0</v>
      </c>
      <c r="AA130" s="17">
        <f t="shared" si="9"/>
        <v>0</v>
      </c>
      <c r="AB130" s="33"/>
      <c r="AC130" s="33">
        <f t="shared" si="10"/>
        <v>0</v>
      </c>
    </row>
    <row r="131" spans="1:29">
      <c r="A131" s="1" t="s">
        <v>521</v>
      </c>
      <c r="B131" s="1"/>
      <c r="C131" s="1" t="s">
        <v>62</v>
      </c>
      <c r="D131" s="34"/>
      <c r="E131" s="17">
        <f t="shared" si="12"/>
        <v>0</v>
      </c>
      <c r="K131" s="17">
        <f t="shared" si="13"/>
        <v>0</v>
      </c>
      <c r="U131" s="17">
        <f t="shared" si="14"/>
        <v>0</v>
      </c>
      <c r="AA131" s="17">
        <f t="shared" si="9"/>
        <v>0</v>
      </c>
      <c r="AB131" s="33"/>
      <c r="AC131" s="33">
        <f t="shared" si="10"/>
        <v>0</v>
      </c>
    </row>
    <row r="132" spans="1:29">
      <c r="A132" s="1" t="s">
        <v>393</v>
      </c>
      <c r="B132" s="1"/>
      <c r="C132" s="1" t="s">
        <v>68</v>
      </c>
      <c r="D132" s="34"/>
      <c r="E132" s="17">
        <f t="shared" si="12"/>
        <v>0</v>
      </c>
      <c r="K132" s="17">
        <f t="shared" si="13"/>
        <v>0</v>
      </c>
      <c r="U132" s="17">
        <f t="shared" si="14"/>
        <v>0</v>
      </c>
      <c r="AA132" s="17">
        <f t="shared" si="9"/>
        <v>0</v>
      </c>
      <c r="AB132" s="33"/>
      <c r="AC132" s="33">
        <f t="shared" si="10"/>
        <v>0</v>
      </c>
    </row>
    <row r="133" spans="1:29">
      <c r="A133" s="1" t="s">
        <v>548</v>
      </c>
      <c r="B133" s="1"/>
      <c r="C133" s="1" t="s">
        <v>44</v>
      </c>
      <c r="D133" s="34"/>
      <c r="E133" s="17">
        <f t="shared" si="12"/>
        <v>0</v>
      </c>
      <c r="K133" s="17">
        <f t="shared" si="13"/>
        <v>0</v>
      </c>
      <c r="U133" s="17">
        <f t="shared" si="14"/>
        <v>0</v>
      </c>
      <c r="AA133" s="17">
        <f t="shared" si="9"/>
        <v>0</v>
      </c>
      <c r="AB133" s="33"/>
      <c r="AC133" s="33">
        <f t="shared" si="10"/>
        <v>0</v>
      </c>
    </row>
    <row r="134" spans="1:29">
      <c r="A134" s="1" t="s">
        <v>396</v>
      </c>
      <c r="B134" s="1"/>
      <c r="C134" s="1" t="s">
        <v>13</v>
      </c>
      <c r="D134" s="34"/>
      <c r="E134" s="17">
        <f t="shared" si="12"/>
        <v>0</v>
      </c>
      <c r="K134" s="17">
        <f>+Q134-M134-O134</f>
        <v>0</v>
      </c>
      <c r="U134" s="17">
        <f>Y134-W134-S134</f>
        <v>0</v>
      </c>
      <c r="AA134" s="17">
        <f t="shared" si="9"/>
        <v>0</v>
      </c>
      <c r="AB134" s="33"/>
      <c r="AC134" s="33">
        <f t="shared" si="10"/>
        <v>0</v>
      </c>
    </row>
    <row r="135" spans="1:29">
      <c r="A135" s="5" t="s">
        <v>255</v>
      </c>
      <c r="B135" s="6"/>
      <c r="C135" s="6" t="s">
        <v>25</v>
      </c>
      <c r="D135" s="34"/>
      <c r="E135" s="17">
        <f t="shared" si="12"/>
        <v>0</v>
      </c>
      <c r="K135" s="17">
        <f t="shared" si="13"/>
        <v>0</v>
      </c>
      <c r="U135" s="17">
        <f t="shared" si="14"/>
        <v>0</v>
      </c>
      <c r="AA135" s="17">
        <f t="shared" si="9"/>
        <v>0</v>
      </c>
      <c r="AB135" s="33"/>
      <c r="AC135" s="33">
        <f t="shared" si="10"/>
        <v>0</v>
      </c>
    </row>
    <row r="136" spans="1:29">
      <c r="A136" s="12" t="s">
        <v>258</v>
      </c>
      <c r="B136" s="12"/>
      <c r="C136" s="12" t="s">
        <v>22</v>
      </c>
      <c r="D136" s="34"/>
      <c r="E136" s="17">
        <f t="shared" si="12"/>
        <v>0</v>
      </c>
      <c r="K136" s="17">
        <f t="shared" si="13"/>
        <v>0</v>
      </c>
      <c r="U136" s="17">
        <f t="shared" si="14"/>
        <v>0</v>
      </c>
      <c r="AA136" s="17">
        <f t="shared" si="9"/>
        <v>0</v>
      </c>
      <c r="AB136" s="33"/>
      <c r="AC136" s="33">
        <f t="shared" si="10"/>
        <v>0</v>
      </c>
    </row>
    <row r="137" spans="1:29">
      <c r="A137" s="12" t="s">
        <v>448</v>
      </c>
      <c r="B137" s="12"/>
      <c r="C137" s="12" t="s">
        <v>53</v>
      </c>
      <c r="D137" s="34"/>
      <c r="E137" s="17">
        <f t="shared" si="12"/>
        <v>0</v>
      </c>
      <c r="K137" s="17">
        <f t="shared" si="13"/>
        <v>0</v>
      </c>
      <c r="U137" s="17">
        <f t="shared" si="14"/>
        <v>0</v>
      </c>
      <c r="AA137" s="17">
        <f t="shared" si="9"/>
        <v>0</v>
      </c>
      <c r="AB137" s="33"/>
      <c r="AC137" s="33">
        <f t="shared" si="10"/>
        <v>0</v>
      </c>
    </row>
    <row r="138" spans="1:29">
      <c r="A138" s="12" t="s">
        <v>263</v>
      </c>
      <c r="B138" s="12"/>
      <c r="C138" s="12" t="s">
        <v>318</v>
      </c>
      <c r="D138" s="34"/>
      <c r="E138" s="17">
        <f t="shared" si="12"/>
        <v>0</v>
      </c>
      <c r="K138" s="17">
        <f t="shared" si="13"/>
        <v>0</v>
      </c>
      <c r="U138" s="17">
        <f t="shared" si="14"/>
        <v>0</v>
      </c>
      <c r="AA138" s="17">
        <f t="shared" si="9"/>
        <v>0</v>
      </c>
      <c r="AB138" s="33"/>
      <c r="AC138" s="33">
        <f t="shared" si="10"/>
        <v>0</v>
      </c>
    </row>
    <row r="139" spans="1:29">
      <c r="A139" s="12" t="s">
        <v>449</v>
      </c>
      <c r="B139" s="12"/>
      <c r="C139" s="12" t="s">
        <v>53</v>
      </c>
      <c r="D139" s="34"/>
      <c r="E139" s="17">
        <f t="shared" si="12"/>
        <v>0</v>
      </c>
      <c r="K139" s="17">
        <f t="shared" si="13"/>
        <v>0</v>
      </c>
      <c r="U139" s="17">
        <f t="shared" si="14"/>
        <v>0</v>
      </c>
      <c r="AA139" s="17">
        <f t="shared" si="9"/>
        <v>0</v>
      </c>
      <c r="AB139" s="33"/>
      <c r="AC139" s="33">
        <f t="shared" si="10"/>
        <v>0</v>
      </c>
    </row>
    <row r="140" spans="1:29">
      <c r="A140" s="12" t="s">
        <v>265</v>
      </c>
      <c r="B140" s="12"/>
      <c r="C140" s="12" t="s">
        <v>26</v>
      </c>
      <c r="D140" s="34"/>
      <c r="E140" s="17">
        <f t="shared" si="12"/>
        <v>0</v>
      </c>
      <c r="K140" s="17">
        <f t="shared" si="13"/>
        <v>0</v>
      </c>
      <c r="U140" s="17">
        <f t="shared" si="14"/>
        <v>0</v>
      </c>
      <c r="AA140" s="17">
        <f t="shared" ref="AA140:AA150" si="15">+H140-P140-X140</f>
        <v>0</v>
      </c>
      <c r="AB140" s="33"/>
      <c r="AC140" s="33">
        <f t="shared" ref="AC140:AC150" si="16">+D140+F140+-J140-L140-R140-T140-V140-N140</f>
        <v>0</v>
      </c>
    </row>
    <row r="141" spans="1:29">
      <c r="A141" s="12" t="s">
        <v>319</v>
      </c>
      <c r="B141" s="12"/>
      <c r="C141" s="12" t="s">
        <v>22</v>
      </c>
      <c r="D141" s="34"/>
      <c r="E141" s="17">
        <f t="shared" si="12"/>
        <v>0</v>
      </c>
      <c r="K141" s="17">
        <f t="shared" si="13"/>
        <v>0</v>
      </c>
      <c r="U141" s="17">
        <f t="shared" si="14"/>
        <v>0</v>
      </c>
      <c r="AA141" s="17">
        <f t="shared" si="15"/>
        <v>0</v>
      </c>
      <c r="AB141" s="33"/>
      <c r="AC141" s="33">
        <f t="shared" si="16"/>
        <v>0</v>
      </c>
    </row>
    <row r="142" spans="1:29">
      <c r="A142" s="12" t="s">
        <v>346</v>
      </c>
      <c r="B142" s="12"/>
      <c r="C142" s="12" t="s">
        <v>27</v>
      </c>
      <c r="D142" s="34"/>
      <c r="E142" s="17">
        <f t="shared" si="12"/>
        <v>0</v>
      </c>
      <c r="K142" s="17">
        <f>+Q142-M142-O142</f>
        <v>0</v>
      </c>
      <c r="U142" s="17">
        <f>Y142-W142-S142</f>
        <v>0</v>
      </c>
      <c r="AA142" s="17">
        <f t="shared" si="15"/>
        <v>0</v>
      </c>
      <c r="AB142" s="33"/>
      <c r="AC142" s="33">
        <f t="shared" si="16"/>
        <v>0</v>
      </c>
    </row>
    <row r="143" spans="1:29">
      <c r="A143" s="1" t="s">
        <v>272</v>
      </c>
      <c r="B143" s="1"/>
      <c r="C143" s="1" t="s">
        <v>65</v>
      </c>
      <c r="D143" s="30"/>
      <c r="E143" s="17">
        <f t="shared" si="12"/>
        <v>0</v>
      </c>
      <c r="K143" s="17">
        <f t="shared" si="13"/>
        <v>0</v>
      </c>
      <c r="U143" s="17">
        <f t="shared" si="14"/>
        <v>0</v>
      </c>
      <c r="AA143" s="17">
        <f t="shared" si="15"/>
        <v>0</v>
      </c>
      <c r="AB143" s="33"/>
      <c r="AC143" s="33">
        <f t="shared" si="16"/>
        <v>0</v>
      </c>
    </row>
    <row r="144" spans="1:29">
      <c r="A144" s="1" t="s">
        <v>39</v>
      </c>
      <c r="B144" s="1"/>
      <c r="C144" s="1" t="s">
        <v>15</v>
      </c>
      <c r="D144" s="34"/>
      <c r="E144" s="17">
        <f t="shared" si="12"/>
        <v>0</v>
      </c>
      <c r="K144" s="17">
        <f t="shared" si="13"/>
        <v>0</v>
      </c>
      <c r="U144" s="17">
        <f t="shared" si="14"/>
        <v>0</v>
      </c>
      <c r="AA144" s="17">
        <f t="shared" si="15"/>
        <v>0</v>
      </c>
      <c r="AB144" s="33"/>
      <c r="AC144" s="33">
        <f t="shared" si="16"/>
        <v>0</v>
      </c>
    </row>
    <row r="145" spans="1:31">
      <c r="A145" s="12" t="s">
        <v>276</v>
      </c>
      <c r="B145" s="12"/>
      <c r="C145" s="12" t="s">
        <v>15</v>
      </c>
      <c r="D145" s="34"/>
      <c r="E145" s="17">
        <f t="shared" si="12"/>
        <v>0</v>
      </c>
      <c r="K145" s="17">
        <f t="shared" si="13"/>
        <v>0</v>
      </c>
      <c r="U145" s="17">
        <f t="shared" si="14"/>
        <v>0</v>
      </c>
      <c r="AA145" s="17">
        <f t="shared" si="15"/>
        <v>0</v>
      </c>
      <c r="AB145" s="33"/>
      <c r="AC145" s="33">
        <f t="shared" si="16"/>
        <v>0</v>
      </c>
    </row>
    <row r="146" spans="1:31">
      <c r="A146" s="1" t="s">
        <v>398</v>
      </c>
      <c r="B146" s="1"/>
      <c r="C146" s="1" t="s">
        <v>69</v>
      </c>
      <c r="D146" s="34"/>
      <c r="E146" s="17">
        <f t="shared" si="12"/>
        <v>0</v>
      </c>
      <c r="K146" s="17">
        <f t="shared" si="13"/>
        <v>0</v>
      </c>
      <c r="U146" s="17">
        <f t="shared" si="14"/>
        <v>0</v>
      </c>
      <c r="AA146" s="17">
        <f t="shared" si="15"/>
        <v>0</v>
      </c>
      <c r="AB146" s="33"/>
      <c r="AC146" s="33">
        <f t="shared" si="16"/>
        <v>0</v>
      </c>
    </row>
    <row r="147" spans="1:31">
      <c r="A147" s="12" t="s">
        <v>279</v>
      </c>
      <c r="B147" s="12"/>
      <c r="C147" s="12" t="s">
        <v>92</v>
      </c>
      <c r="D147" s="34"/>
      <c r="E147" s="17">
        <f t="shared" si="12"/>
        <v>0</v>
      </c>
      <c r="K147" s="17">
        <f t="shared" si="13"/>
        <v>0</v>
      </c>
      <c r="U147" s="17">
        <f t="shared" si="14"/>
        <v>0</v>
      </c>
      <c r="AA147" s="17">
        <f t="shared" si="15"/>
        <v>0</v>
      </c>
      <c r="AB147" s="33"/>
      <c r="AC147" s="33">
        <f t="shared" si="16"/>
        <v>0</v>
      </c>
    </row>
    <row r="148" spans="1:31">
      <c r="A148" s="1" t="s">
        <v>280</v>
      </c>
      <c r="B148" s="1"/>
      <c r="C148" s="1" t="s">
        <v>55</v>
      </c>
      <c r="D148" s="34"/>
      <c r="E148" s="17">
        <f t="shared" si="12"/>
        <v>0</v>
      </c>
      <c r="K148" s="17">
        <f t="shared" si="13"/>
        <v>0</v>
      </c>
      <c r="U148" s="17">
        <f t="shared" si="14"/>
        <v>0</v>
      </c>
      <c r="AA148" s="17">
        <f t="shared" si="15"/>
        <v>0</v>
      </c>
      <c r="AB148" s="33"/>
      <c r="AC148" s="33">
        <f t="shared" si="16"/>
        <v>0</v>
      </c>
    </row>
    <row r="149" spans="1:31" ht="12.75">
      <c r="A149" s="16"/>
      <c r="B149" s="16"/>
      <c r="C149" s="16"/>
      <c r="D149" s="34"/>
      <c r="K149" s="17">
        <f t="shared" si="13"/>
        <v>0</v>
      </c>
      <c r="U149" s="17">
        <f t="shared" si="14"/>
        <v>0</v>
      </c>
      <c r="AA149" s="17">
        <f t="shared" si="15"/>
        <v>0</v>
      </c>
      <c r="AB149" s="33"/>
      <c r="AC149" s="33">
        <f t="shared" si="16"/>
        <v>0</v>
      </c>
    </row>
    <row r="150" spans="1:31">
      <c r="A150" s="34"/>
      <c r="B150" s="34"/>
      <c r="C150" s="34"/>
      <c r="D150" s="34"/>
      <c r="K150" s="17">
        <f t="shared" si="13"/>
        <v>0</v>
      </c>
      <c r="U150" s="17">
        <f t="shared" si="14"/>
        <v>0</v>
      </c>
      <c r="AA150" s="17">
        <f t="shared" si="15"/>
        <v>0</v>
      </c>
      <c r="AB150" s="33"/>
      <c r="AC150" s="33">
        <f t="shared" si="16"/>
        <v>0</v>
      </c>
    </row>
    <row r="151" spans="1:31">
      <c r="A151" s="34"/>
      <c r="B151" s="34"/>
      <c r="C151" s="34"/>
      <c r="D151" s="34"/>
      <c r="K151" s="17">
        <f t="shared" si="13"/>
        <v>0</v>
      </c>
      <c r="U151" s="17">
        <f t="shared" si="14"/>
        <v>0</v>
      </c>
      <c r="AA151" s="17">
        <f t="shared" ref="AA151:AA188" si="17">+I151-Q151-Y151</f>
        <v>0</v>
      </c>
      <c r="AC151" s="33">
        <f t="shared" ref="AC151:AC188" si="18">+E151+G151+-K151-M151-S151-U151-W151-O151</f>
        <v>0</v>
      </c>
    </row>
    <row r="152" spans="1:31">
      <c r="A152" s="34"/>
      <c r="B152" s="34"/>
      <c r="C152" s="34"/>
      <c r="D152" s="34"/>
      <c r="K152" s="17">
        <f t="shared" si="13"/>
        <v>0</v>
      </c>
      <c r="U152" s="17">
        <f t="shared" si="14"/>
        <v>0</v>
      </c>
      <c r="AA152" s="17">
        <f t="shared" si="17"/>
        <v>0</v>
      </c>
      <c r="AC152" s="33">
        <f t="shared" si="18"/>
        <v>0</v>
      </c>
    </row>
    <row r="153" spans="1:31">
      <c r="A153" s="34"/>
      <c r="B153" s="34"/>
      <c r="C153" s="34"/>
      <c r="D153" s="34"/>
      <c r="K153" s="17">
        <f t="shared" si="13"/>
        <v>0</v>
      </c>
      <c r="U153" s="17">
        <f t="shared" si="14"/>
        <v>0</v>
      </c>
      <c r="AA153" s="17">
        <f t="shared" si="17"/>
        <v>0</v>
      </c>
      <c r="AC153" s="33">
        <f t="shared" si="18"/>
        <v>0</v>
      </c>
    </row>
    <row r="154" spans="1:31">
      <c r="A154" s="34"/>
      <c r="B154" s="34"/>
      <c r="C154" s="34"/>
      <c r="D154" s="34"/>
      <c r="K154" s="17">
        <f t="shared" si="13"/>
        <v>0</v>
      </c>
      <c r="U154" s="17">
        <f t="shared" si="14"/>
        <v>0</v>
      </c>
      <c r="AA154" s="17">
        <f t="shared" si="17"/>
        <v>0</v>
      </c>
      <c r="AC154" s="33">
        <f t="shared" si="18"/>
        <v>0</v>
      </c>
    </row>
    <row r="155" spans="1:31">
      <c r="A155" s="34"/>
      <c r="B155" s="34"/>
      <c r="C155" s="34"/>
      <c r="D155" s="34"/>
      <c r="K155" s="17">
        <f t="shared" si="13"/>
        <v>0</v>
      </c>
      <c r="U155" s="17">
        <f t="shared" si="14"/>
        <v>0</v>
      </c>
      <c r="AA155" s="17">
        <f t="shared" si="17"/>
        <v>0</v>
      </c>
      <c r="AC155" s="33">
        <f t="shared" si="18"/>
        <v>0</v>
      </c>
    </row>
    <row r="156" spans="1:31">
      <c r="A156" s="34"/>
      <c r="B156" s="34"/>
      <c r="C156" s="34"/>
      <c r="D156" s="34"/>
      <c r="K156" s="17">
        <f t="shared" si="13"/>
        <v>0</v>
      </c>
      <c r="U156" s="17">
        <f t="shared" si="14"/>
        <v>0</v>
      </c>
      <c r="AA156" s="17">
        <f t="shared" si="17"/>
        <v>0</v>
      </c>
      <c r="AC156" s="33">
        <f t="shared" si="18"/>
        <v>0</v>
      </c>
    </row>
    <row r="157" spans="1:31">
      <c r="A157" s="34"/>
      <c r="B157" s="34"/>
      <c r="C157" s="34"/>
      <c r="D157" s="34"/>
      <c r="K157" s="17">
        <f t="shared" si="13"/>
        <v>0</v>
      </c>
      <c r="U157" s="17">
        <f t="shared" si="14"/>
        <v>0</v>
      </c>
      <c r="AA157" s="17">
        <f t="shared" si="17"/>
        <v>0</v>
      </c>
      <c r="AC157" s="33">
        <f t="shared" si="18"/>
        <v>0</v>
      </c>
    </row>
    <row r="158" spans="1:31">
      <c r="A158" s="34"/>
      <c r="B158" s="34"/>
      <c r="C158" s="34"/>
      <c r="D158" s="34"/>
      <c r="K158" s="17">
        <f t="shared" si="13"/>
        <v>0</v>
      </c>
      <c r="U158" s="17">
        <f t="shared" si="14"/>
        <v>0</v>
      </c>
      <c r="AA158" s="17">
        <f t="shared" si="17"/>
        <v>0</v>
      </c>
      <c r="AC158" s="33">
        <f t="shared" si="18"/>
        <v>0</v>
      </c>
      <c r="AE158" s="17" t="s">
        <v>543</v>
      </c>
    </row>
    <row r="159" spans="1:31">
      <c r="A159" s="34"/>
      <c r="B159" s="34"/>
      <c r="C159" s="34"/>
      <c r="D159" s="34"/>
      <c r="K159" s="17">
        <f t="shared" si="13"/>
        <v>0</v>
      </c>
      <c r="U159" s="17">
        <f t="shared" si="14"/>
        <v>0</v>
      </c>
      <c r="AA159" s="17">
        <f t="shared" si="17"/>
        <v>0</v>
      </c>
      <c r="AC159" s="33">
        <f t="shared" si="18"/>
        <v>0</v>
      </c>
    </row>
    <row r="160" spans="1:31">
      <c r="A160" s="34"/>
      <c r="B160" s="34"/>
      <c r="C160" s="34"/>
      <c r="D160" s="34"/>
      <c r="K160" s="17">
        <f t="shared" si="13"/>
        <v>0</v>
      </c>
      <c r="U160" s="17">
        <f t="shared" si="14"/>
        <v>0</v>
      </c>
      <c r="AA160" s="17">
        <f t="shared" si="17"/>
        <v>0</v>
      </c>
      <c r="AC160" s="33">
        <f t="shared" si="18"/>
        <v>0</v>
      </c>
    </row>
    <row r="161" spans="1:29">
      <c r="A161" s="34"/>
      <c r="B161" s="34"/>
      <c r="C161" s="34"/>
      <c r="D161" s="34"/>
      <c r="K161" s="17">
        <f t="shared" si="13"/>
        <v>0</v>
      </c>
      <c r="U161" s="17">
        <f t="shared" si="14"/>
        <v>0</v>
      </c>
      <c r="AA161" s="17">
        <f t="shared" si="17"/>
        <v>0</v>
      </c>
      <c r="AC161" s="33">
        <f t="shared" si="18"/>
        <v>0</v>
      </c>
    </row>
    <row r="162" spans="1:29">
      <c r="A162" s="34"/>
      <c r="B162" s="34"/>
      <c r="C162" s="34"/>
      <c r="D162" s="34"/>
      <c r="K162" s="17">
        <f t="shared" si="13"/>
        <v>0</v>
      </c>
      <c r="U162" s="17">
        <f t="shared" si="14"/>
        <v>0</v>
      </c>
      <c r="AA162" s="17">
        <f t="shared" si="17"/>
        <v>0</v>
      </c>
      <c r="AC162" s="33">
        <f t="shared" si="18"/>
        <v>0</v>
      </c>
    </row>
    <row r="163" spans="1:29">
      <c r="A163" s="34"/>
      <c r="B163" s="34"/>
      <c r="C163" s="34"/>
      <c r="D163" s="34"/>
      <c r="K163" s="17">
        <f t="shared" si="13"/>
        <v>0</v>
      </c>
      <c r="U163" s="17">
        <f t="shared" si="14"/>
        <v>0</v>
      </c>
      <c r="AA163" s="17">
        <f>+I163-Q163-Y163</f>
        <v>0</v>
      </c>
      <c r="AC163" s="33">
        <f t="shared" si="18"/>
        <v>0</v>
      </c>
    </row>
    <row r="164" spans="1:29">
      <c r="A164" s="34"/>
      <c r="B164" s="34"/>
      <c r="C164" s="34"/>
      <c r="D164" s="34"/>
      <c r="K164" s="17">
        <f t="shared" si="13"/>
        <v>0</v>
      </c>
      <c r="U164" s="17">
        <f t="shared" si="14"/>
        <v>0</v>
      </c>
      <c r="AA164" s="17">
        <f t="shared" si="17"/>
        <v>0</v>
      </c>
      <c r="AC164" s="33">
        <f t="shared" si="18"/>
        <v>0</v>
      </c>
    </row>
    <row r="165" spans="1:29">
      <c r="A165" s="34"/>
      <c r="B165" s="34"/>
      <c r="C165" s="34"/>
      <c r="D165" s="34"/>
      <c r="K165" s="17">
        <f t="shared" si="13"/>
        <v>0</v>
      </c>
      <c r="U165" s="17">
        <f t="shared" si="14"/>
        <v>0</v>
      </c>
      <c r="AA165" s="17">
        <f t="shared" si="17"/>
        <v>0</v>
      </c>
      <c r="AC165" s="33">
        <f t="shared" si="18"/>
        <v>0</v>
      </c>
    </row>
    <row r="166" spans="1:29">
      <c r="A166" s="34"/>
      <c r="B166" s="34"/>
      <c r="C166" s="34"/>
      <c r="D166" s="34"/>
      <c r="K166" s="17">
        <f t="shared" si="13"/>
        <v>0</v>
      </c>
      <c r="U166" s="17">
        <f t="shared" si="14"/>
        <v>0</v>
      </c>
      <c r="AA166" s="17">
        <f t="shared" si="17"/>
        <v>0</v>
      </c>
      <c r="AC166" s="33">
        <f t="shared" si="18"/>
        <v>0</v>
      </c>
    </row>
    <row r="167" spans="1:29">
      <c r="A167" s="34"/>
      <c r="B167" s="34"/>
      <c r="C167" s="34"/>
      <c r="D167" s="34"/>
      <c r="K167" s="17">
        <f t="shared" si="13"/>
        <v>0</v>
      </c>
      <c r="U167" s="17">
        <f t="shared" si="14"/>
        <v>0</v>
      </c>
      <c r="AA167" s="17">
        <f t="shared" si="17"/>
        <v>0</v>
      </c>
      <c r="AC167" s="33">
        <f t="shared" si="18"/>
        <v>0</v>
      </c>
    </row>
    <row r="168" spans="1:29">
      <c r="A168" s="34"/>
      <c r="B168" s="34"/>
      <c r="C168" s="34"/>
      <c r="D168" s="34"/>
      <c r="K168" s="17">
        <f t="shared" si="13"/>
        <v>0</v>
      </c>
      <c r="U168" s="17">
        <f t="shared" si="14"/>
        <v>0</v>
      </c>
      <c r="AA168" s="17">
        <f t="shared" si="17"/>
        <v>0</v>
      </c>
      <c r="AC168" s="33">
        <f t="shared" si="18"/>
        <v>0</v>
      </c>
    </row>
    <row r="169" spans="1:29">
      <c r="A169" s="34"/>
      <c r="B169" s="34"/>
      <c r="C169" s="34"/>
      <c r="D169" s="34"/>
      <c r="K169" s="17">
        <f t="shared" si="13"/>
        <v>0</v>
      </c>
      <c r="U169" s="17">
        <f t="shared" si="14"/>
        <v>0</v>
      </c>
      <c r="AA169" s="17">
        <f t="shared" si="17"/>
        <v>0</v>
      </c>
      <c r="AC169" s="33">
        <f t="shared" si="18"/>
        <v>0</v>
      </c>
    </row>
    <row r="170" spans="1:29">
      <c r="A170" s="34"/>
      <c r="B170" s="34"/>
      <c r="C170" s="34"/>
      <c r="D170" s="34"/>
      <c r="K170" s="17">
        <f t="shared" si="13"/>
        <v>0</v>
      </c>
      <c r="U170" s="17">
        <f t="shared" si="14"/>
        <v>0</v>
      </c>
      <c r="AA170" s="17">
        <f t="shared" si="17"/>
        <v>0</v>
      </c>
      <c r="AC170" s="33">
        <f t="shared" si="18"/>
        <v>0</v>
      </c>
    </row>
    <row r="171" spans="1:29">
      <c r="A171" s="34"/>
      <c r="B171" s="34"/>
      <c r="C171" s="34"/>
      <c r="D171" s="34"/>
      <c r="K171" s="17">
        <f t="shared" si="13"/>
        <v>0</v>
      </c>
      <c r="U171" s="17">
        <f t="shared" si="14"/>
        <v>0</v>
      </c>
      <c r="AA171" s="17">
        <f t="shared" si="17"/>
        <v>0</v>
      </c>
      <c r="AC171" s="33">
        <f t="shared" si="18"/>
        <v>0</v>
      </c>
    </row>
    <row r="172" spans="1:29">
      <c r="A172" s="34"/>
      <c r="B172" s="34"/>
      <c r="C172" s="34"/>
      <c r="D172" s="34"/>
      <c r="K172" s="17">
        <f t="shared" si="13"/>
        <v>0</v>
      </c>
      <c r="U172" s="17">
        <f t="shared" si="14"/>
        <v>0</v>
      </c>
      <c r="AA172" s="17">
        <f t="shared" si="17"/>
        <v>0</v>
      </c>
      <c r="AC172" s="33">
        <f t="shared" si="18"/>
        <v>0</v>
      </c>
    </row>
    <row r="173" spans="1:29">
      <c r="A173" s="34"/>
      <c r="B173" s="34"/>
      <c r="C173" s="34"/>
      <c r="D173" s="34"/>
      <c r="K173" s="17">
        <f t="shared" si="13"/>
        <v>0</v>
      </c>
      <c r="U173" s="17">
        <f t="shared" si="14"/>
        <v>0</v>
      </c>
      <c r="AA173" s="17">
        <f t="shared" si="17"/>
        <v>0</v>
      </c>
      <c r="AC173" s="33">
        <f t="shared" si="18"/>
        <v>0</v>
      </c>
    </row>
    <row r="174" spans="1:29">
      <c r="A174" s="34"/>
      <c r="B174" s="34"/>
      <c r="C174" s="34"/>
      <c r="D174" s="34"/>
      <c r="K174" s="17">
        <f>+Q174-M174-O174</f>
        <v>0</v>
      </c>
      <c r="U174" s="17">
        <f>Y174-W174-S174</f>
        <v>0</v>
      </c>
      <c r="AA174" s="17">
        <f>+I174-Q174-Y174</f>
        <v>0</v>
      </c>
      <c r="AC174" s="33">
        <f>+E174+G174+-K174-M174-S174-U174-W174-O174</f>
        <v>0</v>
      </c>
    </row>
    <row r="175" spans="1:29">
      <c r="A175" s="34"/>
      <c r="B175" s="34"/>
      <c r="C175" s="34"/>
      <c r="D175" s="34"/>
      <c r="K175" s="17">
        <f t="shared" si="13"/>
        <v>0</v>
      </c>
      <c r="U175" s="17">
        <f t="shared" si="14"/>
        <v>0</v>
      </c>
      <c r="AA175" s="17">
        <f t="shared" si="17"/>
        <v>0</v>
      </c>
      <c r="AC175" s="33">
        <f t="shared" si="18"/>
        <v>0</v>
      </c>
    </row>
    <row r="176" spans="1:29">
      <c r="A176" s="34"/>
      <c r="B176" s="34"/>
      <c r="C176" s="34"/>
      <c r="D176" s="34"/>
      <c r="K176" s="17">
        <f t="shared" si="13"/>
        <v>0</v>
      </c>
      <c r="U176" s="17">
        <f t="shared" si="14"/>
        <v>0</v>
      </c>
      <c r="AA176" s="17">
        <f t="shared" si="17"/>
        <v>0</v>
      </c>
      <c r="AC176" s="33">
        <f t="shared" si="18"/>
        <v>0</v>
      </c>
    </row>
    <row r="177" spans="1:29">
      <c r="A177" s="34"/>
      <c r="B177" s="34"/>
      <c r="C177" s="34"/>
      <c r="D177" s="34"/>
      <c r="K177" s="17">
        <f t="shared" si="13"/>
        <v>0</v>
      </c>
      <c r="U177" s="17">
        <f t="shared" si="14"/>
        <v>0</v>
      </c>
      <c r="AA177" s="17">
        <f t="shared" si="17"/>
        <v>0</v>
      </c>
      <c r="AC177" s="33">
        <f t="shared" si="18"/>
        <v>0</v>
      </c>
    </row>
    <row r="178" spans="1:29">
      <c r="A178" s="34"/>
      <c r="B178" s="34"/>
      <c r="C178" s="34"/>
      <c r="D178" s="34"/>
      <c r="K178" s="17">
        <f>+Q178-M178-O178</f>
        <v>0</v>
      </c>
      <c r="U178" s="17">
        <f>Y178-W178-S178</f>
        <v>0</v>
      </c>
      <c r="AA178" s="17">
        <f>+I178-Q178-Y178</f>
        <v>0</v>
      </c>
      <c r="AC178" s="33">
        <f>+E178+G178+-K178-M178-S178-U178-W178-O178</f>
        <v>0</v>
      </c>
    </row>
    <row r="179" spans="1:29">
      <c r="A179" s="34"/>
      <c r="B179" s="34"/>
      <c r="C179" s="34"/>
      <c r="D179" s="34"/>
      <c r="K179" s="17">
        <f t="shared" si="13"/>
        <v>0</v>
      </c>
      <c r="U179" s="17">
        <f>Y179-W179-S179</f>
        <v>0</v>
      </c>
      <c r="AA179" s="17">
        <f t="shared" si="17"/>
        <v>0</v>
      </c>
      <c r="AC179" s="33">
        <f t="shared" si="18"/>
        <v>0</v>
      </c>
    </row>
    <row r="180" spans="1:29">
      <c r="A180" s="34"/>
      <c r="B180" s="34"/>
      <c r="C180" s="34"/>
      <c r="D180" s="34"/>
      <c r="K180" s="17">
        <f t="shared" si="13"/>
        <v>0</v>
      </c>
      <c r="U180" s="17">
        <f t="shared" si="14"/>
        <v>0</v>
      </c>
      <c r="AA180" s="17">
        <f t="shared" si="17"/>
        <v>0</v>
      </c>
      <c r="AC180" s="33">
        <f t="shared" si="18"/>
        <v>0</v>
      </c>
    </row>
    <row r="181" spans="1:29">
      <c r="A181" s="34"/>
      <c r="B181" s="34"/>
      <c r="C181" s="34"/>
      <c r="D181" s="34"/>
      <c r="K181" s="17">
        <f t="shared" si="13"/>
        <v>0</v>
      </c>
      <c r="U181" s="17">
        <f t="shared" si="14"/>
        <v>0</v>
      </c>
      <c r="AA181" s="17">
        <f t="shared" si="17"/>
        <v>0</v>
      </c>
      <c r="AC181" s="33">
        <f t="shared" si="18"/>
        <v>0</v>
      </c>
    </row>
    <row r="182" spans="1:29">
      <c r="A182" s="34"/>
      <c r="B182" s="34"/>
      <c r="C182" s="34"/>
      <c r="D182" s="34"/>
      <c r="K182" s="17">
        <f t="shared" si="13"/>
        <v>0</v>
      </c>
      <c r="U182" s="17">
        <f t="shared" si="14"/>
        <v>0</v>
      </c>
      <c r="AA182" s="17">
        <f t="shared" si="17"/>
        <v>0</v>
      </c>
      <c r="AC182" s="33">
        <f t="shared" si="18"/>
        <v>0</v>
      </c>
    </row>
    <row r="183" spans="1:29">
      <c r="A183" s="34"/>
      <c r="B183" s="34"/>
      <c r="C183" s="34"/>
      <c r="D183" s="34"/>
      <c r="K183" s="17">
        <f>+Q183-M183-O183</f>
        <v>0</v>
      </c>
      <c r="U183" s="17">
        <f>Y183-W183-S183</f>
        <v>0</v>
      </c>
      <c r="AA183" s="17">
        <f t="shared" si="17"/>
        <v>0</v>
      </c>
      <c r="AC183" s="33">
        <f t="shared" si="18"/>
        <v>0</v>
      </c>
    </row>
    <row r="184" spans="1:29">
      <c r="A184" s="34"/>
      <c r="B184" s="34"/>
      <c r="C184" s="34"/>
      <c r="D184" s="34"/>
      <c r="K184" s="17">
        <f>+Q184-M184-O184</f>
        <v>0</v>
      </c>
      <c r="U184" s="17">
        <f>Y184-W184-S184</f>
        <v>0</v>
      </c>
      <c r="AA184" s="17">
        <f t="shared" si="17"/>
        <v>0</v>
      </c>
      <c r="AC184" s="33">
        <f t="shared" si="18"/>
        <v>0</v>
      </c>
    </row>
    <row r="185" spans="1:29">
      <c r="A185" s="34"/>
      <c r="B185" s="34"/>
      <c r="C185" s="34"/>
      <c r="D185" s="34"/>
      <c r="K185" s="17">
        <f>+Q185-M185-O185</f>
        <v>0</v>
      </c>
      <c r="U185" s="17">
        <f>Y185-W185-S185</f>
        <v>0</v>
      </c>
      <c r="AA185" s="17">
        <f t="shared" si="17"/>
        <v>0</v>
      </c>
      <c r="AC185" s="33">
        <f t="shared" si="18"/>
        <v>0</v>
      </c>
    </row>
    <row r="186" spans="1:29">
      <c r="A186" s="34"/>
      <c r="B186" s="34"/>
      <c r="C186" s="34"/>
      <c r="D186" s="34"/>
      <c r="K186" s="17">
        <f>+Q186-M186-O186</f>
        <v>0</v>
      </c>
      <c r="U186" s="17">
        <f>Y186-W186-S186</f>
        <v>0</v>
      </c>
      <c r="AA186" s="17">
        <f>+I186-Q186-Y186</f>
        <v>0</v>
      </c>
      <c r="AC186" s="33">
        <f>+E186+G186+-K186-M186-S186-U186-W186-O186</f>
        <v>0</v>
      </c>
    </row>
    <row r="187" spans="1:29">
      <c r="A187" s="34"/>
      <c r="B187" s="34"/>
      <c r="C187" s="34"/>
      <c r="D187" s="34"/>
      <c r="K187" s="17">
        <f>+Q187-M187-O187</f>
        <v>0</v>
      </c>
      <c r="U187" s="17">
        <f>Y187-W187-S187</f>
        <v>0</v>
      </c>
      <c r="AA187" s="17">
        <f t="shared" si="17"/>
        <v>0</v>
      </c>
      <c r="AC187" s="33">
        <f t="shared" si="18"/>
        <v>0</v>
      </c>
    </row>
    <row r="188" spans="1:29">
      <c r="A188" s="30"/>
      <c r="B188" s="30"/>
      <c r="C188" s="30"/>
      <c r="D188" s="30"/>
      <c r="K188" s="17">
        <f t="shared" ref="K188:K251" si="19">+Q188-M188-O188</f>
        <v>0</v>
      </c>
      <c r="U188" s="17">
        <f t="shared" ref="U188:U254" si="20">Y188-W188-S188</f>
        <v>0</v>
      </c>
      <c r="AA188" s="17">
        <f t="shared" si="17"/>
        <v>0</v>
      </c>
      <c r="AC188" s="33">
        <f t="shared" si="18"/>
        <v>0</v>
      </c>
    </row>
    <row r="190" spans="1:29" s="33" customFormat="1"/>
    <row r="191" spans="1:29" s="33" customFormat="1">
      <c r="A191" s="31"/>
      <c r="B191" s="31"/>
      <c r="C191" s="31"/>
      <c r="D191" s="31"/>
      <c r="K191" s="33">
        <f>+Q191-M191-O191</f>
        <v>0</v>
      </c>
      <c r="U191" s="33">
        <f>Y191-W191-S191</f>
        <v>0</v>
      </c>
      <c r="AA191" s="33">
        <f>+I191-Q191-Y191</f>
        <v>0</v>
      </c>
      <c r="AC191" s="33">
        <f>+E191+G191+-K191-M191-S191-U191-W191-O191</f>
        <v>0</v>
      </c>
    </row>
    <row r="192" spans="1:29">
      <c r="A192" s="34"/>
      <c r="B192" s="34"/>
      <c r="C192" s="34"/>
      <c r="D192" s="34"/>
      <c r="K192" s="17">
        <f>+Q192-M192-O192</f>
        <v>0</v>
      </c>
      <c r="U192" s="17">
        <f>Y192-W192-S192</f>
        <v>0</v>
      </c>
      <c r="AA192" s="17">
        <f>+I192-Q192-Y192</f>
        <v>0</v>
      </c>
      <c r="AC192" s="33">
        <f>+E192+G192+-K192-M192-S192-U192-W192-O192</f>
        <v>0</v>
      </c>
    </row>
    <row r="193" spans="1:29">
      <c r="A193" s="34"/>
      <c r="B193" s="34"/>
      <c r="C193" s="34"/>
      <c r="D193" s="34"/>
      <c r="K193" s="17">
        <f>+Q193-M193-O193</f>
        <v>0</v>
      </c>
      <c r="U193" s="17">
        <f>Y193-W193-S193</f>
        <v>0</v>
      </c>
      <c r="AA193" s="17">
        <f>+I193-Q193-Y193</f>
        <v>0</v>
      </c>
      <c r="AC193" s="33">
        <f>+E193+G193+-K193-M193-S193-U193-W193-O193</f>
        <v>0</v>
      </c>
    </row>
    <row r="194" spans="1:29">
      <c r="A194" s="34"/>
      <c r="B194" s="34"/>
      <c r="C194" s="34"/>
      <c r="D194" s="34"/>
      <c r="K194" s="17">
        <f>+Q194-M194-O194</f>
        <v>0</v>
      </c>
      <c r="U194" s="17">
        <f>Y194-W194-S194</f>
        <v>0</v>
      </c>
      <c r="AA194" s="17">
        <f>+I194-Q194-Y194</f>
        <v>0</v>
      </c>
      <c r="AC194" s="33">
        <f>+E194+G194+-K194-M194-S194-U194-W194-O194</f>
        <v>0</v>
      </c>
    </row>
    <row r="195" spans="1:29">
      <c r="A195" s="30"/>
      <c r="B195" s="30"/>
      <c r="C195" s="30"/>
      <c r="D195" s="30"/>
      <c r="K195" s="17">
        <f t="shared" si="19"/>
        <v>0</v>
      </c>
      <c r="U195" s="17">
        <f t="shared" si="20"/>
        <v>0</v>
      </c>
      <c r="AA195" s="17">
        <f t="shared" ref="AA195:AA258" si="21">+I195-Q195-Y195</f>
        <v>0</v>
      </c>
      <c r="AC195" s="17">
        <f t="shared" ref="AC195:AC258" si="22">+E195+G195+-K195-M195-S195-U195-W195-O195</f>
        <v>0</v>
      </c>
    </row>
    <row r="196" spans="1:29">
      <c r="A196" s="34"/>
      <c r="B196" s="34"/>
      <c r="C196" s="34"/>
      <c r="D196" s="34"/>
      <c r="K196" s="17">
        <f t="shared" si="19"/>
        <v>0</v>
      </c>
      <c r="U196" s="17">
        <f t="shared" si="20"/>
        <v>0</v>
      </c>
      <c r="AA196" s="17">
        <f t="shared" si="21"/>
        <v>0</v>
      </c>
      <c r="AC196" s="33">
        <f t="shared" si="22"/>
        <v>0</v>
      </c>
    </row>
    <row r="197" spans="1:29">
      <c r="A197" s="34"/>
      <c r="B197" s="34"/>
      <c r="C197" s="34"/>
      <c r="D197" s="34"/>
      <c r="K197" s="17">
        <f t="shared" si="19"/>
        <v>0</v>
      </c>
      <c r="U197" s="17">
        <f t="shared" si="20"/>
        <v>0</v>
      </c>
      <c r="AA197" s="17">
        <f t="shared" si="21"/>
        <v>0</v>
      </c>
      <c r="AC197" s="33">
        <f t="shared" si="22"/>
        <v>0</v>
      </c>
    </row>
    <row r="198" spans="1:29">
      <c r="A198" s="34"/>
      <c r="B198" s="34"/>
      <c r="C198" s="34"/>
      <c r="D198" s="34"/>
      <c r="K198" s="17">
        <f t="shared" si="19"/>
        <v>0</v>
      </c>
      <c r="U198" s="17">
        <f t="shared" si="20"/>
        <v>0</v>
      </c>
      <c r="AA198" s="17">
        <f t="shared" si="21"/>
        <v>0</v>
      </c>
      <c r="AC198" s="33">
        <f t="shared" si="22"/>
        <v>0</v>
      </c>
    </row>
    <row r="199" spans="1:29">
      <c r="A199" s="34"/>
      <c r="B199" s="34"/>
      <c r="C199" s="34"/>
      <c r="D199" s="34"/>
      <c r="K199" s="17">
        <f t="shared" si="19"/>
        <v>0</v>
      </c>
      <c r="U199" s="17">
        <f t="shared" si="20"/>
        <v>0</v>
      </c>
      <c r="AA199" s="17">
        <f t="shared" si="21"/>
        <v>0</v>
      </c>
      <c r="AC199" s="33">
        <f t="shared" si="22"/>
        <v>0</v>
      </c>
    </row>
    <row r="200" spans="1:29">
      <c r="A200" s="34"/>
      <c r="B200" s="34"/>
      <c r="C200" s="34"/>
      <c r="D200" s="34"/>
      <c r="K200" s="17">
        <f t="shared" si="19"/>
        <v>0</v>
      </c>
      <c r="U200" s="17">
        <f t="shared" si="20"/>
        <v>0</v>
      </c>
      <c r="AA200" s="17">
        <f t="shared" si="21"/>
        <v>0</v>
      </c>
      <c r="AC200" s="33">
        <f t="shared" si="22"/>
        <v>0</v>
      </c>
    </row>
    <row r="201" spans="1:29">
      <c r="A201" s="34"/>
      <c r="B201" s="34"/>
      <c r="C201" s="34"/>
      <c r="D201" s="34"/>
      <c r="K201" s="17">
        <f t="shared" si="19"/>
        <v>0</v>
      </c>
      <c r="U201" s="17">
        <f t="shared" si="20"/>
        <v>0</v>
      </c>
      <c r="AA201" s="17">
        <f>+I201-Q201-Y201</f>
        <v>0</v>
      </c>
      <c r="AC201" s="33">
        <f>+E201+G201+-K201-M201-S201-U201-W201-O201</f>
        <v>0</v>
      </c>
    </row>
    <row r="202" spans="1:29">
      <c r="A202" s="34"/>
      <c r="B202" s="34"/>
      <c r="C202" s="34"/>
      <c r="D202" s="34"/>
      <c r="K202" s="17">
        <f t="shared" si="19"/>
        <v>0</v>
      </c>
      <c r="U202" s="17">
        <f t="shared" si="20"/>
        <v>0</v>
      </c>
      <c r="AA202" s="17">
        <f>+I202-Q202-Y202</f>
        <v>0</v>
      </c>
      <c r="AC202" s="33">
        <f>+E202+G202+-K202-M202-S202-U202-W202-O202</f>
        <v>0</v>
      </c>
    </row>
    <row r="203" spans="1:29">
      <c r="A203" s="34"/>
      <c r="B203" s="34"/>
      <c r="C203" s="34"/>
      <c r="D203" s="34"/>
      <c r="K203" s="17">
        <f t="shared" si="19"/>
        <v>0</v>
      </c>
      <c r="U203" s="17">
        <f t="shared" si="20"/>
        <v>0</v>
      </c>
      <c r="AA203" s="17">
        <f t="shared" si="21"/>
        <v>0</v>
      </c>
      <c r="AC203" s="33">
        <f t="shared" si="22"/>
        <v>0</v>
      </c>
    </row>
    <row r="204" spans="1:29">
      <c r="A204" s="34"/>
      <c r="B204" s="34"/>
      <c r="C204" s="34"/>
      <c r="D204" s="34"/>
      <c r="K204" s="17">
        <f t="shared" si="19"/>
        <v>0</v>
      </c>
      <c r="U204" s="17">
        <f t="shared" si="20"/>
        <v>0</v>
      </c>
      <c r="AA204" s="17">
        <f t="shared" si="21"/>
        <v>0</v>
      </c>
      <c r="AC204" s="33">
        <f t="shared" si="22"/>
        <v>0</v>
      </c>
    </row>
    <row r="205" spans="1:29">
      <c r="A205" s="34"/>
      <c r="B205" s="34"/>
      <c r="C205" s="34"/>
      <c r="D205" s="34"/>
      <c r="K205" s="17">
        <f t="shared" si="19"/>
        <v>0</v>
      </c>
      <c r="U205" s="17">
        <f t="shared" si="20"/>
        <v>0</v>
      </c>
      <c r="AA205" s="17">
        <f t="shared" si="21"/>
        <v>0</v>
      </c>
      <c r="AC205" s="33">
        <f t="shared" si="22"/>
        <v>0</v>
      </c>
    </row>
    <row r="206" spans="1:29">
      <c r="A206" s="34"/>
      <c r="B206" s="34"/>
      <c r="C206" s="34"/>
      <c r="D206" s="34"/>
      <c r="K206" s="17">
        <f t="shared" si="19"/>
        <v>0</v>
      </c>
      <c r="U206" s="17">
        <f t="shared" si="20"/>
        <v>0</v>
      </c>
      <c r="AA206" s="17">
        <f t="shared" si="21"/>
        <v>0</v>
      </c>
      <c r="AC206" s="33">
        <f t="shared" si="22"/>
        <v>0</v>
      </c>
    </row>
    <row r="207" spans="1:29">
      <c r="A207" s="34"/>
      <c r="B207" s="34"/>
      <c r="C207" s="34"/>
      <c r="D207" s="34"/>
      <c r="K207" s="17">
        <f>+Q207-M207-O207</f>
        <v>0</v>
      </c>
      <c r="U207" s="17">
        <f>Y207-W207-S207</f>
        <v>0</v>
      </c>
      <c r="AA207" s="17">
        <f>+I207-Q207-Y207</f>
        <v>0</v>
      </c>
      <c r="AC207" s="33">
        <f>+E207+G207+-K207-M207-S207-U207-W207-O207</f>
        <v>0</v>
      </c>
    </row>
    <row r="208" spans="1:29">
      <c r="A208" s="34"/>
      <c r="B208" s="34"/>
      <c r="C208" s="34"/>
      <c r="D208" s="34"/>
      <c r="K208" s="17">
        <f t="shared" si="19"/>
        <v>0</v>
      </c>
      <c r="U208" s="17">
        <f t="shared" si="20"/>
        <v>0</v>
      </c>
      <c r="AA208" s="17">
        <f t="shared" si="21"/>
        <v>0</v>
      </c>
      <c r="AC208" s="33">
        <f t="shared" si="22"/>
        <v>0</v>
      </c>
    </row>
    <row r="209" spans="1:29">
      <c r="A209" s="34"/>
      <c r="B209" s="34"/>
      <c r="C209" s="34"/>
      <c r="D209" s="34"/>
      <c r="K209" s="17">
        <f t="shared" si="19"/>
        <v>0</v>
      </c>
      <c r="U209" s="17">
        <f t="shared" si="20"/>
        <v>0</v>
      </c>
      <c r="AA209" s="17">
        <f t="shared" si="21"/>
        <v>0</v>
      </c>
      <c r="AC209" s="33">
        <f t="shared" si="22"/>
        <v>0</v>
      </c>
    </row>
    <row r="210" spans="1:29">
      <c r="A210" s="34"/>
      <c r="B210" s="34"/>
      <c r="C210" s="34"/>
      <c r="D210" s="34"/>
      <c r="K210" s="17">
        <f t="shared" si="19"/>
        <v>0</v>
      </c>
      <c r="U210" s="17">
        <f t="shared" si="20"/>
        <v>0</v>
      </c>
      <c r="AA210" s="17">
        <f t="shared" si="21"/>
        <v>0</v>
      </c>
      <c r="AC210" s="33">
        <f t="shared" si="22"/>
        <v>0</v>
      </c>
    </row>
    <row r="211" spans="1:29">
      <c r="A211" s="34"/>
      <c r="B211" s="34"/>
      <c r="C211" s="34"/>
      <c r="D211" s="34"/>
      <c r="K211" s="17">
        <f t="shared" si="19"/>
        <v>0</v>
      </c>
      <c r="U211" s="17">
        <f t="shared" si="20"/>
        <v>0</v>
      </c>
      <c r="AA211" s="17">
        <f t="shared" si="21"/>
        <v>0</v>
      </c>
      <c r="AC211" s="33">
        <f t="shared" si="22"/>
        <v>0</v>
      </c>
    </row>
    <row r="212" spans="1:29">
      <c r="A212" s="34"/>
      <c r="B212" s="34"/>
      <c r="C212" s="34"/>
      <c r="D212" s="34"/>
      <c r="K212" s="17">
        <f t="shared" si="19"/>
        <v>0</v>
      </c>
      <c r="U212" s="17">
        <f t="shared" si="20"/>
        <v>0</v>
      </c>
      <c r="AA212" s="17">
        <f t="shared" si="21"/>
        <v>0</v>
      </c>
      <c r="AC212" s="33">
        <f t="shared" si="22"/>
        <v>0</v>
      </c>
    </row>
    <row r="213" spans="1:29">
      <c r="A213" s="34"/>
      <c r="B213" s="34"/>
      <c r="C213" s="34"/>
      <c r="D213" s="34"/>
      <c r="K213" s="17">
        <f t="shared" si="19"/>
        <v>0</v>
      </c>
      <c r="U213" s="17">
        <f t="shared" si="20"/>
        <v>0</v>
      </c>
      <c r="AA213" s="17">
        <f t="shared" si="21"/>
        <v>0</v>
      </c>
      <c r="AC213" s="33">
        <f t="shared" si="22"/>
        <v>0</v>
      </c>
    </row>
    <row r="214" spans="1:29">
      <c r="A214" s="34"/>
      <c r="B214" s="34"/>
      <c r="C214" s="34"/>
      <c r="D214" s="34"/>
      <c r="K214" s="17">
        <f t="shared" si="19"/>
        <v>0</v>
      </c>
      <c r="U214" s="17">
        <f t="shared" si="20"/>
        <v>0</v>
      </c>
      <c r="AA214" s="17">
        <f t="shared" si="21"/>
        <v>0</v>
      </c>
      <c r="AC214" s="33">
        <f t="shared" si="22"/>
        <v>0</v>
      </c>
    </row>
    <row r="215" spans="1:29">
      <c r="A215" s="34"/>
      <c r="B215" s="34"/>
      <c r="C215" s="34"/>
      <c r="D215" s="34"/>
      <c r="K215" s="17">
        <f t="shared" si="19"/>
        <v>0</v>
      </c>
      <c r="U215" s="17">
        <f t="shared" si="20"/>
        <v>0</v>
      </c>
      <c r="AA215" s="17">
        <f t="shared" si="21"/>
        <v>0</v>
      </c>
      <c r="AC215" s="33">
        <f t="shared" si="22"/>
        <v>0</v>
      </c>
    </row>
    <row r="216" spans="1:29">
      <c r="A216" s="34"/>
      <c r="B216" s="34"/>
      <c r="C216" s="34"/>
      <c r="D216" s="34"/>
      <c r="K216" s="17">
        <f t="shared" si="19"/>
        <v>0</v>
      </c>
      <c r="U216" s="17">
        <f t="shared" si="20"/>
        <v>0</v>
      </c>
      <c r="AA216" s="17">
        <f t="shared" si="21"/>
        <v>0</v>
      </c>
      <c r="AC216" s="33">
        <f t="shared" si="22"/>
        <v>0</v>
      </c>
    </row>
    <row r="217" spans="1:29">
      <c r="A217" s="34"/>
      <c r="B217" s="34"/>
      <c r="C217" s="34"/>
      <c r="D217" s="34"/>
      <c r="K217" s="17">
        <f t="shared" si="19"/>
        <v>0</v>
      </c>
      <c r="U217" s="17">
        <f t="shared" si="20"/>
        <v>0</v>
      </c>
      <c r="AA217" s="17">
        <f t="shared" si="21"/>
        <v>0</v>
      </c>
      <c r="AC217" s="33">
        <f t="shared" si="22"/>
        <v>0</v>
      </c>
    </row>
    <row r="218" spans="1:29">
      <c r="A218" s="34"/>
      <c r="B218" s="34"/>
      <c r="C218" s="34"/>
      <c r="D218" s="34"/>
      <c r="K218" s="17">
        <f t="shared" si="19"/>
        <v>0</v>
      </c>
      <c r="U218" s="17">
        <f t="shared" si="20"/>
        <v>0</v>
      </c>
      <c r="AA218" s="17">
        <f t="shared" si="21"/>
        <v>0</v>
      </c>
      <c r="AC218" s="33">
        <f t="shared" si="22"/>
        <v>0</v>
      </c>
    </row>
    <row r="219" spans="1:29">
      <c r="A219" s="34"/>
      <c r="B219" s="34"/>
      <c r="C219" s="34"/>
      <c r="D219" s="34"/>
      <c r="K219" s="17">
        <f t="shared" si="19"/>
        <v>0</v>
      </c>
      <c r="U219" s="17">
        <f t="shared" si="20"/>
        <v>0</v>
      </c>
      <c r="AA219" s="17">
        <f t="shared" si="21"/>
        <v>0</v>
      </c>
      <c r="AC219" s="33">
        <f t="shared" si="22"/>
        <v>0</v>
      </c>
    </row>
    <row r="220" spans="1:29">
      <c r="A220" s="34"/>
      <c r="B220" s="34"/>
      <c r="C220" s="34"/>
      <c r="D220" s="34"/>
      <c r="K220" s="17">
        <f t="shared" si="19"/>
        <v>0</v>
      </c>
      <c r="U220" s="17">
        <f t="shared" si="20"/>
        <v>0</v>
      </c>
      <c r="AA220" s="17">
        <f>+I220-Q220-Y220</f>
        <v>0</v>
      </c>
      <c r="AC220" s="33">
        <f t="shared" si="22"/>
        <v>0</v>
      </c>
    </row>
    <row r="221" spans="1:29">
      <c r="A221" s="34"/>
      <c r="B221" s="34"/>
      <c r="C221" s="34"/>
      <c r="D221" s="34"/>
      <c r="K221" s="17">
        <f t="shared" si="19"/>
        <v>0</v>
      </c>
      <c r="U221" s="17">
        <f t="shared" si="20"/>
        <v>0</v>
      </c>
      <c r="AA221" s="17">
        <f t="shared" si="21"/>
        <v>0</v>
      </c>
      <c r="AC221" s="33">
        <f t="shared" si="22"/>
        <v>0</v>
      </c>
    </row>
    <row r="222" spans="1:29">
      <c r="A222" s="34"/>
      <c r="B222" s="34"/>
      <c r="C222" s="34"/>
      <c r="D222" s="34"/>
      <c r="K222" s="17">
        <f t="shared" si="19"/>
        <v>0</v>
      </c>
      <c r="U222" s="17">
        <f t="shared" si="20"/>
        <v>0</v>
      </c>
      <c r="AA222" s="17">
        <f t="shared" si="21"/>
        <v>0</v>
      </c>
      <c r="AC222" s="33">
        <f t="shared" si="22"/>
        <v>0</v>
      </c>
    </row>
    <row r="223" spans="1:29">
      <c r="A223" s="34"/>
      <c r="B223" s="34"/>
      <c r="C223" s="34"/>
      <c r="D223" s="34"/>
      <c r="K223" s="17">
        <f t="shared" si="19"/>
        <v>0</v>
      </c>
      <c r="U223" s="17">
        <f t="shared" si="20"/>
        <v>0</v>
      </c>
      <c r="AA223" s="17">
        <f t="shared" si="21"/>
        <v>0</v>
      </c>
      <c r="AC223" s="33">
        <f t="shared" si="22"/>
        <v>0</v>
      </c>
    </row>
    <row r="224" spans="1:29">
      <c r="A224" s="34"/>
      <c r="B224" s="34"/>
      <c r="C224" s="34"/>
      <c r="D224" s="34"/>
      <c r="K224" s="17">
        <f t="shared" si="19"/>
        <v>0</v>
      </c>
      <c r="U224" s="17">
        <f t="shared" si="20"/>
        <v>0</v>
      </c>
      <c r="AA224" s="17">
        <f t="shared" si="21"/>
        <v>0</v>
      </c>
      <c r="AC224" s="33">
        <f t="shared" si="22"/>
        <v>0</v>
      </c>
    </row>
    <row r="225" spans="1:29">
      <c r="A225" s="34"/>
      <c r="B225" s="34"/>
      <c r="C225" s="34"/>
      <c r="D225" s="34"/>
      <c r="K225" s="17">
        <f t="shared" si="19"/>
        <v>0</v>
      </c>
      <c r="U225" s="17">
        <f t="shared" si="20"/>
        <v>0</v>
      </c>
      <c r="AA225" s="17">
        <f t="shared" si="21"/>
        <v>0</v>
      </c>
      <c r="AC225" s="33">
        <f t="shared" si="22"/>
        <v>0</v>
      </c>
    </row>
    <row r="226" spans="1:29">
      <c r="A226" s="34"/>
      <c r="B226" s="34"/>
      <c r="C226" s="34"/>
      <c r="D226" s="34"/>
      <c r="K226" s="17">
        <f t="shared" si="19"/>
        <v>0</v>
      </c>
      <c r="U226" s="17">
        <f t="shared" si="20"/>
        <v>0</v>
      </c>
      <c r="AA226" s="17">
        <f t="shared" si="21"/>
        <v>0</v>
      </c>
      <c r="AC226" s="33">
        <f t="shared" si="22"/>
        <v>0</v>
      </c>
    </row>
    <row r="227" spans="1:29">
      <c r="A227" s="34"/>
      <c r="B227" s="34"/>
      <c r="C227" s="34"/>
      <c r="D227" s="34"/>
      <c r="K227" s="17">
        <f>+Q227-M227-O227</f>
        <v>0</v>
      </c>
      <c r="U227" s="17">
        <f>Y227-W227-S227</f>
        <v>0</v>
      </c>
      <c r="AA227" s="17">
        <f t="shared" si="21"/>
        <v>0</v>
      </c>
      <c r="AC227" s="33">
        <f t="shared" si="22"/>
        <v>0</v>
      </c>
    </row>
    <row r="228" spans="1:29">
      <c r="A228" s="34"/>
      <c r="B228" s="34"/>
      <c r="C228" s="34"/>
      <c r="D228" s="34"/>
      <c r="K228" s="17">
        <f t="shared" si="19"/>
        <v>0</v>
      </c>
      <c r="U228" s="17">
        <f t="shared" si="20"/>
        <v>0</v>
      </c>
      <c r="AA228" s="17">
        <f t="shared" si="21"/>
        <v>0</v>
      </c>
      <c r="AC228" s="33">
        <f t="shared" si="22"/>
        <v>0</v>
      </c>
    </row>
    <row r="229" spans="1:29">
      <c r="A229" s="30"/>
      <c r="B229" s="30"/>
      <c r="C229" s="30"/>
      <c r="D229" s="30"/>
      <c r="K229" s="17">
        <f t="shared" si="19"/>
        <v>0</v>
      </c>
      <c r="U229" s="17">
        <f t="shared" si="20"/>
        <v>0</v>
      </c>
      <c r="AA229" s="17">
        <f t="shared" si="21"/>
        <v>0</v>
      </c>
      <c r="AC229" s="17">
        <f t="shared" si="22"/>
        <v>0</v>
      </c>
    </row>
    <row r="230" spans="1:29">
      <c r="A230" s="34"/>
      <c r="B230" s="34"/>
      <c r="C230" s="34"/>
      <c r="D230" s="34"/>
      <c r="K230" s="17">
        <f t="shared" si="19"/>
        <v>0</v>
      </c>
      <c r="U230" s="17">
        <f t="shared" si="20"/>
        <v>0</v>
      </c>
      <c r="AA230" s="17">
        <f t="shared" si="21"/>
        <v>0</v>
      </c>
      <c r="AC230" s="33">
        <f t="shared" si="22"/>
        <v>0</v>
      </c>
    </row>
    <row r="231" spans="1:29">
      <c r="A231" s="34"/>
      <c r="B231" s="34"/>
      <c r="C231" s="34"/>
      <c r="D231" s="34"/>
      <c r="K231" s="17">
        <f t="shared" si="19"/>
        <v>0</v>
      </c>
      <c r="U231" s="17">
        <f t="shared" si="20"/>
        <v>0</v>
      </c>
      <c r="AA231" s="17">
        <f t="shared" si="21"/>
        <v>0</v>
      </c>
      <c r="AC231" s="33">
        <f t="shared" si="22"/>
        <v>0</v>
      </c>
    </row>
    <row r="232" spans="1:29">
      <c r="A232" s="34"/>
      <c r="B232" s="34"/>
      <c r="C232" s="34"/>
      <c r="D232" s="34"/>
      <c r="K232" s="17">
        <f t="shared" si="19"/>
        <v>0</v>
      </c>
      <c r="U232" s="17">
        <f t="shared" si="20"/>
        <v>0</v>
      </c>
      <c r="AA232" s="17">
        <f t="shared" si="21"/>
        <v>0</v>
      </c>
      <c r="AC232" s="33">
        <f t="shared" si="22"/>
        <v>0</v>
      </c>
    </row>
    <row r="233" spans="1:29">
      <c r="A233" s="34"/>
      <c r="B233" s="34"/>
      <c r="C233" s="34"/>
      <c r="D233" s="34"/>
      <c r="K233" s="17">
        <f t="shared" si="19"/>
        <v>0</v>
      </c>
      <c r="U233" s="17">
        <f t="shared" si="20"/>
        <v>0</v>
      </c>
      <c r="AA233" s="17">
        <f t="shared" si="21"/>
        <v>0</v>
      </c>
      <c r="AC233" s="33">
        <f t="shared" si="22"/>
        <v>0</v>
      </c>
    </row>
    <row r="234" spans="1:29">
      <c r="A234" s="34"/>
      <c r="B234" s="34"/>
      <c r="C234" s="34"/>
      <c r="D234" s="34"/>
      <c r="K234" s="17">
        <f t="shared" si="19"/>
        <v>0</v>
      </c>
      <c r="U234" s="17">
        <f t="shared" si="20"/>
        <v>0</v>
      </c>
      <c r="AA234" s="17">
        <f t="shared" si="21"/>
        <v>0</v>
      </c>
      <c r="AC234" s="33">
        <f t="shared" si="22"/>
        <v>0</v>
      </c>
    </row>
    <row r="235" spans="1:29">
      <c r="A235" s="34"/>
      <c r="B235" s="34"/>
      <c r="C235" s="34"/>
      <c r="D235" s="34"/>
      <c r="K235" s="17">
        <f t="shared" si="19"/>
        <v>0</v>
      </c>
      <c r="U235" s="17">
        <f t="shared" si="20"/>
        <v>0</v>
      </c>
      <c r="AA235" s="17">
        <f t="shared" si="21"/>
        <v>0</v>
      </c>
      <c r="AC235" s="33">
        <f t="shared" si="22"/>
        <v>0</v>
      </c>
    </row>
    <row r="236" spans="1:29">
      <c r="A236" s="34"/>
      <c r="B236" s="34"/>
      <c r="C236" s="34"/>
      <c r="D236" s="34"/>
      <c r="K236" s="17">
        <f t="shared" si="19"/>
        <v>0</v>
      </c>
      <c r="U236" s="17">
        <f t="shared" si="20"/>
        <v>0</v>
      </c>
      <c r="AA236" s="17">
        <f t="shared" si="21"/>
        <v>0</v>
      </c>
      <c r="AC236" s="33">
        <f t="shared" si="22"/>
        <v>0</v>
      </c>
    </row>
    <row r="237" spans="1:29">
      <c r="A237" s="34"/>
      <c r="B237" s="34"/>
      <c r="C237" s="34"/>
      <c r="D237" s="34"/>
      <c r="K237" s="17">
        <f t="shared" si="19"/>
        <v>0</v>
      </c>
      <c r="U237" s="17">
        <f t="shared" si="20"/>
        <v>0</v>
      </c>
      <c r="AA237" s="17">
        <f t="shared" si="21"/>
        <v>0</v>
      </c>
      <c r="AC237" s="33">
        <f t="shared" si="22"/>
        <v>0</v>
      </c>
    </row>
    <row r="238" spans="1:29">
      <c r="A238" s="34"/>
      <c r="B238" s="34"/>
      <c r="C238" s="34"/>
      <c r="D238" s="34"/>
      <c r="K238" s="17">
        <f t="shared" si="19"/>
        <v>0</v>
      </c>
      <c r="U238" s="17">
        <f t="shared" si="20"/>
        <v>0</v>
      </c>
      <c r="AA238" s="17">
        <f t="shared" si="21"/>
        <v>0</v>
      </c>
      <c r="AC238" s="33">
        <f t="shared" si="22"/>
        <v>0</v>
      </c>
    </row>
    <row r="239" spans="1:29">
      <c r="A239" s="34"/>
      <c r="B239" s="34"/>
      <c r="C239" s="34"/>
      <c r="D239" s="34"/>
      <c r="K239" s="17">
        <f t="shared" si="19"/>
        <v>0</v>
      </c>
      <c r="U239" s="17">
        <f t="shared" si="20"/>
        <v>0</v>
      </c>
      <c r="AA239" s="17">
        <f t="shared" si="21"/>
        <v>0</v>
      </c>
      <c r="AC239" s="33">
        <f t="shared" si="22"/>
        <v>0</v>
      </c>
    </row>
    <row r="240" spans="1:29">
      <c r="A240" s="34"/>
      <c r="B240" s="34"/>
      <c r="C240" s="34"/>
      <c r="D240" s="34"/>
      <c r="K240" s="17">
        <f t="shared" si="19"/>
        <v>0</v>
      </c>
      <c r="U240" s="17">
        <f t="shared" si="20"/>
        <v>0</v>
      </c>
      <c r="AA240" s="17">
        <f t="shared" si="21"/>
        <v>0</v>
      </c>
      <c r="AC240" s="33">
        <f t="shared" si="22"/>
        <v>0</v>
      </c>
    </row>
    <row r="241" spans="1:29">
      <c r="A241" s="34"/>
      <c r="B241" s="34"/>
      <c r="C241" s="34"/>
      <c r="D241" s="34"/>
      <c r="K241" s="17">
        <f t="shared" si="19"/>
        <v>0</v>
      </c>
      <c r="U241" s="17">
        <f t="shared" si="20"/>
        <v>0</v>
      </c>
      <c r="AA241" s="17">
        <f t="shared" si="21"/>
        <v>0</v>
      </c>
      <c r="AC241" s="33">
        <f t="shared" si="22"/>
        <v>0</v>
      </c>
    </row>
    <row r="242" spans="1:29">
      <c r="A242" s="34"/>
      <c r="B242" s="34"/>
      <c r="C242" s="34"/>
      <c r="D242" s="34"/>
      <c r="K242" s="17">
        <f t="shared" si="19"/>
        <v>0</v>
      </c>
      <c r="U242" s="17">
        <f t="shared" si="20"/>
        <v>0</v>
      </c>
      <c r="AA242" s="17">
        <f t="shared" si="21"/>
        <v>0</v>
      </c>
      <c r="AC242" s="33">
        <f t="shared" si="22"/>
        <v>0</v>
      </c>
    </row>
    <row r="243" spans="1:29">
      <c r="A243" s="34"/>
      <c r="B243" s="34"/>
      <c r="C243" s="34"/>
      <c r="D243" s="34"/>
      <c r="K243" s="17">
        <f t="shared" si="19"/>
        <v>0</v>
      </c>
      <c r="U243" s="17">
        <f t="shared" si="20"/>
        <v>0</v>
      </c>
      <c r="AA243" s="17">
        <f t="shared" si="21"/>
        <v>0</v>
      </c>
      <c r="AC243" s="33">
        <f t="shared" si="22"/>
        <v>0</v>
      </c>
    </row>
    <row r="244" spans="1:29">
      <c r="A244" s="34"/>
      <c r="B244" s="34"/>
      <c r="C244" s="34"/>
      <c r="D244" s="34"/>
      <c r="K244" s="17">
        <f t="shared" si="19"/>
        <v>0</v>
      </c>
      <c r="U244" s="17">
        <f t="shared" si="20"/>
        <v>0</v>
      </c>
      <c r="AA244" s="17">
        <f t="shared" si="21"/>
        <v>0</v>
      </c>
      <c r="AC244" s="33">
        <f t="shared" si="22"/>
        <v>0</v>
      </c>
    </row>
    <row r="245" spans="1:29">
      <c r="A245" s="34"/>
      <c r="B245" s="34"/>
      <c r="C245" s="34"/>
      <c r="D245" s="34"/>
      <c r="K245" s="17">
        <f t="shared" si="19"/>
        <v>0</v>
      </c>
      <c r="U245" s="17">
        <f t="shared" si="20"/>
        <v>0</v>
      </c>
      <c r="AA245" s="17">
        <f t="shared" si="21"/>
        <v>0</v>
      </c>
      <c r="AC245" s="33">
        <f t="shared" si="22"/>
        <v>0</v>
      </c>
    </row>
    <row r="246" spans="1:29">
      <c r="A246" s="34"/>
      <c r="B246" s="34"/>
      <c r="C246" s="34"/>
      <c r="D246" s="34"/>
      <c r="K246" s="17">
        <f t="shared" si="19"/>
        <v>0</v>
      </c>
      <c r="U246" s="17">
        <f t="shared" si="20"/>
        <v>0</v>
      </c>
      <c r="AA246" s="17">
        <f t="shared" si="21"/>
        <v>0</v>
      </c>
      <c r="AC246" s="33">
        <f t="shared" si="22"/>
        <v>0</v>
      </c>
    </row>
    <row r="247" spans="1:29">
      <c r="A247" s="34"/>
      <c r="B247" s="34"/>
      <c r="C247" s="34"/>
      <c r="D247" s="34"/>
      <c r="K247" s="17">
        <v>0</v>
      </c>
      <c r="U247" s="17">
        <f t="shared" si="20"/>
        <v>0</v>
      </c>
      <c r="AA247" s="17">
        <f t="shared" si="21"/>
        <v>0</v>
      </c>
      <c r="AC247" s="33">
        <f t="shared" si="22"/>
        <v>0</v>
      </c>
    </row>
    <row r="248" spans="1:29">
      <c r="A248" s="34"/>
      <c r="B248" s="34"/>
      <c r="C248" s="34"/>
      <c r="D248" s="34"/>
      <c r="K248" s="17">
        <f t="shared" si="19"/>
        <v>0</v>
      </c>
      <c r="U248" s="17">
        <f t="shared" si="20"/>
        <v>0</v>
      </c>
      <c r="AA248" s="17">
        <f t="shared" si="21"/>
        <v>0</v>
      </c>
      <c r="AC248" s="33">
        <f t="shared" si="22"/>
        <v>0</v>
      </c>
    </row>
    <row r="249" spans="1:29">
      <c r="A249" s="34"/>
      <c r="B249" s="34"/>
      <c r="C249" s="34"/>
      <c r="D249" s="34"/>
      <c r="K249" s="17">
        <f t="shared" si="19"/>
        <v>0</v>
      </c>
      <c r="U249" s="17">
        <f t="shared" si="20"/>
        <v>0</v>
      </c>
      <c r="AA249" s="17">
        <f t="shared" si="21"/>
        <v>0</v>
      </c>
      <c r="AC249" s="33">
        <f t="shared" si="22"/>
        <v>0</v>
      </c>
    </row>
    <row r="250" spans="1:29">
      <c r="A250" s="34"/>
      <c r="B250" s="34"/>
      <c r="C250" s="34"/>
      <c r="D250" s="34"/>
      <c r="K250" s="17">
        <f t="shared" si="19"/>
        <v>0</v>
      </c>
      <c r="U250" s="17">
        <f t="shared" si="20"/>
        <v>0</v>
      </c>
      <c r="AA250" s="17">
        <f t="shared" si="21"/>
        <v>0</v>
      </c>
      <c r="AC250" s="33">
        <f t="shared" si="22"/>
        <v>0</v>
      </c>
    </row>
    <row r="251" spans="1:29">
      <c r="A251" s="34"/>
      <c r="B251" s="34"/>
      <c r="C251" s="34"/>
      <c r="D251" s="34"/>
      <c r="K251" s="17">
        <f t="shared" si="19"/>
        <v>0</v>
      </c>
      <c r="U251" s="17">
        <f t="shared" si="20"/>
        <v>0</v>
      </c>
      <c r="AA251" s="17">
        <f t="shared" si="21"/>
        <v>0</v>
      </c>
      <c r="AC251" s="33">
        <f t="shared" si="22"/>
        <v>0</v>
      </c>
    </row>
    <row r="252" spans="1:29">
      <c r="A252" s="34"/>
      <c r="B252" s="34"/>
      <c r="C252" s="34"/>
      <c r="D252" s="34"/>
      <c r="K252" s="17">
        <f t="shared" ref="K252:K258" si="23">+Q252-M252-O252</f>
        <v>0</v>
      </c>
      <c r="U252" s="17">
        <f t="shared" si="20"/>
        <v>0</v>
      </c>
      <c r="AA252" s="17">
        <f t="shared" si="21"/>
        <v>0</v>
      </c>
      <c r="AC252" s="33">
        <f t="shared" si="22"/>
        <v>0</v>
      </c>
    </row>
    <row r="253" spans="1:29">
      <c r="A253" s="34"/>
      <c r="B253" s="34"/>
      <c r="C253" s="34"/>
      <c r="D253" s="34"/>
      <c r="K253" s="17">
        <f t="shared" si="23"/>
        <v>0</v>
      </c>
      <c r="U253" s="17">
        <f t="shared" si="20"/>
        <v>0</v>
      </c>
      <c r="AA253" s="17">
        <f t="shared" si="21"/>
        <v>0</v>
      </c>
      <c r="AC253" s="33">
        <f t="shared" si="22"/>
        <v>0</v>
      </c>
    </row>
    <row r="254" spans="1:29">
      <c r="A254" s="34"/>
      <c r="B254" s="34"/>
      <c r="C254" s="34"/>
      <c r="D254" s="34"/>
      <c r="K254" s="17">
        <f t="shared" si="23"/>
        <v>0</v>
      </c>
      <c r="U254" s="17">
        <f t="shared" si="20"/>
        <v>0</v>
      </c>
      <c r="AA254" s="17">
        <f t="shared" si="21"/>
        <v>0</v>
      </c>
      <c r="AC254" s="33">
        <f t="shared" si="22"/>
        <v>0</v>
      </c>
    </row>
    <row r="255" spans="1:29">
      <c r="A255" s="34"/>
      <c r="B255" s="34"/>
      <c r="C255" s="34"/>
      <c r="D255" s="34"/>
      <c r="K255" s="17">
        <f t="shared" si="23"/>
        <v>0</v>
      </c>
      <c r="U255" s="17">
        <f>Y255-W255-S255</f>
        <v>0</v>
      </c>
      <c r="AA255" s="17">
        <f t="shared" si="21"/>
        <v>0</v>
      </c>
      <c r="AC255" s="33">
        <f t="shared" si="22"/>
        <v>0</v>
      </c>
    </row>
    <row r="256" spans="1:29">
      <c r="A256" s="34"/>
      <c r="B256" s="34"/>
      <c r="C256" s="34"/>
      <c r="D256" s="34"/>
      <c r="K256" s="17">
        <f t="shared" si="23"/>
        <v>0</v>
      </c>
      <c r="U256" s="17">
        <f>Y256-W256-S256</f>
        <v>0</v>
      </c>
      <c r="AA256" s="17">
        <f t="shared" si="21"/>
        <v>0</v>
      </c>
      <c r="AC256" s="33">
        <f t="shared" si="22"/>
        <v>0</v>
      </c>
    </row>
    <row r="257" spans="1:29">
      <c r="A257" s="34"/>
      <c r="B257" s="34"/>
      <c r="C257" s="34"/>
      <c r="D257" s="34"/>
      <c r="K257" s="17">
        <f>+Q257-M257-O257</f>
        <v>0</v>
      </c>
      <c r="U257" s="17">
        <f>Y257-W257-S257</f>
        <v>0</v>
      </c>
      <c r="AA257" s="17">
        <f>+I257-Q257-Y257</f>
        <v>0</v>
      </c>
      <c r="AC257" s="33">
        <f>+E257+G257+-K257-M257-S257-U257-W257-O257</f>
        <v>0</v>
      </c>
    </row>
    <row r="258" spans="1:29">
      <c r="A258" s="34"/>
      <c r="B258" s="34"/>
      <c r="C258" s="34"/>
      <c r="D258" s="34"/>
      <c r="K258" s="17">
        <f t="shared" si="23"/>
        <v>0</v>
      </c>
      <c r="U258" s="17">
        <f>Y258-W258-S258</f>
        <v>0</v>
      </c>
      <c r="AA258" s="17">
        <f t="shared" si="21"/>
        <v>0</v>
      </c>
      <c r="AC258" s="33">
        <f t="shared" si="22"/>
        <v>0</v>
      </c>
    </row>
    <row r="261" spans="1:29">
      <c r="A261" s="34"/>
      <c r="B261" s="34"/>
      <c r="C261" s="34"/>
      <c r="D261" s="34"/>
      <c r="K261" s="17">
        <f t="shared" ref="K261:K324" si="24">+Q261-M261-O261</f>
        <v>0</v>
      </c>
      <c r="U261" s="17">
        <v>0</v>
      </c>
      <c r="AA261" s="17">
        <f t="shared" ref="AA261:AA324" si="25">+I261-Q261-Y261</f>
        <v>0</v>
      </c>
      <c r="AC261" s="33">
        <f t="shared" ref="AC261:AC324" si="26">+E261+G261+-K261-M261-S261-U261-W261-O261</f>
        <v>0</v>
      </c>
    </row>
    <row r="262" spans="1:29" s="33" customFormat="1">
      <c r="A262" s="31"/>
      <c r="B262" s="31"/>
      <c r="C262" s="31"/>
      <c r="D262" s="31"/>
      <c r="K262" s="33">
        <f>+Q262-M262-O262</f>
        <v>0</v>
      </c>
      <c r="U262" s="33">
        <f>Y262-W262-S262</f>
        <v>0</v>
      </c>
      <c r="AA262" s="33">
        <f>+I262-Q262-Y262</f>
        <v>0</v>
      </c>
      <c r="AC262" s="33">
        <f>+E262+G262+-K262-M262-S262-U262-W262-O262</f>
        <v>0</v>
      </c>
    </row>
    <row r="263" spans="1:29">
      <c r="A263" s="30"/>
      <c r="B263" s="30"/>
      <c r="C263" s="30"/>
      <c r="D263" s="30"/>
      <c r="K263" s="17">
        <f>+Q263-M263-O263</f>
        <v>0</v>
      </c>
      <c r="U263" s="17">
        <f>Y263-W263-S263</f>
        <v>0</v>
      </c>
      <c r="AA263" s="17">
        <f>+I263-Q263-Y263</f>
        <v>0</v>
      </c>
      <c r="AC263" s="17">
        <f>+E263+G263+-K263-M263-S263-U263-W263-O263</f>
        <v>0</v>
      </c>
    </row>
    <row r="264" spans="1:29">
      <c r="A264" s="34"/>
      <c r="B264" s="34"/>
      <c r="C264" s="34"/>
      <c r="D264" s="34"/>
      <c r="K264" s="17">
        <f>+Q264-M264-O264</f>
        <v>0</v>
      </c>
      <c r="U264" s="17">
        <f>Y264-W264-S264</f>
        <v>0</v>
      </c>
      <c r="AA264" s="17">
        <f>+I264-Q264-Y264</f>
        <v>0</v>
      </c>
      <c r="AC264" s="33">
        <f>+E264+G264+-K264-M264-S264-U264-W264-O264</f>
        <v>0</v>
      </c>
    </row>
    <row r="265" spans="1:29">
      <c r="A265" s="34"/>
      <c r="B265" s="34"/>
      <c r="C265" s="34"/>
      <c r="D265" s="34"/>
      <c r="K265" s="17">
        <f>+Q265-M265-O265</f>
        <v>0</v>
      </c>
      <c r="U265" s="17">
        <f>Y265-W265-S265</f>
        <v>0</v>
      </c>
      <c r="AA265" s="17">
        <f>+I265-Q265-Y265</f>
        <v>0</v>
      </c>
      <c r="AC265" s="33">
        <f>+E265+G265+-K265-M265-S265-U265-W265-O265</f>
        <v>0</v>
      </c>
    </row>
    <row r="266" spans="1:29">
      <c r="A266" s="30"/>
      <c r="B266" s="30"/>
      <c r="C266" s="30"/>
      <c r="D266" s="30"/>
      <c r="K266" s="17">
        <f t="shared" si="24"/>
        <v>0</v>
      </c>
      <c r="U266" s="17">
        <f t="shared" ref="U266:U326" si="27">Y266-W266-S266</f>
        <v>0</v>
      </c>
      <c r="AA266" s="17">
        <f t="shared" si="25"/>
        <v>0</v>
      </c>
      <c r="AC266" s="17">
        <f t="shared" si="26"/>
        <v>0</v>
      </c>
    </row>
    <row r="267" spans="1:29">
      <c r="A267" s="34"/>
      <c r="B267" s="34"/>
      <c r="C267" s="34"/>
      <c r="D267" s="34"/>
      <c r="K267" s="17">
        <f t="shared" si="24"/>
        <v>0</v>
      </c>
      <c r="U267" s="17">
        <f t="shared" si="27"/>
        <v>0</v>
      </c>
      <c r="AA267" s="17">
        <f t="shared" si="25"/>
        <v>0</v>
      </c>
      <c r="AC267" s="33">
        <f t="shared" si="26"/>
        <v>0</v>
      </c>
    </row>
    <row r="268" spans="1:29">
      <c r="A268" s="34"/>
      <c r="B268" s="34"/>
      <c r="C268" s="34"/>
      <c r="D268" s="34"/>
      <c r="K268" s="17">
        <f t="shared" si="24"/>
        <v>0</v>
      </c>
      <c r="U268" s="17">
        <f t="shared" si="27"/>
        <v>0</v>
      </c>
      <c r="AA268" s="17">
        <f t="shared" si="25"/>
        <v>0</v>
      </c>
      <c r="AC268" s="33">
        <f t="shared" si="26"/>
        <v>0</v>
      </c>
    </row>
    <row r="269" spans="1:29">
      <c r="A269" s="34"/>
      <c r="B269" s="34"/>
      <c r="C269" s="34"/>
      <c r="D269" s="34"/>
      <c r="K269" s="17">
        <f t="shared" si="24"/>
        <v>0</v>
      </c>
      <c r="U269" s="17">
        <f t="shared" si="27"/>
        <v>0</v>
      </c>
      <c r="AA269" s="17">
        <f t="shared" si="25"/>
        <v>0</v>
      </c>
      <c r="AC269" s="33">
        <f t="shared" si="26"/>
        <v>0</v>
      </c>
    </row>
    <row r="270" spans="1:29">
      <c r="A270" s="34"/>
      <c r="B270" s="34"/>
      <c r="C270" s="34"/>
      <c r="D270" s="34"/>
      <c r="K270" s="17">
        <f t="shared" si="24"/>
        <v>0</v>
      </c>
      <c r="U270" s="17">
        <f t="shared" si="27"/>
        <v>0</v>
      </c>
      <c r="AA270" s="17">
        <f t="shared" si="25"/>
        <v>0</v>
      </c>
      <c r="AC270" s="33">
        <f t="shared" si="26"/>
        <v>0</v>
      </c>
    </row>
    <row r="271" spans="1:29">
      <c r="A271" s="34"/>
      <c r="B271" s="34"/>
      <c r="C271" s="34"/>
      <c r="D271" s="34"/>
      <c r="K271" s="17">
        <f>+Q271-M271-O271</f>
        <v>0</v>
      </c>
      <c r="U271" s="17">
        <f t="shared" si="27"/>
        <v>0</v>
      </c>
      <c r="AA271" s="17">
        <f t="shared" si="25"/>
        <v>0</v>
      </c>
      <c r="AC271" s="33">
        <f t="shared" si="26"/>
        <v>0</v>
      </c>
    </row>
    <row r="272" spans="1:29">
      <c r="A272" s="34"/>
      <c r="B272" s="34"/>
      <c r="C272" s="34"/>
      <c r="D272" s="34"/>
      <c r="K272" s="17">
        <f t="shared" si="24"/>
        <v>0</v>
      </c>
      <c r="U272" s="17">
        <f t="shared" si="27"/>
        <v>0</v>
      </c>
      <c r="AA272" s="17">
        <f t="shared" si="25"/>
        <v>0</v>
      </c>
      <c r="AC272" s="33">
        <f t="shared" si="26"/>
        <v>0</v>
      </c>
    </row>
    <row r="273" spans="1:29">
      <c r="A273" s="34"/>
      <c r="B273" s="34"/>
      <c r="C273" s="34"/>
      <c r="D273" s="34"/>
      <c r="K273" s="17">
        <f t="shared" si="24"/>
        <v>0</v>
      </c>
      <c r="U273" s="17">
        <f t="shared" si="27"/>
        <v>0</v>
      </c>
      <c r="AA273" s="17">
        <f t="shared" si="25"/>
        <v>0</v>
      </c>
      <c r="AC273" s="33">
        <f t="shared" si="26"/>
        <v>0</v>
      </c>
    </row>
    <row r="274" spans="1:29">
      <c r="A274" s="34"/>
      <c r="B274" s="34"/>
      <c r="C274" s="34"/>
      <c r="D274" s="34"/>
      <c r="K274" s="17">
        <f t="shared" si="24"/>
        <v>0</v>
      </c>
      <c r="U274" s="17">
        <f t="shared" si="27"/>
        <v>0</v>
      </c>
      <c r="AA274" s="17">
        <f t="shared" si="25"/>
        <v>0</v>
      </c>
      <c r="AC274" s="33">
        <f t="shared" si="26"/>
        <v>0</v>
      </c>
    </row>
    <row r="275" spans="1:29">
      <c r="A275" s="34"/>
      <c r="B275" s="34"/>
      <c r="C275" s="34"/>
      <c r="D275" s="34"/>
      <c r="K275" s="17">
        <f t="shared" si="24"/>
        <v>0</v>
      </c>
      <c r="U275" s="17">
        <f t="shared" si="27"/>
        <v>0</v>
      </c>
      <c r="AA275" s="17">
        <f t="shared" si="25"/>
        <v>0</v>
      </c>
      <c r="AC275" s="33">
        <f t="shared" si="26"/>
        <v>0</v>
      </c>
    </row>
    <row r="276" spans="1:29">
      <c r="A276" s="34"/>
      <c r="B276" s="34"/>
      <c r="C276" s="34"/>
      <c r="D276" s="34"/>
      <c r="K276" s="17">
        <f t="shared" si="24"/>
        <v>0</v>
      </c>
      <c r="U276" s="17">
        <f t="shared" si="27"/>
        <v>0</v>
      </c>
      <c r="AA276" s="17">
        <f t="shared" si="25"/>
        <v>0</v>
      </c>
      <c r="AC276" s="33">
        <f t="shared" si="26"/>
        <v>0</v>
      </c>
    </row>
    <row r="277" spans="1:29">
      <c r="A277" s="34"/>
      <c r="B277" s="34"/>
      <c r="C277" s="34"/>
      <c r="D277" s="34"/>
      <c r="K277" s="17">
        <f t="shared" si="24"/>
        <v>0</v>
      </c>
      <c r="U277" s="17">
        <f t="shared" si="27"/>
        <v>0</v>
      </c>
      <c r="AA277" s="17">
        <f>+I277-Q277-Y277</f>
        <v>0</v>
      </c>
      <c r="AC277" s="33">
        <f t="shared" si="26"/>
        <v>0</v>
      </c>
    </row>
    <row r="278" spans="1:29">
      <c r="A278" s="34"/>
      <c r="B278" s="34"/>
      <c r="C278" s="34"/>
      <c r="D278" s="34"/>
      <c r="K278" s="17">
        <f t="shared" si="24"/>
        <v>0</v>
      </c>
      <c r="U278" s="17">
        <f t="shared" si="27"/>
        <v>0</v>
      </c>
      <c r="AA278" s="17">
        <f t="shared" si="25"/>
        <v>0</v>
      </c>
      <c r="AC278" s="33">
        <f t="shared" si="26"/>
        <v>0</v>
      </c>
    </row>
    <row r="279" spans="1:29">
      <c r="A279" s="34"/>
      <c r="B279" s="34"/>
      <c r="C279" s="34"/>
      <c r="D279" s="34"/>
      <c r="K279" s="17">
        <f t="shared" si="24"/>
        <v>0</v>
      </c>
      <c r="U279" s="17">
        <f t="shared" si="27"/>
        <v>0</v>
      </c>
      <c r="AA279" s="17">
        <f>+I279-Q279-Y279</f>
        <v>0</v>
      </c>
      <c r="AC279" s="33">
        <f t="shared" si="26"/>
        <v>0</v>
      </c>
    </row>
    <row r="280" spans="1:29">
      <c r="A280" s="34"/>
      <c r="B280" s="34"/>
      <c r="C280" s="34"/>
      <c r="D280" s="34"/>
      <c r="K280" s="17">
        <f t="shared" si="24"/>
        <v>0</v>
      </c>
      <c r="U280" s="17">
        <f t="shared" si="27"/>
        <v>0</v>
      </c>
      <c r="AA280" s="17">
        <f t="shared" si="25"/>
        <v>0</v>
      </c>
      <c r="AC280" s="33">
        <f t="shared" si="26"/>
        <v>0</v>
      </c>
    </row>
    <row r="281" spans="1:29">
      <c r="A281" s="34"/>
      <c r="B281" s="34"/>
      <c r="C281" s="34"/>
      <c r="D281" s="34"/>
      <c r="K281" s="17">
        <f t="shared" si="24"/>
        <v>0</v>
      </c>
      <c r="U281" s="17">
        <f t="shared" si="27"/>
        <v>0</v>
      </c>
      <c r="AA281" s="17">
        <f t="shared" si="25"/>
        <v>0</v>
      </c>
      <c r="AC281" s="33">
        <f t="shared" si="26"/>
        <v>0</v>
      </c>
    </row>
    <row r="282" spans="1:29">
      <c r="A282" s="34"/>
      <c r="B282" s="34"/>
      <c r="C282" s="34"/>
      <c r="D282" s="34"/>
      <c r="K282" s="17">
        <f t="shared" si="24"/>
        <v>0</v>
      </c>
      <c r="U282" s="17">
        <f t="shared" si="27"/>
        <v>0</v>
      </c>
      <c r="AA282" s="17">
        <f t="shared" si="25"/>
        <v>0</v>
      </c>
      <c r="AC282" s="33">
        <f t="shared" si="26"/>
        <v>0</v>
      </c>
    </row>
    <row r="283" spans="1:29">
      <c r="A283" s="34"/>
      <c r="B283" s="34"/>
      <c r="C283" s="34"/>
      <c r="D283" s="34"/>
      <c r="K283" s="17">
        <f t="shared" si="24"/>
        <v>0</v>
      </c>
      <c r="U283" s="17">
        <f t="shared" si="27"/>
        <v>0</v>
      </c>
      <c r="AA283" s="17">
        <f t="shared" si="25"/>
        <v>0</v>
      </c>
      <c r="AC283" s="33">
        <f t="shared" si="26"/>
        <v>0</v>
      </c>
    </row>
    <row r="284" spans="1:29">
      <c r="A284" s="34"/>
      <c r="B284" s="34"/>
      <c r="C284" s="34"/>
      <c r="D284" s="34"/>
      <c r="K284" s="17">
        <f t="shared" si="24"/>
        <v>0</v>
      </c>
      <c r="U284" s="17">
        <f t="shared" si="27"/>
        <v>0</v>
      </c>
      <c r="AA284" s="17">
        <f t="shared" si="25"/>
        <v>0</v>
      </c>
      <c r="AC284" s="33">
        <f t="shared" si="26"/>
        <v>0</v>
      </c>
    </row>
    <row r="285" spans="1:29">
      <c r="A285" s="34"/>
      <c r="B285" s="34"/>
      <c r="C285" s="34"/>
      <c r="D285" s="34"/>
      <c r="K285" s="17">
        <f t="shared" si="24"/>
        <v>0</v>
      </c>
      <c r="U285" s="17">
        <f t="shared" si="27"/>
        <v>0</v>
      </c>
      <c r="AA285" s="17">
        <f t="shared" si="25"/>
        <v>0</v>
      </c>
      <c r="AC285" s="33">
        <f t="shared" si="26"/>
        <v>0</v>
      </c>
    </row>
    <row r="286" spans="1:29">
      <c r="A286" s="34"/>
      <c r="B286" s="34"/>
      <c r="C286" s="34"/>
      <c r="D286" s="34"/>
      <c r="K286" s="17">
        <f t="shared" si="24"/>
        <v>0</v>
      </c>
      <c r="U286" s="17">
        <f t="shared" si="27"/>
        <v>0</v>
      </c>
      <c r="AA286" s="17">
        <f>+I286-Q286-Y286</f>
        <v>0</v>
      </c>
      <c r="AC286" s="33">
        <f t="shared" si="26"/>
        <v>0</v>
      </c>
    </row>
    <row r="287" spans="1:29">
      <c r="A287" s="34"/>
      <c r="B287" s="34"/>
      <c r="C287" s="34"/>
      <c r="D287" s="34"/>
      <c r="K287" s="17">
        <f t="shared" si="24"/>
        <v>0</v>
      </c>
      <c r="U287" s="17">
        <f t="shared" si="27"/>
        <v>0</v>
      </c>
      <c r="AA287" s="17">
        <f t="shared" si="25"/>
        <v>0</v>
      </c>
      <c r="AC287" s="33">
        <f t="shared" si="26"/>
        <v>0</v>
      </c>
    </row>
    <row r="288" spans="1:29">
      <c r="A288" s="34"/>
      <c r="B288" s="34"/>
      <c r="C288" s="34"/>
      <c r="D288" s="34"/>
      <c r="K288" s="17">
        <f t="shared" si="24"/>
        <v>0</v>
      </c>
      <c r="U288" s="17">
        <f t="shared" si="27"/>
        <v>0</v>
      </c>
      <c r="AA288" s="17">
        <f t="shared" si="25"/>
        <v>0</v>
      </c>
      <c r="AC288" s="33">
        <f t="shared" si="26"/>
        <v>0</v>
      </c>
    </row>
    <row r="289" spans="1:29">
      <c r="A289" s="34"/>
      <c r="B289" s="34"/>
      <c r="C289" s="34"/>
      <c r="D289" s="34"/>
      <c r="K289" s="17">
        <f t="shared" si="24"/>
        <v>0</v>
      </c>
      <c r="U289" s="17">
        <f t="shared" si="27"/>
        <v>0</v>
      </c>
      <c r="AA289" s="17">
        <f t="shared" si="25"/>
        <v>0</v>
      </c>
      <c r="AC289" s="33">
        <f t="shared" si="26"/>
        <v>0</v>
      </c>
    </row>
    <row r="290" spans="1:29">
      <c r="A290" s="34"/>
      <c r="B290" s="34"/>
      <c r="C290" s="34"/>
      <c r="D290" s="34"/>
      <c r="K290" s="17">
        <f t="shared" si="24"/>
        <v>0</v>
      </c>
      <c r="U290" s="17">
        <f t="shared" si="27"/>
        <v>0</v>
      </c>
      <c r="AA290" s="17">
        <f t="shared" si="25"/>
        <v>0</v>
      </c>
      <c r="AC290" s="33">
        <f t="shared" si="26"/>
        <v>0</v>
      </c>
    </row>
    <row r="291" spans="1:29">
      <c r="A291" s="34"/>
      <c r="B291" s="34"/>
      <c r="C291" s="34"/>
      <c r="D291" s="34"/>
      <c r="K291" s="17">
        <f t="shared" si="24"/>
        <v>0</v>
      </c>
      <c r="U291" s="17">
        <f t="shared" si="27"/>
        <v>0</v>
      </c>
      <c r="AA291" s="17">
        <f t="shared" si="25"/>
        <v>0</v>
      </c>
      <c r="AC291" s="33">
        <f t="shared" si="26"/>
        <v>0</v>
      </c>
    </row>
    <row r="292" spans="1:29">
      <c r="A292" s="34"/>
      <c r="B292" s="34"/>
      <c r="C292" s="34"/>
      <c r="D292" s="34"/>
      <c r="K292" s="17">
        <f t="shared" si="24"/>
        <v>0</v>
      </c>
      <c r="U292" s="17">
        <f t="shared" si="27"/>
        <v>0</v>
      </c>
      <c r="AA292" s="17">
        <f t="shared" si="25"/>
        <v>0</v>
      </c>
      <c r="AC292" s="33">
        <f t="shared" si="26"/>
        <v>0</v>
      </c>
    </row>
    <row r="293" spans="1:29">
      <c r="A293" s="34"/>
      <c r="B293" s="34"/>
      <c r="C293" s="34"/>
      <c r="D293" s="34"/>
      <c r="K293" s="17">
        <f t="shared" si="24"/>
        <v>0</v>
      </c>
      <c r="U293" s="17">
        <f t="shared" si="27"/>
        <v>0</v>
      </c>
      <c r="AA293" s="17">
        <f t="shared" si="25"/>
        <v>0</v>
      </c>
      <c r="AC293" s="33">
        <f t="shared" si="26"/>
        <v>0</v>
      </c>
    </row>
    <row r="294" spans="1:29">
      <c r="A294" s="34"/>
      <c r="B294" s="34"/>
      <c r="C294" s="34"/>
      <c r="D294" s="34"/>
      <c r="K294" s="17">
        <f t="shared" si="24"/>
        <v>0</v>
      </c>
      <c r="U294" s="17">
        <f t="shared" si="27"/>
        <v>0</v>
      </c>
      <c r="AA294" s="17">
        <f t="shared" si="25"/>
        <v>0</v>
      </c>
      <c r="AC294" s="33">
        <f t="shared" si="26"/>
        <v>0</v>
      </c>
    </row>
    <row r="295" spans="1:29">
      <c r="A295" s="34"/>
      <c r="B295" s="34"/>
      <c r="C295" s="34"/>
      <c r="D295" s="34"/>
      <c r="K295" s="17">
        <f t="shared" si="24"/>
        <v>0</v>
      </c>
      <c r="U295" s="17">
        <f t="shared" si="27"/>
        <v>0</v>
      </c>
      <c r="AA295" s="17">
        <f t="shared" si="25"/>
        <v>0</v>
      </c>
      <c r="AC295" s="33">
        <f t="shared" si="26"/>
        <v>0</v>
      </c>
    </row>
    <row r="296" spans="1:29">
      <c r="A296" s="34"/>
      <c r="B296" s="34"/>
      <c r="C296" s="34"/>
      <c r="D296" s="34"/>
      <c r="K296" s="17">
        <f t="shared" si="24"/>
        <v>0</v>
      </c>
      <c r="U296" s="17">
        <f t="shared" si="27"/>
        <v>0</v>
      </c>
      <c r="AA296" s="17">
        <f t="shared" si="25"/>
        <v>0</v>
      </c>
      <c r="AC296" s="33">
        <f t="shared" si="26"/>
        <v>0</v>
      </c>
    </row>
    <row r="297" spans="1:29">
      <c r="A297" s="34"/>
      <c r="B297" s="34"/>
      <c r="C297" s="34"/>
      <c r="D297" s="34"/>
      <c r="K297" s="17">
        <f t="shared" si="24"/>
        <v>0</v>
      </c>
      <c r="U297" s="17">
        <f t="shared" si="27"/>
        <v>0</v>
      </c>
      <c r="AA297" s="17">
        <f t="shared" si="25"/>
        <v>0</v>
      </c>
      <c r="AC297" s="33">
        <f t="shared" si="26"/>
        <v>0</v>
      </c>
    </row>
    <row r="298" spans="1:29">
      <c r="A298" s="34"/>
      <c r="B298" s="34"/>
      <c r="C298" s="34"/>
      <c r="D298" s="34"/>
      <c r="K298" s="17">
        <f t="shared" si="24"/>
        <v>0</v>
      </c>
      <c r="U298" s="17">
        <f t="shared" si="27"/>
        <v>0</v>
      </c>
      <c r="AA298" s="17">
        <f t="shared" si="25"/>
        <v>0</v>
      </c>
      <c r="AC298" s="33">
        <f t="shared" si="26"/>
        <v>0</v>
      </c>
    </row>
    <row r="299" spans="1:29">
      <c r="A299" s="34"/>
      <c r="B299" s="34"/>
      <c r="C299" s="34"/>
      <c r="D299" s="34"/>
      <c r="K299" s="17">
        <f t="shared" si="24"/>
        <v>0</v>
      </c>
      <c r="U299" s="17">
        <f t="shared" si="27"/>
        <v>0</v>
      </c>
      <c r="AA299" s="17">
        <f t="shared" si="25"/>
        <v>0</v>
      </c>
      <c r="AC299" s="33">
        <f t="shared" si="26"/>
        <v>0</v>
      </c>
    </row>
    <row r="300" spans="1:29">
      <c r="A300" s="34"/>
      <c r="B300" s="34"/>
      <c r="C300" s="34"/>
      <c r="D300" s="34"/>
      <c r="K300" s="17">
        <f t="shared" si="24"/>
        <v>0</v>
      </c>
      <c r="U300" s="17">
        <f t="shared" si="27"/>
        <v>0</v>
      </c>
      <c r="AA300" s="17">
        <f>+I300-Q300-Y300</f>
        <v>0</v>
      </c>
      <c r="AC300" s="33">
        <f t="shared" si="26"/>
        <v>0</v>
      </c>
    </row>
    <row r="301" spans="1:29">
      <c r="A301" s="34"/>
      <c r="B301" s="34"/>
      <c r="C301" s="34"/>
      <c r="D301" s="34"/>
      <c r="K301" s="17">
        <f t="shared" si="24"/>
        <v>0</v>
      </c>
      <c r="U301" s="17">
        <f t="shared" si="27"/>
        <v>0</v>
      </c>
      <c r="AA301" s="17">
        <f t="shared" si="25"/>
        <v>0</v>
      </c>
      <c r="AC301" s="33">
        <f t="shared" si="26"/>
        <v>0</v>
      </c>
    </row>
    <row r="302" spans="1:29">
      <c r="A302" s="34"/>
      <c r="B302" s="34"/>
      <c r="C302" s="34"/>
      <c r="D302" s="34"/>
      <c r="K302" s="17">
        <f t="shared" si="24"/>
        <v>0</v>
      </c>
      <c r="U302" s="17">
        <f t="shared" si="27"/>
        <v>0</v>
      </c>
      <c r="AA302" s="17">
        <f t="shared" si="25"/>
        <v>0</v>
      </c>
      <c r="AC302" s="33">
        <f t="shared" si="26"/>
        <v>0</v>
      </c>
    </row>
    <row r="303" spans="1:29">
      <c r="A303" s="34"/>
      <c r="B303" s="34"/>
      <c r="C303" s="34"/>
      <c r="D303" s="34"/>
      <c r="K303" s="17">
        <f t="shared" si="24"/>
        <v>0</v>
      </c>
      <c r="U303" s="17">
        <f t="shared" si="27"/>
        <v>0</v>
      </c>
      <c r="AA303" s="17">
        <f t="shared" si="25"/>
        <v>0</v>
      </c>
      <c r="AC303" s="33">
        <f t="shared" si="26"/>
        <v>0</v>
      </c>
    </row>
    <row r="304" spans="1:29">
      <c r="A304" s="34"/>
      <c r="B304" s="34"/>
      <c r="C304" s="34"/>
      <c r="D304" s="34"/>
      <c r="K304" s="17">
        <f t="shared" si="24"/>
        <v>0</v>
      </c>
      <c r="U304" s="17">
        <f t="shared" si="27"/>
        <v>0</v>
      </c>
      <c r="AA304" s="17">
        <f t="shared" si="25"/>
        <v>0</v>
      </c>
      <c r="AC304" s="33">
        <f t="shared" si="26"/>
        <v>0</v>
      </c>
    </row>
    <row r="305" spans="1:29">
      <c r="A305" s="34"/>
      <c r="B305" s="34"/>
      <c r="C305" s="34"/>
      <c r="D305" s="34"/>
      <c r="K305" s="17">
        <f t="shared" si="24"/>
        <v>0</v>
      </c>
      <c r="U305" s="17">
        <f t="shared" si="27"/>
        <v>0</v>
      </c>
      <c r="AA305" s="17">
        <f t="shared" si="25"/>
        <v>0</v>
      </c>
      <c r="AC305" s="33">
        <f t="shared" si="26"/>
        <v>0</v>
      </c>
    </row>
    <row r="306" spans="1:29">
      <c r="A306" s="34"/>
      <c r="B306" s="34"/>
      <c r="C306" s="34"/>
      <c r="D306" s="34"/>
      <c r="K306" s="17">
        <f t="shared" si="24"/>
        <v>0</v>
      </c>
      <c r="U306" s="17">
        <f t="shared" si="27"/>
        <v>0</v>
      </c>
      <c r="AA306" s="17">
        <f t="shared" si="25"/>
        <v>0</v>
      </c>
      <c r="AC306" s="33">
        <f t="shared" si="26"/>
        <v>0</v>
      </c>
    </row>
    <row r="307" spans="1:29">
      <c r="A307" s="34"/>
      <c r="B307" s="34"/>
      <c r="C307" s="34"/>
      <c r="D307" s="34"/>
      <c r="K307" s="17">
        <f t="shared" si="24"/>
        <v>0</v>
      </c>
      <c r="U307" s="17">
        <f t="shared" si="27"/>
        <v>0</v>
      </c>
      <c r="AA307" s="17">
        <f t="shared" si="25"/>
        <v>0</v>
      </c>
      <c r="AC307" s="33">
        <f t="shared" si="26"/>
        <v>0</v>
      </c>
    </row>
    <row r="308" spans="1:29">
      <c r="A308" s="30"/>
      <c r="B308" s="30"/>
      <c r="C308" s="30"/>
      <c r="D308" s="30"/>
      <c r="K308" s="17">
        <f t="shared" si="24"/>
        <v>0</v>
      </c>
      <c r="U308" s="17">
        <f t="shared" si="27"/>
        <v>0</v>
      </c>
      <c r="AA308" s="17">
        <f t="shared" si="25"/>
        <v>0</v>
      </c>
      <c r="AC308" s="17">
        <f t="shared" si="26"/>
        <v>0</v>
      </c>
    </row>
    <row r="309" spans="1:29">
      <c r="A309" s="34"/>
      <c r="B309" s="34"/>
      <c r="C309" s="34"/>
      <c r="D309" s="34"/>
      <c r="K309" s="17">
        <f t="shared" si="24"/>
        <v>0</v>
      </c>
      <c r="U309" s="17">
        <f t="shared" si="27"/>
        <v>0</v>
      </c>
      <c r="AA309" s="17">
        <f t="shared" si="25"/>
        <v>0</v>
      </c>
      <c r="AC309" s="33">
        <f t="shared" si="26"/>
        <v>0</v>
      </c>
    </row>
    <row r="310" spans="1:29">
      <c r="A310" s="34"/>
      <c r="B310" s="34"/>
      <c r="C310" s="34"/>
      <c r="D310" s="34"/>
      <c r="K310" s="17">
        <f t="shared" si="24"/>
        <v>0</v>
      </c>
      <c r="U310" s="17">
        <f t="shared" si="27"/>
        <v>0</v>
      </c>
      <c r="AA310" s="17">
        <f t="shared" si="25"/>
        <v>0</v>
      </c>
      <c r="AC310" s="33">
        <f t="shared" si="26"/>
        <v>0</v>
      </c>
    </row>
    <row r="311" spans="1:29">
      <c r="A311" s="34"/>
      <c r="B311" s="34"/>
      <c r="C311" s="34"/>
      <c r="D311" s="34"/>
      <c r="K311" s="17">
        <f t="shared" si="24"/>
        <v>0</v>
      </c>
      <c r="U311" s="17">
        <f t="shared" si="27"/>
        <v>0</v>
      </c>
      <c r="AA311" s="17">
        <f t="shared" si="25"/>
        <v>0</v>
      </c>
      <c r="AC311" s="33">
        <f t="shared" si="26"/>
        <v>0</v>
      </c>
    </row>
    <row r="312" spans="1:29">
      <c r="A312" s="34"/>
      <c r="B312" s="34"/>
      <c r="C312" s="34"/>
      <c r="D312" s="34"/>
      <c r="K312" s="17">
        <f t="shared" si="24"/>
        <v>0</v>
      </c>
      <c r="U312" s="17">
        <f t="shared" si="27"/>
        <v>0</v>
      </c>
      <c r="AA312" s="17">
        <f t="shared" si="25"/>
        <v>0</v>
      </c>
      <c r="AC312" s="33">
        <f t="shared" si="26"/>
        <v>0</v>
      </c>
    </row>
    <row r="313" spans="1:29">
      <c r="A313" s="34"/>
      <c r="B313" s="34"/>
      <c r="C313" s="34"/>
      <c r="D313" s="34"/>
      <c r="K313" s="17">
        <f t="shared" si="24"/>
        <v>0</v>
      </c>
      <c r="U313" s="17">
        <f t="shared" si="27"/>
        <v>0</v>
      </c>
      <c r="AA313" s="17">
        <f t="shared" si="25"/>
        <v>0</v>
      </c>
      <c r="AC313" s="33">
        <f t="shared" si="26"/>
        <v>0</v>
      </c>
    </row>
    <row r="314" spans="1:29">
      <c r="A314" s="34"/>
      <c r="B314" s="34"/>
      <c r="C314" s="34"/>
      <c r="D314" s="34"/>
      <c r="K314" s="17">
        <f t="shared" si="24"/>
        <v>0</v>
      </c>
      <c r="U314" s="17">
        <f t="shared" si="27"/>
        <v>0</v>
      </c>
      <c r="AA314" s="17">
        <f t="shared" si="25"/>
        <v>0</v>
      </c>
      <c r="AC314" s="33">
        <f t="shared" si="26"/>
        <v>0</v>
      </c>
    </row>
    <row r="315" spans="1:29">
      <c r="A315" s="34"/>
      <c r="B315" s="34"/>
      <c r="C315" s="34"/>
      <c r="D315" s="34"/>
      <c r="K315" s="17">
        <f t="shared" si="24"/>
        <v>0</v>
      </c>
      <c r="U315" s="17">
        <f t="shared" si="27"/>
        <v>0</v>
      </c>
      <c r="AA315" s="17">
        <f t="shared" si="25"/>
        <v>0</v>
      </c>
      <c r="AC315" s="33">
        <f t="shared" si="26"/>
        <v>0</v>
      </c>
    </row>
    <row r="316" spans="1:29">
      <c r="A316" s="34"/>
      <c r="B316" s="34"/>
      <c r="C316" s="34"/>
      <c r="D316" s="34"/>
      <c r="K316" s="17">
        <f t="shared" si="24"/>
        <v>0</v>
      </c>
      <c r="U316" s="17">
        <f t="shared" si="27"/>
        <v>0</v>
      </c>
      <c r="AA316" s="17">
        <f t="shared" si="25"/>
        <v>0</v>
      </c>
      <c r="AC316" s="33">
        <f t="shared" si="26"/>
        <v>0</v>
      </c>
    </row>
    <row r="317" spans="1:29">
      <c r="A317" s="34"/>
      <c r="B317" s="34"/>
      <c r="C317" s="34"/>
      <c r="D317" s="34"/>
      <c r="K317" s="17">
        <f t="shared" si="24"/>
        <v>0</v>
      </c>
      <c r="U317" s="17">
        <f t="shared" si="27"/>
        <v>0</v>
      </c>
      <c r="AA317" s="17">
        <f t="shared" si="25"/>
        <v>0</v>
      </c>
      <c r="AC317" s="33">
        <f t="shared" si="26"/>
        <v>0</v>
      </c>
    </row>
    <row r="318" spans="1:29">
      <c r="A318" s="34"/>
      <c r="B318" s="34"/>
      <c r="C318" s="34"/>
      <c r="D318" s="34"/>
      <c r="K318" s="17">
        <f t="shared" si="24"/>
        <v>0</v>
      </c>
      <c r="U318" s="17">
        <f t="shared" si="27"/>
        <v>0</v>
      </c>
      <c r="AA318" s="17">
        <f t="shared" si="25"/>
        <v>0</v>
      </c>
      <c r="AC318" s="33">
        <f t="shared" si="26"/>
        <v>0</v>
      </c>
    </row>
    <row r="319" spans="1:29">
      <c r="A319" s="34"/>
      <c r="B319" s="34"/>
      <c r="C319" s="34"/>
      <c r="D319" s="34"/>
      <c r="K319" s="17">
        <f t="shared" si="24"/>
        <v>0</v>
      </c>
      <c r="U319" s="17">
        <f t="shared" si="27"/>
        <v>0</v>
      </c>
      <c r="AA319" s="17">
        <f t="shared" si="25"/>
        <v>0</v>
      </c>
      <c r="AC319" s="33">
        <f t="shared" si="26"/>
        <v>0</v>
      </c>
    </row>
    <row r="320" spans="1:29">
      <c r="A320" s="34"/>
      <c r="B320" s="34"/>
      <c r="C320" s="34"/>
      <c r="D320" s="34"/>
      <c r="K320" s="17">
        <f t="shared" si="24"/>
        <v>0</v>
      </c>
      <c r="U320" s="17">
        <f t="shared" si="27"/>
        <v>0</v>
      </c>
      <c r="AA320" s="17">
        <f t="shared" si="25"/>
        <v>0</v>
      </c>
      <c r="AC320" s="33">
        <f t="shared" si="26"/>
        <v>0</v>
      </c>
    </row>
    <row r="321" spans="1:29">
      <c r="A321" s="34"/>
      <c r="B321" s="34"/>
      <c r="C321" s="34"/>
      <c r="D321" s="34"/>
      <c r="K321" s="17">
        <f t="shared" si="24"/>
        <v>0</v>
      </c>
      <c r="U321" s="17">
        <f t="shared" si="27"/>
        <v>0</v>
      </c>
      <c r="AA321" s="17">
        <f t="shared" si="25"/>
        <v>0</v>
      </c>
      <c r="AC321" s="33">
        <f t="shared" si="26"/>
        <v>0</v>
      </c>
    </row>
    <row r="322" spans="1:29">
      <c r="A322" s="30"/>
      <c r="B322" s="34"/>
      <c r="C322" s="34"/>
      <c r="D322" s="34"/>
      <c r="K322" s="17">
        <f t="shared" si="24"/>
        <v>0</v>
      </c>
      <c r="U322" s="17">
        <f t="shared" si="27"/>
        <v>0</v>
      </c>
      <c r="AA322" s="17">
        <f t="shared" si="25"/>
        <v>0</v>
      </c>
      <c r="AC322" s="33">
        <f t="shared" si="26"/>
        <v>0</v>
      </c>
    </row>
    <row r="323" spans="1:29">
      <c r="A323" s="34"/>
      <c r="B323" s="34"/>
      <c r="C323" s="34"/>
      <c r="D323" s="34"/>
      <c r="K323" s="17">
        <f t="shared" si="24"/>
        <v>0</v>
      </c>
      <c r="U323" s="17">
        <f t="shared" si="27"/>
        <v>0</v>
      </c>
      <c r="AA323" s="17">
        <f t="shared" si="25"/>
        <v>0</v>
      </c>
      <c r="AC323" s="33">
        <f t="shared" si="26"/>
        <v>0</v>
      </c>
    </row>
    <row r="324" spans="1:29">
      <c r="A324" s="34"/>
      <c r="B324" s="34"/>
      <c r="C324" s="34"/>
      <c r="D324" s="34"/>
      <c r="K324" s="17">
        <f t="shared" si="24"/>
        <v>0</v>
      </c>
      <c r="U324" s="17">
        <f t="shared" si="27"/>
        <v>0</v>
      </c>
      <c r="AA324" s="17">
        <f t="shared" si="25"/>
        <v>0</v>
      </c>
      <c r="AC324" s="33">
        <f t="shared" si="26"/>
        <v>0</v>
      </c>
    </row>
    <row r="325" spans="1:29">
      <c r="A325" s="34"/>
      <c r="B325" s="34"/>
      <c r="C325" s="34"/>
      <c r="D325" s="34"/>
      <c r="K325" s="17">
        <f t="shared" ref="K325:K326" si="28">+Q325-M325-O325</f>
        <v>0</v>
      </c>
      <c r="U325" s="17">
        <f t="shared" si="27"/>
        <v>0</v>
      </c>
      <c r="AA325" s="17">
        <f t="shared" ref="AA325:AA392" si="29">+I325-Q325-Y325</f>
        <v>0</v>
      </c>
      <c r="AC325" s="33">
        <f t="shared" ref="AC325:AC389" si="30">+E325+G325+-K325-M325-S325-U325-W325-O325</f>
        <v>0</v>
      </c>
    </row>
    <row r="326" spans="1:29">
      <c r="A326" s="34"/>
      <c r="B326" s="34"/>
      <c r="C326" s="34"/>
      <c r="D326" s="34"/>
      <c r="K326" s="17">
        <f t="shared" si="28"/>
        <v>0</v>
      </c>
      <c r="U326" s="17">
        <f t="shared" si="27"/>
        <v>0</v>
      </c>
      <c r="AA326" s="17">
        <f t="shared" si="29"/>
        <v>0</v>
      </c>
      <c r="AC326" s="33">
        <f t="shared" si="30"/>
        <v>0</v>
      </c>
    </row>
    <row r="329" spans="1:29" s="33" customFormat="1">
      <c r="A329" s="31"/>
      <c r="B329" s="31"/>
      <c r="C329" s="31"/>
      <c r="D329" s="31"/>
      <c r="K329" s="33">
        <f t="shared" ref="K329:K392" si="31">+Q329-M329-O329</f>
        <v>0</v>
      </c>
      <c r="U329" s="33">
        <f t="shared" ref="U329:U386" si="32">Y329-W329-S329</f>
        <v>0</v>
      </c>
      <c r="AA329" s="33">
        <f t="shared" ref="AA329:AA335" si="33">+I329-Q329-Y329</f>
        <v>0</v>
      </c>
      <c r="AC329" s="33">
        <f t="shared" ref="AC329:AC335" si="34">+E329+G329+-K329-M329-S329-U329-W329-O329</f>
        <v>0</v>
      </c>
    </row>
    <row r="330" spans="1:29">
      <c r="A330" s="34"/>
      <c r="B330" s="34"/>
      <c r="C330" s="34"/>
      <c r="D330" s="34"/>
      <c r="K330" s="17">
        <f t="shared" si="31"/>
        <v>0</v>
      </c>
      <c r="U330" s="17">
        <f t="shared" si="32"/>
        <v>0</v>
      </c>
      <c r="AA330" s="17">
        <f t="shared" si="33"/>
        <v>0</v>
      </c>
      <c r="AC330" s="33">
        <f t="shared" si="34"/>
        <v>0</v>
      </c>
    </row>
    <row r="331" spans="1:29">
      <c r="A331" s="34"/>
      <c r="B331" s="34"/>
      <c r="C331" s="34"/>
      <c r="D331" s="34"/>
      <c r="K331" s="17">
        <f t="shared" si="31"/>
        <v>0</v>
      </c>
      <c r="U331" s="17">
        <f t="shared" si="32"/>
        <v>0</v>
      </c>
      <c r="AA331" s="17">
        <f t="shared" si="33"/>
        <v>0</v>
      </c>
      <c r="AC331" s="33">
        <f t="shared" si="34"/>
        <v>0</v>
      </c>
    </row>
    <row r="332" spans="1:29">
      <c r="A332" s="34"/>
      <c r="B332" s="34"/>
      <c r="C332" s="34"/>
      <c r="D332" s="34"/>
      <c r="E332" s="33"/>
      <c r="F332" s="33"/>
      <c r="G332" s="33"/>
      <c r="H332" s="33"/>
      <c r="I332" s="33"/>
      <c r="J332" s="33"/>
      <c r="K332" s="33">
        <f t="shared" si="31"/>
        <v>0</v>
      </c>
      <c r="L332" s="33"/>
      <c r="M332" s="33"/>
      <c r="N332" s="33"/>
      <c r="O332" s="33"/>
      <c r="P332" s="33"/>
      <c r="Q332" s="33"/>
      <c r="R332" s="33"/>
      <c r="S332" s="33"/>
      <c r="T332" s="33"/>
      <c r="U332" s="33">
        <f t="shared" si="32"/>
        <v>0</v>
      </c>
      <c r="V332" s="33"/>
      <c r="W332" s="33"/>
      <c r="X332" s="33"/>
      <c r="Y332" s="33"/>
      <c r="Z332" s="33"/>
      <c r="AA332" s="33">
        <f t="shared" si="33"/>
        <v>0</v>
      </c>
      <c r="AB332" s="33"/>
      <c r="AC332" s="33">
        <f t="shared" si="34"/>
        <v>0</v>
      </c>
    </row>
    <row r="333" spans="1:29">
      <c r="A333" s="34"/>
      <c r="B333" s="34"/>
      <c r="C333" s="34"/>
      <c r="D333" s="34"/>
      <c r="K333" s="17">
        <f t="shared" si="31"/>
        <v>0</v>
      </c>
      <c r="U333" s="17">
        <f t="shared" si="32"/>
        <v>0</v>
      </c>
      <c r="AA333" s="17">
        <f t="shared" si="33"/>
        <v>0</v>
      </c>
      <c r="AC333" s="33">
        <f t="shared" si="34"/>
        <v>0</v>
      </c>
    </row>
    <row r="334" spans="1:29">
      <c r="A334" s="30"/>
      <c r="B334" s="30"/>
      <c r="C334" s="30"/>
      <c r="D334" s="30"/>
      <c r="K334" s="17">
        <f t="shared" si="31"/>
        <v>0</v>
      </c>
      <c r="U334" s="17">
        <f t="shared" si="32"/>
        <v>0</v>
      </c>
      <c r="AA334" s="17">
        <f t="shared" si="33"/>
        <v>0</v>
      </c>
      <c r="AC334" s="17">
        <f t="shared" si="34"/>
        <v>0</v>
      </c>
    </row>
    <row r="335" spans="1:29">
      <c r="A335" s="30"/>
      <c r="B335" s="30"/>
      <c r="C335" s="30"/>
      <c r="D335" s="30"/>
      <c r="K335" s="17">
        <f t="shared" si="31"/>
        <v>0</v>
      </c>
      <c r="U335" s="17">
        <f t="shared" si="32"/>
        <v>0</v>
      </c>
      <c r="AA335" s="17">
        <f t="shared" si="33"/>
        <v>0</v>
      </c>
      <c r="AC335" s="17">
        <f t="shared" si="34"/>
        <v>0</v>
      </c>
    </row>
    <row r="336" spans="1:29">
      <c r="A336" s="30"/>
      <c r="B336" s="30"/>
      <c r="C336" s="30"/>
      <c r="D336" s="30"/>
      <c r="K336" s="17">
        <f t="shared" si="31"/>
        <v>0</v>
      </c>
      <c r="U336" s="17">
        <f t="shared" si="32"/>
        <v>0</v>
      </c>
      <c r="AA336" s="17">
        <f t="shared" si="29"/>
        <v>0</v>
      </c>
      <c r="AC336" s="17">
        <f t="shared" si="30"/>
        <v>0</v>
      </c>
    </row>
    <row r="337" spans="1:29">
      <c r="A337" s="34"/>
      <c r="B337" s="34"/>
      <c r="C337" s="34"/>
      <c r="D337" s="34"/>
      <c r="K337" s="17">
        <f t="shared" si="31"/>
        <v>0</v>
      </c>
      <c r="U337" s="17">
        <f t="shared" si="32"/>
        <v>0</v>
      </c>
      <c r="AA337" s="17">
        <f>+I337-Q337-Y337</f>
        <v>0</v>
      </c>
      <c r="AC337" s="33">
        <f t="shared" si="30"/>
        <v>0</v>
      </c>
    </row>
    <row r="338" spans="1:29">
      <c r="A338" s="34"/>
      <c r="B338" s="34"/>
      <c r="C338" s="34"/>
      <c r="D338" s="34"/>
      <c r="K338" s="17">
        <f t="shared" si="31"/>
        <v>0</v>
      </c>
      <c r="U338" s="17">
        <f t="shared" si="32"/>
        <v>0</v>
      </c>
      <c r="AA338" s="17">
        <f t="shared" si="29"/>
        <v>0</v>
      </c>
      <c r="AC338" s="33">
        <f t="shared" si="30"/>
        <v>0</v>
      </c>
    </row>
    <row r="339" spans="1:29">
      <c r="A339" s="34"/>
      <c r="B339" s="34"/>
      <c r="C339" s="34"/>
      <c r="D339" s="34"/>
      <c r="K339" s="17">
        <f t="shared" si="31"/>
        <v>0</v>
      </c>
      <c r="U339" s="17">
        <f t="shared" si="32"/>
        <v>0</v>
      </c>
      <c r="AA339" s="17">
        <f t="shared" si="29"/>
        <v>0</v>
      </c>
      <c r="AC339" s="33">
        <f t="shared" si="30"/>
        <v>0</v>
      </c>
    </row>
    <row r="340" spans="1:29">
      <c r="A340" s="34"/>
      <c r="B340" s="34"/>
      <c r="C340" s="34"/>
      <c r="D340" s="34"/>
      <c r="K340" s="17">
        <f t="shared" si="31"/>
        <v>0</v>
      </c>
      <c r="U340" s="17">
        <f t="shared" si="32"/>
        <v>0</v>
      </c>
      <c r="AA340" s="17">
        <f>+I340-Q340-Y340</f>
        <v>0</v>
      </c>
      <c r="AC340" s="33">
        <f>+E340+G340+-K340-M340-S340-U340-W340-O340</f>
        <v>0</v>
      </c>
    </row>
    <row r="341" spans="1:29">
      <c r="A341" s="34"/>
      <c r="B341" s="34"/>
      <c r="C341" s="34"/>
      <c r="D341" s="34"/>
      <c r="K341" s="17">
        <f t="shared" si="31"/>
        <v>0</v>
      </c>
      <c r="U341" s="17">
        <f t="shared" si="32"/>
        <v>0</v>
      </c>
      <c r="AA341" s="17">
        <f t="shared" si="29"/>
        <v>0</v>
      </c>
      <c r="AC341" s="33">
        <f t="shared" si="30"/>
        <v>0</v>
      </c>
    </row>
    <row r="342" spans="1:29">
      <c r="A342" s="34"/>
      <c r="B342" s="34"/>
      <c r="C342" s="34"/>
      <c r="D342" s="34"/>
      <c r="K342" s="17">
        <f t="shared" si="31"/>
        <v>0</v>
      </c>
      <c r="U342" s="17">
        <f t="shared" si="32"/>
        <v>0</v>
      </c>
      <c r="AA342" s="17">
        <f t="shared" si="29"/>
        <v>0</v>
      </c>
      <c r="AC342" s="33">
        <f t="shared" si="30"/>
        <v>0</v>
      </c>
    </row>
    <row r="343" spans="1:29">
      <c r="A343" s="34"/>
      <c r="B343" s="34"/>
      <c r="C343" s="34"/>
      <c r="D343" s="34"/>
      <c r="K343" s="17">
        <f t="shared" si="31"/>
        <v>0</v>
      </c>
      <c r="U343" s="17">
        <f t="shared" si="32"/>
        <v>0</v>
      </c>
      <c r="AA343" s="17">
        <f t="shared" si="29"/>
        <v>0</v>
      </c>
      <c r="AC343" s="33">
        <f t="shared" si="30"/>
        <v>0</v>
      </c>
    </row>
    <row r="344" spans="1:29">
      <c r="A344" s="34"/>
      <c r="B344" s="34"/>
      <c r="C344" s="34"/>
      <c r="D344" s="34"/>
      <c r="K344" s="17">
        <f t="shared" si="31"/>
        <v>0</v>
      </c>
      <c r="U344" s="17">
        <f t="shared" si="32"/>
        <v>0</v>
      </c>
      <c r="AA344" s="17">
        <f t="shared" si="29"/>
        <v>0</v>
      </c>
      <c r="AC344" s="33">
        <f t="shared" si="30"/>
        <v>0</v>
      </c>
    </row>
    <row r="345" spans="1:29">
      <c r="A345" s="34"/>
      <c r="B345" s="34"/>
      <c r="C345" s="34"/>
      <c r="D345" s="34"/>
      <c r="K345" s="17">
        <f t="shared" si="31"/>
        <v>0</v>
      </c>
      <c r="U345" s="17">
        <f t="shared" si="32"/>
        <v>0</v>
      </c>
      <c r="AA345" s="17">
        <f t="shared" si="29"/>
        <v>0</v>
      </c>
      <c r="AC345" s="33">
        <f t="shared" si="30"/>
        <v>0</v>
      </c>
    </row>
    <row r="346" spans="1:29">
      <c r="A346" s="34"/>
      <c r="B346" s="34"/>
      <c r="C346" s="34"/>
      <c r="D346" s="34"/>
      <c r="K346" s="17">
        <f t="shared" si="31"/>
        <v>0</v>
      </c>
      <c r="U346" s="17">
        <f t="shared" si="32"/>
        <v>0</v>
      </c>
      <c r="AA346" s="17">
        <f t="shared" si="29"/>
        <v>0</v>
      </c>
      <c r="AC346" s="33">
        <f t="shared" si="30"/>
        <v>0</v>
      </c>
    </row>
    <row r="347" spans="1:29">
      <c r="A347" s="34"/>
      <c r="B347" s="34"/>
      <c r="C347" s="34"/>
      <c r="D347" s="34"/>
      <c r="K347" s="17">
        <f t="shared" si="31"/>
        <v>0</v>
      </c>
      <c r="U347" s="17">
        <f t="shared" si="32"/>
        <v>0</v>
      </c>
      <c r="AA347" s="17">
        <f t="shared" si="29"/>
        <v>0</v>
      </c>
      <c r="AC347" s="33">
        <f t="shared" si="30"/>
        <v>0</v>
      </c>
    </row>
    <row r="348" spans="1:29">
      <c r="A348" s="34"/>
      <c r="B348" s="34"/>
      <c r="C348" s="34"/>
      <c r="D348" s="34"/>
      <c r="K348" s="17">
        <f t="shared" si="31"/>
        <v>0</v>
      </c>
      <c r="U348" s="17">
        <f t="shared" si="32"/>
        <v>0</v>
      </c>
      <c r="AA348" s="17">
        <f t="shared" si="29"/>
        <v>0</v>
      </c>
      <c r="AC348" s="33">
        <f t="shared" si="30"/>
        <v>0</v>
      </c>
    </row>
    <row r="349" spans="1:29">
      <c r="A349" s="34"/>
      <c r="B349" s="34"/>
      <c r="C349" s="34"/>
      <c r="D349" s="34"/>
      <c r="K349" s="17">
        <f t="shared" si="31"/>
        <v>0</v>
      </c>
      <c r="U349" s="17">
        <f t="shared" si="32"/>
        <v>0</v>
      </c>
      <c r="AA349" s="17">
        <f t="shared" si="29"/>
        <v>0</v>
      </c>
      <c r="AC349" s="33">
        <f t="shared" si="30"/>
        <v>0</v>
      </c>
    </row>
    <row r="350" spans="1:29">
      <c r="A350" s="34"/>
      <c r="B350" s="34"/>
      <c r="C350" s="34"/>
      <c r="D350" s="34"/>
      <c r="K350" s="17">
        <f t="shared" si="31"/>
        <v>0</v>
      </c>
      <c r="U350" s="17">
        <f t="shared" si="32"/>
        <v>0</v>
      </c>
      <c r="AA350" s="17">
        <f t="shared" si="29"/>
        <v>0</v>
      </c>
      <c r="AC350" s="33">
        <f t="shared" si="30"/>
        <v>0</v>
      </c>
    </row>
    <row r="351" spans="1:29">
      <c r="A351" s="34"/>
      <c r="B351" s="34"/>
      <c r="C351" s="34"/>
      <c r="D351" s="34"/>
      <c r="K351" s="17">
        <f t="shared" si="31"/>
        <v>0</v>
      </c>
      <c r="U351" s="17">
        <f t="shared" si="32"/>
        <v>0</v>
      </c>
      <c r="AA351" s="17">
        <f t="shared" si="29"/>
        <v>0</v>
      </c>
      <c r="AC351" s="33">
        <f t="shared" si="30"/>
        <v>0</v>
      </c>
    </row>
    <row r="352" spans="1:29">
      <c r="A352" s="34"/>
      <c r="B352" s="34"/>
      <c r="C352" s="34"/>
      <c r="D352" s="34"/>
      <c r="K352" s="17">
        <f t="shared" si="31"/>
        <v>0</v>
      </c>
      <c r="U352" s="17">
        <f t="shared" si="32"/>
        <v>0</v>
      </c>
      <c r="AA352" s="17">
        <f t="shared" si="29"/>
        <v>0</v>
      </c>
      <c r="AC352" s="33">
        <f t="shared" si="30"/>
        <v>0</v>
      </c>
    </row>
    <row r="353" spans="1:29">
      <c r="A353" s="34"/>
      <c r="B353" s="34"/>
      <c r="C353" s="34"/>
      <c r="D353" s="34"/>
      <c r="K353" s="17">
        <f t="shared" si="31"/>
        <v>0</v>
      </c>
      <c r="U353" s="17">
        <f t="shared" si="32"/>
        <v>0</v>
      </c>
      <c r="AA353" s="17">
        <f t="shared" si="29"/>
        <v>0</v>
      </c>
      <c r="AC353" s="33">
        <f t="shared" si="30"/>
        <v>0</v>
      </c>
    </row>
    <row r="354" spans="1:29">
      <c r="A354" s="34"/>
      <c r="B354" s="34"/>
      <c r="C354" s="34"/>
      <c r="D354" s="34"/>
      <c r="K354" s="17">
        <f t="shared" si="31"/>
        <v>0</v>
      </c>
      <c r="U354" s="17">
        <f t="shared" si="32"/>
        <v>0</v>
      </c>
      <c r="AA354" s="17">
        <f t="shared" si="29"/>
        <v>0</v>
      </c>
      <c r="AC354" s="33">
        <f t="shared" si="30"/>
        <v>0</v>
      </c>
    </row>
    <row r="355" spans="1:29">
      <c r="A355" s="34"/>
      <c r="B355" s="34"/>
      <c r="C355" s="34"/>
      <c r="D355" s="34"/>
      <c r="K355" s="17">
        <f t="shared" si="31"/>
        <v>0</v>
      </c>
      <c r="U355" s="17">
        <f t="shared" si="32"/>
        <v>0</v>
      </c>
      <c r="AA355" s="17">
        <f t="shared" si="29"/>
        <v>0</v>
      </c>
      <c r="AC355" s="33">
        <f t="shared" si="30"/>
        <v>0</v>
      </c>
    </row>
    <row r="356" spans="1:29">
      <c r="A356" s="34"/>
      <c r="B356" s="34"/>
      <c r="C356" s="34"/>
      <c r="D356" s="34"/>
      <c r="K356" s="17">
        <f t="shared" si="31"/>
        <v>0</v>
      </c>
      <c r="U356" s="17">
        <f t="shared" si="32"/>
        <v>0</v>
      </c>
      <c r="AA356" s="17">
        <f t="shared" si="29"/>
        <v>0</v>
      </c>
      <c r="AC356" s="33">
        <f t="shared" si="30"/>
        <v>0</v>
      </c>
    </row>
    <row r="357" spans="1:29">
      <c r="A357" s="34"/>
      <c r="B357" s="34"/>
      <c r="C357" s="34"/>
      <c r="D357" s="34"/>
      <c r="K357" s="17">
        <f t="shared" si="31"/>
        <v>0</v>
      </c>
      <c r="U357" s="17">
        <f t="shared" si="32"/>
        <v>0</v>
      </c>
      <c r="AA357" s="17">
        <f t="shared" si="29"/>
        <v>0</v>
      </c>
      <c r="AC357" s="33">
        <f t="shared" si="30"/>
        <v>0</v>
      </c>
    </row>
    <row r="358" spans="1:29">
      <c r="A358" s="34"/>
      <c r="B358" s="34"/>
      <c r="C358" s="34"/>
      <c r="D358" s="34"/>
      <c r="K358" s="17">
        <f t="shared" si="31"/>
        <v>0</v>
      </c>
      <c r="U358" s="17">
        <f t="shared" si="32"/>
        <v>0</v>
      </c>
      <c r="AA358" s="17">
        <f t="shared" si="29"/>
        <v>0</v>
      </c>
      <c r="AC358" s="33">
        <f t="shared" si="30"/>
        <v>0</v>
      </c>
    </row>
    <row r="359" spans="1:29">
      <c r="A359" s="34"/>
      <c r="B359" s="34"/>
      <c r="C359" s="34"/>
      <c r="D359" s="34"/>
      <c r="K359" s="17">
        <f t="shared" si="31"/>
        <v>0</v>
      </c>
      <c r="U359" s="17">
        <f t="shared" si="32"/>
        <v>0</v>
      </c>
      <c r="AA359" s="17">
        <f t="shared" si="29"/>
        <v>0</v>
      </c>
      <c r="AC359" s="33">
        <f t="shared" si="30"/>
        <v>0</v>
      </c>
    </row>
    <row r="360" spans="1:29">
      <c r="A360" s="34"/>
      <c r="B360" s="34"/>
      <c r="C360" s="34"/>
      <c r="D360" s="34"/>
      <c r="K360" s="17">
        <f t="shared" si="31"/>
        <v>0</v>
      </c>
      <c r="U360" s="17">
        <f t="shared" si="32"/>
        <v>0</v>
      </c>
      <c r="AA360" s="17">
        <f t="shared" si="29"/>
        <v>0</v>
      </c>
      <c r="AC360" s="33">
        <f t="shared" si="30"/>
        <v>0</v>
      </c>
    </row>
    <row r="361" spans="1:29">
      <c r="A361" s="34"/>
      <c r="B361" s="34"/>
      <c r="C361" s="34"/>
      <c r="D361" s="34"/>
      <c r="K361" s="17">
        <f t="shared" si="31"/>
        <v>0</v>
      </c>
      <c r="U361" s="17">
        <f t="shared" si="32"/>
        <v>0</v>
      </c>
      <c r="AA361" s="17">
        <f t="shared" si="29"/>
        <v>0</v>
      </c>
      <c r="AC361" s="33">
        <f t="shared" si="30"/>
        <v>0</v>
      </c>
    </row>
    <row r="362" spans="1:29">
      <c r="A362" s="34"/>
      <c r="B362" s="34"/>
      <c r="C362" s="34"/>
      <c r="D362" s="34"/>
      <c r="K362" s="17">
        <f t="shared" si="31"/>
        <v>0</v>
      </c>
      <c r="U362" s="17">
        <f t="shared" si="32"/>
        <v>0</v>
      </c>
      <c r="AA362" s="17">
        <f t="shared" si="29"/>
        <v>0</v>
      </c>
      <c r="AC362" s="33">
        <f t="shared" si="30"/>
        <v>0</v>
      </c>
    </row>
    <row r="363" spans="1:29">
      <c r="A363" s="34"/>
      <c r="B363" s="34"/>
      <c r="C363" s="34"/>
      <c r="D363" s="34"/>
      <c r="K363" s="17">
        <f t="shared" si="31"/>
        <v>0</v>
      </c>
      <c r="U363" s="17">
        <f t="shared" si="32"/>
        <v>0</v>
      </c>
      <c r="AA363" s="17">
        <f t="shared" si="29"/>
        <v>0</v>
      </c>
      <c r="AC363" s="33">
        <f t="shared" si="30"/>
        <v>0</v>
      </c>
    </row>
    <row r="364" spans="1:29">
      <c r="A364" s="34"/>
      <c r="B364" s="34"/>
      <c r="C364" s="34"/>
      <c r="D364" s="34"/>
      <c r="K364" s="17">
        <f t="shared" si="31"/>
        <v>0</v>
      </c>
      <c r="U364" s="17">
        <f t="shared" si="32"/>
        <v>0</v>
      </c>
      <c r="AA364" s="17">
        <f t="shared" si="29"/>
        <v>0</v>
      </c>
      <c r="AC364" s="33">
        <f t="shared" si="30"/>
        <v>0</v>
      </c>
    </row>
    <row r="365" spans="1:29">
      <c r="A365" s="34"/>
      <c r="B365" s="34"/>
      <c r="C365" s="34"/>
      <c r="D365" s="34"/>
      <c r="K365" s="17">
        <f t="shared" si="31"/>
        <v>0</v>
      </c>
      <c r="U365" s="17">
        <f t="shared" si="32"/>
        <v>0</v>
      </c>
      <c r="AA365" s="17">
        <f t="shared" si="29"/>
        <v>0</v>
      </c>
      <c r="AC365" s="33">
        <f t="shared" si="30"/>
        <v>0</v>
      </c>
    </row>
    <row r="366" spans="1:29">
      <c r="A366" s="34"/>
      <c r="B366" s="34"/>
      <c r="C366" s="34"/>
      <c r="D366" s="34"/>
      <c r="K366" s="17">
        <f t="shared" si="31"/>
        <v>0</v>
      </c>
      <c r="U366" s="17">
        <f t="shared" si="32"/>
        <v>0</v>
      </c>
      <c r="AA366" s="17">
        <f t="shared" si="29"/>
        <v>0</v>
      </c>
      <c r="AC366" s="33">
        <f t="shared" si="30"/>
        <v>0</v>
      </c>
    </row>
    <row r="367" spans="1:29">
      <c r="A367" s="34"/>
      <c r="B367" s="34"/>
      <c r="C367" s="34"/>
      <c r="D367" s="34"/>
      <c r="K367" s="17">
        <f>+Q367-M367-O367</f>
        <v>0</v>
      </c>
      <c r="U367" s="17">
        <f>Y367-W367-S367</f>
        <v>0</v>
      </c>
      <c r="AA367" s="17">
        <f>+I367-Q367-Y367</f>
        <v>0</v>
      </c>
      <c r="AC367" s="33">
        <f>+E367+G367+-K367-M367-S367-U367-W367-O367</f>
        <v>0</v>
      </c>
    </row>
    <row r="368" spans="1:29">
      <c r="A368" s="34"/>
      <c r="B368" s="34"/>
      <c r="C368" s="34"/>
      <c r="D368" s="34"/>
      <c r="K368" s="17">
        <f t="shared" si="31"/>
        <v>0</v>
      </c>
      <c r="U368" s="17">
        <f t="shared" si="32"/>
        <v>0</v>
      </c>
      <c r="AA368" s="17">
        <f t="shared" si="29"/>
        <v>0</v>
      </c>
      <c r="AC368" s="33">
        <f t="shared" si="30"/>
        <v>0</v>
      </c>
    </row>
    <row r="369" spans="1:29">
      <c r="A369" s="34"/>
      <c r="B369" s="34"/>
      <c r="C369" s="34"/>
      <c r="D369" s="34"/>
      <c r="K369" s="17">
        <f t="shared" si="31"/>
        <v>0</v>
      </c>
      <c r="U369" s="17">
        <f t="shared" si="32"/>
        <v>0</v>
      </c>
      <c r="AA369" s="17">
        <f t="shared" si="29"/>
        <v>0</v>
      </c>
      <c r="AC369" s="33">
        <f t="shared" si="30"/>
        <v>0</v>
      </c>
    </row>
    <row r="370" spans="1:29">
      <c r="A370" s="34"/>
      <c r="B370" s="34"/>
      <c r="C370" s="34"/>
      <c r="D370" s="34"/>
      <c r="K370" s="17">
        <f t="shared" si="31"/>
        <v>0</v>
      </c>
      <c r="U370" s="17">
        <f t="shared" si="32"/>
        <v>0</v>
      </c>
      <c r="AA370" s="17">
        <f t="shared" si="29"/>
        <v>0</v>
      </c>
      <c r="AC370" s="33">
        <f t="shared" si="30"/>
        <v>0</v>
      </c>
    </row>
    <row r="371" spans="1:29">
      <c r="A371" s="34"/>
      <c r="B371" s="34"/>
      <c r="C371" s="34"/>
      <c r="D371" s="34"/>
      <c r="K371" s="17">
        <f t="shared" si="31"/>
        <v>0</v>
      </c>
      <c r="U371" s="17">
        <f t="shared" si="32"/>
        <v>0</v>
      </c>
      <c r="AA371" s="17">
        <f t="shared" si="29"/>
        <v>0</v>
      </c>
      <c r="AC371" s="33">
        <f t="shared" si="30"/>
        <v>0</v>
      </c>
    </row>
    <row r="372" spans="1:29">
      <c r="A372" s="34"/>
      <c r="B372" s="34"/>
      <c r="C372" s="34"/>
      <c r="D372" s="34"/>
      <c r="K372" s="17">
        <f t="shared" si="31"/>
        <v>0</v>
      </c>
      <c r="U372" s="17">
        <f t="shared" si="32"/>
        <v>0</v>
      </c>
      <c r="AA372" s="17">
        <f t="shared" si="29"/>
        <v>0</v>
      </c>
      <c r="AC372" s="33">
        <f t="shared" si="30"/>
        <v>0</v>
      </c>
    </row>
    <row r="373" spans="1:29">
      <c r="A373" s="34"/>
      <c r="B373" s="34"/>
      <c r="C373" s="34"/>
      <c r="D373" s="34"/>
      <c r="K373" s="17">
        <f t="shared" si="31"/>
        <v>0</v>
      </c>
      <c r="U373" s="17">
        <f t="shared" si="32"/>
        <v>0</v>
      </c>
      <c r="AA373" s="17">
        <f t="shared" si="29"/>
        <v>0</v>
      </c>
      <c r="AC373" s="33">
        <f t="shared" si="30"/>
        <v>0</v>
      </c>
    </row>
    <row r="374" spans="1:29">
      <c r="A374" s="34"/>
      <c r="B374" s="34"/>
      <c r="C374" s="34"/>
      <c r="D374" s="34"/>
      <c r="K374" s="17">
        <f t="shared" si="31"/>
        <v>0</v>
      </c>
      <c r="U374" s="17">
        <f t="shared" si="32"/>
        <v>0</v>
      </c>
      <c r="AA374" s="17">
        <f t="shared" si="29"/>
        <v>0</v>
      </c>
      <c r="AC374" s="33">
        <f t="shared" si="30"/>
        <v>0</v>
      </c>
    </row>
    <row r="375" spans="1:29">
      <c r="A375" s="34"/>
      <c r="B375" s="34"/>
      <c r="C375" s="34"/>
      <c r="D375" s="34"/>
      <c r="K375" s="17">
        <f t="shared" si="31"/>
        <v>0</v>
      </c>
      <c r="U375" s="17">
        <f t="shared" si="32"/>
        <v>0</v>
      </c>
      <c r="AA375" s="17">
        <f t="shared" si="29"/>
        <v>0</v>
      </c>
      <c r="AC375" s="33">
        <f t="shared" si="30"/>
        <v>0</v>
      </c>
    </row>
    <row r="376" spans="1:29">
      <c r="A376" s="34"/>
      <c r="B376" s="34"/>
      <c r="C376" s="34"/>
      <c r="D376" s="34"/>
      <c r="K376" s="17">
        <f t="shared" si="31"/>
        <v>0</v>
      </c>
      <c r="U376" s="17">
        <f t="shared" si="32"/>
        <v>0</v>
      </c>
      <c r="AA376" s="17">
        <f t="shared" si="29"/>
        <v>0</v>
      </c>
      <c r="AC376" s="33">
        <f t="shared" si="30"/>
        <v>0</v>
      </c>
    </row>
    <row r="377" spans="1:29">
      <c r="A377" s="34"/>
      <c r="B377" s="34"/>
      <c r="C377" s="34"/>
      <c r="D377" s="34"/>
      <c r="K377" s="17">
        <f t="shared" si="31"/>
        <v>0</v>
      </c>
      <c r="U377" s="17">
        <f t="shared" si="32"/>
        <v>0</v>
      </c>
      <c r="AA377" s="17">
        <f t="shared" si="29"/>
        <v>0</v>
      </c>
      <c r="AC377" s="33">
        <f t="shared" si="30"/>
        <v>0</v>
      </c>
    </row>
    <row r="378" spans="1:29">
      <c r="A378" s="34"/>
      <c r="B378" s="34"/>
      <c r="C378" s="34"/>
      <c r="D378" s="34"/>
      <c r="K378" s="17">
        <f t="shared" si="31"/>
        <v>0</v>
      </c>
      <c r="U378" s="17">
        <f t="shared" si="32"/>
        <v>0</v>
      </c>
      <c r="AA378" s="17">
        <f t="shared" si="29"/>
        <v>0</v>
      </c>
      <c r="AC378" s="33">
        <f t="shared" si="30"/>
        <v>0</v>
      </c>
    </row>
    <row r="379" spans="1:29">
      <c r="A379" s="34"/>
      <c r="B379" s="34"/>
      <c r="C379" s="34"/>
      <c r="D379" s="34"/>
      <c r="K379" s="17">
        <f t="shared" si="31"/>
        <v>0</v>
      </c>
      <c r="U379" s="17">
        <f t="shared" si="32"/>
        <v>0</v>
      </c>
      <c r="AA379" s="17">
        <f t="shared" si="29"/>
        <v>0</v>
      </c>
      <c r="AC379" s="33">
        <f t="shared" si="30"/>
        <v>0</v>
      </c>
    </row>
    <row r="380" spans="1:29">
      <c r="A380" s="34"/>
      <c r="B380" s="34"/>
      <c r="C380" s="34"/>
      <c r="D380" s="34"/>
      <c r="K380" s="17">
        <f t="shared" si="31"/>
        <v>0</v>
      </c>
      <c r="U380" s="17">
        <f t="shared" si="32"/>
        <v>0</v>
      </c>
      <c r="AA380" s="17">
        <f t="shared" si="29"/>
        <v>0</v>
      </c>
      <c r="AC380" s="33">
        <f t="shared" si="30"/>
        <v>0</v>
      </c>
    </row>
    <row r="381" spans="1:29">
      <c r="A381" s="34"/>
      <c r="B381" s="34"/>
      <c r="C381" s="34"/>
      <c r="D381" s="34"/>
      <c r="K381" s="17">
        <f t="shared" si="31"/>
        <v>0</v>
      </c>
      <c r="U381" s="17">
        <f t="shared" si="32"/>
        <v>0</v>
      </c>
      <c r="AA381" s="17">
        <f t="shared" si="29"/>
        <v>0</v>
      </c>
      <c r="AC381" s="33">
        <f t="shared" si="30"/>
        <v>0</v>
      </c>
    </row>
    <row r="382" spans="1:29">
      <c r="A382" s="34"/>
      <c r="B382" s="34"/>
      <c r="C382" s="34"/>
      <c r="D382" s="34"/>
      <c r="K382" s="17">
        <f t="shared" si="31"/>
        <v>0</v>
      </c>
      <c r="U382" s="17">
        <f t="shared" si="32"/>
        <v>0</v>
      </c>
      <c r="AA382" s="17">
        <f t="shared" si="29"/>
        <v>0</v>
      </c>
      <c r="AC382" s="33">
        <f t="shared" si="30"/>
        <v>0</v>
      </c>
    </row>
    <row r="383" spans="1:29">
      <c r="A383" s="34"/>
      <c r="B383" s="34"/>
      <c r="C383" s="34"/>
      <c r="D383" s="34"/>
      <c r="K383" s="17">
        <f t="shared" si="31"/>
        <v>0</v>
      </c>
      <c r="U383" s="17">
        <f t="shared" si="32"/>
        <v>0</v>
      </c>
      <c r="AA383" s="17">
        <f t="shared" si="29"/>
        <v>0</v>
      </c>
      <c r="AC383" s="33">
        <f t="shared" si="30"/>
        <v>0</v>
      </c>
    </row>
    <row r="384" spans="1:29">
      <c r="A384" s="34"/>
      <c r="B384" s="34"/>
      <c r="C384" s="34"/>
      <c r="D384" s="34"/>
      <c r="K384" s="17">
        <f t="shared" si="31"/>
        <v>0</v>
      </c>
      <c r="U384" s="17">
        <f t="shared" si="32"/>
        <v>0</v>
      </c>
      <c r="AA384" s="17">
        <f t="shared" si="29"/>
        <v>0</v>
      </c>
      <c r="AC384" s="33">
        <f t="shared" si="30"/>
        <v>0</v>
      </c>
    </row>
    <row r="385" spans="1:31">
      <c r="A385" s="34"/>
      <c r="B385" s="34"/>
      <c r="C385" s="34"/>
      <c r="D385" s="34"/>
      <c r="K385" s="17">
        <f t="shared" si="31"/>
        <v>0</v>
      </c>
      <c r="U385" s="17">
        <f t="shared" si="32"/>
        <v>0</v>
      </c>
      <c r="AA385" s="17">
        <f t="shared" si="29"/>
        <v>0</v>
      </c>
      <c r="AC385" s="33">
        <f t="shared" si="30"/>
        <v>0</v>
      </c>
    </row>
    <row r="386" spans="1:31">
      <c r="A386" s="34"/>
      <c r="B386" s="34"/>
      <c r="C386" s="34"/>
      <c r="D386" s="34"/>
      <c r="K386" s="17">
        <f t="shared" si="31"/>
        <v>0</v>
      </c>
      <c r="U386" s="17">
        <f t="shared" si="32"/>
        <v>0</v>
      </c>
      <c r="AA386" s="17">
        <f t="shared" si="29"/>
        <v>0</v>
      </c>
      <c r="AC386" s="33">
        <f t="shared" si="30"/>
        <v>0</v>
      </c>
    </row>
    <row r="387" spans="1:31">
      <c r="A387" s="34"/>
      <c r="B387" s="34"/>
      <c r="C387" s="34"/>
      <c r="D387" s="34"/>
      <c r="K387" s="17">
        <f t="shared" si="31"/>
        <v>0</v>
      </c>
      <c r="U387" s="17">
        <f>Y387-W387-S387</f>
        <v>0</v>
      </c>
      <c r="AA387" s="17">
        <f t="shared" si="29"/>
        <v>0</v>
      </c>
      <c r="AC387" s="33">
        <f t="shared" si="30"/>
        <v>0</v>
      </c>
    </row>
    <row r="388" spans="1:31">
      <c r="A388" s="34"/>
      <c r="B388" s="34"/>
      <c r="C388" s="34"/>
      <c r="D388" s="34"/>
      <c r="K388" s="17">
        <f t="shared" si="31"/>
        <v>0</v>
      </c>
      <c r="U388" s="17">
        <f t="shared" ref="U388:U395" si="35">Y388-W388-S388</f>
        <v>0</v>
      </c>
      <c r="AA388" s="17">
        <f t="shared" si="29"/>
        <v>0</v>
      </c>
      <c r="AC388" s="33">
        <f t="shared" si="30"/>
        <v>0</v>
      </c>
      <c r="AE388" s="17" t="s">
        <v>544</v>
      </c>
    </row>
    <row r="389" spans="1:31">
      <c r="A389" s="34"/>
      <c r="B389" s="34"/>
      <c r="C389" s="34"/>
      <c r="D389" s="34"/>
      <c r="K389" s="17">
        <f t="shared" si="31"/>
        <v>0</v>
      </c>
      <c r="U389" s="17">
        <f t="shared" si="35"/>
        <v>0</v>
      </c>
      <c r="AA389" s="17">
        <f t="shared" si="29"/>
        <v>0</v>
      </c>
      <c r="AC389" s="33">
        <f t="shared" si="30"/>
        <v>0</v>
      </c>
    </row>
    <row r="390" spans="1:31">
      <c r="A390" s="34"/>
      <c r="B390" s="34"/>
      <c r="C390" s="34"/>
      <c r="D390" s="34"/>
      <c r="K390" s="17">
        <f t="shared" si="31"/>
        <v>0</v>
      </c>
      <c r="U390" s="17">
        <f t="shared" si="35"/>
        <v>0</v>
      </c>
      <c r="AA390" s="17">
        <f t="shared" si="29"/>
        <v>0</v>
      </c>
      <c r="AC390" s="33">
        <f t="shared" ref="AC390:AC453" si="36">+E390+G390+-K390-M390-S390-U390-W390-O390</f>
        <v>0</v>
      </c>
    </row>
    <row r="391" spans="1:31">
      <c r="A391" s="34"/>
      <c r="B391" s="34"/>
      <c r="C391" s="34"/>
      <c r="D391" s="34"/>
      <c r="K391" s="17">
        <f t="shared" si="31"/>
        <v>0</v>
      </c>
      <c r="U391" s="17">
        <f t="shared" si="35"/>
        <v>0</v>
      </c>
      <c r="AA391" s="17">
        <f t="shared" si="29"/>
        <v>0</v>
      </c>
      <c r="AC391" s="33">
        <f t="shared" si="36"/>
        <v>0</v>
      </c>
    </row>
    <row r="392" spans="1:31">
      <c r="A392" s="34"/>
      <c r="B392" s="34"/>
      <c r="C392" s="34"/>
      <c r="D392" s="34"/>
      <c r="K392" s="17">
        <f t="shared" si="31"/>
        <v>0</v>
      </c>
      <c r="U392" s="17">
        <f t="shared" si="35"/>
        <v>0</v>
      </c>
      <c r="AA392" s="17">
        <f t="shared" si="29"/>
        <v>0</v>
      </c>
      <c r="AC392" s="33">
        <f t="shared" si="36"/>
        <v>0</v>
      </c>
    </row>
    <row r="393" spans="1:31">
      <c r="A393" s="30"/>
      <c r="B393" s="30"/>
      <c r="C393" s="30"/>
      <c r="D393" s="30"/>
      <c r="K393" s="17">
        <f t="shared" ref="K393:K395" si="37">+Q393-M393-O393</f>
        <v>0</v>
      </c>
      <c r="U393" s="17">
        <f t="shared" si="35"/>
        <v>0</v>
      </c>
      <c r="AA393" s="17">
        <f t="shared" ref="AA393:AA456" si="38">+I393-Q393-Y393</f>
        <v>0</v>
      </c>
      <c r="AC393" s="17">
        <f t="shared" si="36"/>
        <v>0</v>
      </c>
    </row>
    <row r="394" spans="1:31">
      <c r="A394" s="34"/>
      <c r="B394" s="34"/>
      <c r="C394" s="34"/>
      <c r="D394" s="34"/>
      <c r="K394" s="17">
        <f t="shared" si="37"/>
        <v>0</v>
      </c>
      <c r="U394" s="17">
        <f t="shared" si="35"/>
        <v>0</v>
      </c>
      <c r="AA394" s="17">
        <f t="shared" si="38"/>
        <v>0</v>
      </c>
      <c r="AC394" s="33">
        <f t="shared" si="36"/>
        <v>0</v>
      </c>
    </row>
    <row r="395" spans="1:31">
      <c r="A395" s="34"/>
      <c r="B395" s="34"/>
      <c r="C395" s="34"/>
      <c r="D395" s="34"/>
      <c r="K395" s="17">
        <f t="shared" si="37"/>
        <v>0</v>
      </c>
      <c r="U395" s="17">
        <f t="shared" si="35"/>
        <v>0</v>
      </c>
      <c r="AA395" s="17">
        <f t="shared" si="38"/>
        <v>0</v>
      </c>
      <c r="AC395" s="33">
        <f t="shared" si="36"/>
        <v>0</v>
      </c>
    </row>
    <row r="396" spans="1:31">
      <c r="A396" s="34"/>
      <c r="B396" s="34"/>
      <c r="C396" s="34"/>
      <c r="D396" s="34"/>
      <c r="K396" s="17">
        <f>+Q396-M396-O396</f>
        <v>0</v>
      </c>
      <c r="U396" s="17">
        <f>Y396-W396-S396</f>
        <v>0</v>
      </c>
      <c r="AA396" s="17">
        <f t="shared" si="38"/>
        <v>0</v>
      </c>
      <c r="AC396" s="33">
        <f t="shared" si="36"/>
        <v>0</v>
      </c>
    </row>
    <row r="397" spans="1:31">
      <c r="A397" s="34"/>
      <c r="B397" s="34"/>
      <c r="C397" s="34"/>
      <c r="D397" s="34"/>
      <c r="K397" s="17">
        <f>+Q397-M397-O397</f>
        <v>0</v>
      </c>
      <c r="U397" s="17">
        <f>Y397-W397-S397</f>
        <v>0</v>
      </c>
      <c r="AA397" s="17">
        <f t="shared" si="38"/>
        <v>0</v>
      </c>
      <c r="AC397" s="33">
        <f t="shared" si="36"/>
        <v>0</v>
      </c>
    </row>
    <row r="398" spans="1:31">
      <c r="A398" s="34"/>
      <c r="B398" s="34"/>
      <c r="C398" s="34"/>
      <c r="D398" s="34"/>
      <c r="K398" s="17">
        <f>+Q398-M398-O398</f>
        <v>0</v>
      </c>
      <c r="U398" s="17">
        <f>Y398-W398-S398</f>
        <v>0</v>
      </c>
      <c r="AA398" s="17">
        <f t="shared" si="38"/>
        <v>0</v>
      </c>
      <c r="AC398" s="33">
        <f t="shared" si="36"/>
        <v>0</v>
      </c>
    </row>
    <row r="399" spans="1:31">
      <c r="A399" s="34"/>
      <c r="B399" s="34"/>
      <c r="C399" s="34"/>
      <c r="D399" s="34"/>
      <c r="K399" s="17">
        <f>+Q399-M399-O399</f>
        <v>0</v>
      </c>
      <c r="U399" s="17">
        <f>Y399-W399-S399</f>
        <v>0</v>
      </c>
      <c r="AA399" s="17">
        <f t="shared" si="38"/>
        <v>0</v>
      </c>
      <c r="AC399" s="33">
        <f t="shared" si="36"/>
        <v>0</v>
      </c>
    </row>
    <row r="400" spans="1:31">
      <c r="A400" s="34"/>
      <c r="B400" s="34"/>
      <c r="C400" s="34"/>
      <c r="D400" s="34"/>
      <c r="K400" s="17">
        <f>+Q400-M400-O400</f>
        <v>0</v>
      </c>
      <c r="U400" s="17">
        <f>Y400-W400-S400</f>
        <v>0</v>
      </c>
      <c r="AA400" s="17">
        <f t="shared" si="38"/>
        <v>0</v>
      </c>
      <c r="AC400" s="33">
        <f t="shared" si="36"/>
        <v>0</v>
      </c>
    </row>
    <row r="401" spans="1:29">
      <c r="A401" s="30"/>
      <c r="B401" s="30"/>
      <c r="C401" s="30"/>
      <c r="D401" s="30"/>
      <c r="K401" s="17">
        <f t="shared" ref="K401:K464" si="39">+Q401-M401-O401</f>
        <v>0</v>
      </c>
      <c r="U401" s="17">
        <f t="shared" ref="U401:U464" si="40">Y401-W401-S401</f>
        <v>0</v>
      </c>
      <c r="AA401" s="17">
        <f t="shared" si="38"/>
        <v>0</v>
      </c>
      <c r="AC401" s="17">
        <f t="shared" si="36"/>
        <v>0</v>
      </c>
    </row>
    <row r="404" spans="1:29" s="33" customFormat="1">
      <c r="A404" s="31"/>
      <c r="B404" s="31"/>
      <c r="C404" s="31"/>
      <c r="D404" s="31"/>
      <c r="K404" s="33">
        <f t="shared" ref="K404:K410" si="41">+Q404-M404-O404</f>
        <v>0</v>
      </c>
      <c r="U404" s="33">
        <f t="shared" ref="U404:U410" si="42">Y404-W404-S404</f>
        <v>0</v>
      </c>
      <c r="AA404" s="33">
        <f t="shared" ref="AA404:AA410" si="43">+I404-Q404-Y404</f>
        <v>0</v>
      </c>
      <c r="AC404" s="33">
        <f t="shared" ref="AC404:AC410" si="44">+E404+G404+-K404-M404-S404-U404-W404-O404</f>
        <v>0</v>
      </c>
    </row>
    <row r="405" spans="1:29">
      <c r="A405" s="34"/>
      <c r="B405" s="34"/>
      <c r="C405" s="34"/>
      <c r="D405" s="34"/>
      <c r="K405" s="17">
        <f t="shared" si="41"/>
        <v>0</v>
      </c>
      <c r="U405" s="17">
        <f t="shared" si="42"/>
        <v>0</v>
      </c>
      <c r="AA405" s="17">
        <f t="shared" si="43"/>
        <v>0</v>
      </c>
      <c r="AC405" s="33">
        <f t="shared" si="44"/>
        <v>0</v>
      </c>
    </row>
    <row r="406" spans="1:29">
      <c r="A406" s="34"/>
      <c r="B406" s="34"/>
      <c r="C406" s="34"/>
      <c r="D406" s="34"/>
      <c r="K406" s="17">
        <f t="shared" si="41"/>
        <v>0</v>
      </c>
      <c r="U406" s="17">
        <f t="shared" si="42"/>
        <v>0</v>
      </c>
      <c r="AA406" s="17">
        <f t="shared" si="43"/>
        <v>0</v>
      </c>
      <c r="AC406" s="33">
        <f t="shared" si="44"/>
        <v>0</v>
      </c>
    </row>
    <row r="407" spans="1:29">
      <c r="A407" s="34"/>
      <c r="B407" s="34"/>
      <c r="C407" s="34"/>
      <c r="D407" s="34"/>
      <c r="K407" s="17">
        <f t="shared" si="41"/>
        <v>0</v>
      </c>
      <c r="U407" s="17">
        <f t="shared" si="42"/>
        <v>0</v>
      </c>
      <c r="AA407" s="17">
        <f t="shared" si="43"/>
        <v>0</v>
      </c>
      <c r="AC407" s="33">
        <f t="shared" si="44"/>
        <v>0</v>
      </c>
    </row>
    <row r="408" spans="1:29">
      <c r="A408" s="34"/>
      <c r="B408" s="34"/>
      <c r="C408" s="34"/>
      <c r="D408" s="34"/>
      <c r="K408" s="17">
        <f t="shared" si="41"/>
        <v>0</v>
      </c>
      <c r="U408" s="17">
        <f t="shared" si="42"/>
        <v>0</v>
      </c>
      <c r="AA408" s="17">
        <f t="shared" si="43"/>
        <v>0</v>
      </c>
      <c r="AC408" s="33">
        <f t="shared" si="44"/>
        <v>0</v>
      </c>
    </row>
    <row r="409" spans="1:29">
      <c r="A409" s="34"/>
      <c r="B409" s="34"/>
      <c r="C409" s="34"/>
      <c r="D409" s="34"/>
      <c r="K409" s="17">
        <f t="shared" si="41"/>
        <v>0</v>
      </c>
      <c r="U409" s="17">
        <f t="shared" si="42"/>
        <v>0</v>
      </c>
      <c r="AA409" s="17">
        <f t="shared" si="43"/>
        <v>0</v>
      </c>
      <c r="AC409" s="33">
        <f t="shared" si="44"/>
        <v>0</v>
      </c>
    </row>
    <row r="410" spans="1:29">
      <c r="A410" s="34"/>
      <c r="B410" s="34"/>
      <c r="C410" s="34"/>
      <c r="D410" s="34"/>
      <c r="K410" s="17">
        <f t="shared" si="41"/>
        <v>0</v>
      </c>
      <c r="U410" s="17">
        <f t="shared" si="42"/>
        <v>0</v>
      </c>
      <c r="AA410" s="17">
        <f t="shared" si="43"/>
        <v>0</v>
      </c>
      <c r="AC410" s="33">
        <f t="shared" si="44"/>
        <v>0</v>
      </c>
    </row>
    <row r="411" spans="1:29">
      <c r="A411" s="30"/>
      <c r="B411" s="30"/>
      <c r="C411" s="30"/>
      <c r="D411" s="30"/>
      <c r="K411" s="17">
        <f t="shared" si="39"/>
        <v>0</v>
      </c>
      <c r="U411" s="17">
        <f t="shared" si="40"/>
        <v>0</v>
      </c>
      <c r="AA411" s="17">
        <f t="shared" si="38"/>
        <v>0</v>
      </c>
      <c r="AC411" s="17">
        <f t="shared" si="36"/>
        <v>0</v>
      </c>
    </row>
    <row r="412" spans="1:29">
      <c r="A412" s="34"/>
      <c r="B412" s="34"/>
      <c r="C412" s="34"/>
      <c r="D412" s="34"/>
      <c r="K412" s="17">
        <f t="shared" si="39"/>
        <v>0</v>
      </c>
      <c r="U412" s="17">
        <f t="shared" si="40"/>
        <v>0</v>
      </c>
      <c r="AA412" s="17">
        <f t="shared" si="38"/>
        <v>0</v>
      </c>
      <c r="AC412" s="33">
        <f t="shared" si="36"/>
        <v>0</v>
      </c>
    </row>
    <row r="413" spans="1:29">
      <c r="A413" s="34"/>
      <c r="B413" s="34"/>
      <c r="C413" s="34"/>
      <c r="D413" s="34"/>
      <c r="K413" s="17">
        <f>+Q413-M413-O413</f>
        <v>0</v>
      </c>
      <c r="U413" s="17">
        <f t="shared" si="40"/>
        <v>0</v>
      </c>
      <c r="AA413" s="17">
        <f t="shared" si="38"/>
        <v>0</v>
      </c>
      <c r="AC413" s="33">
        <f t="shared" si="36"/>
        <v>0</v>
      </c>
    </row>
    <row r="414" spans="1:29">
      <c r="A414" s="34"/>
      <c r="B414" s="34"/>
      <c r="C414" s="34"/>
      <c r="D414" s="34"/>
      <c r="K414" s="17">
        <f t="shared" si="39"/>
        <v>0</v>
      </c>
      <c r="U414" s="17">
        <f t="shared" si="40"/>
        <v>0</v>
      </c>
      <c r="AA414" s="17">
        <f t="shared" si="38"/>
        <v>0</v>
      </c>
      <c r="AC414" s="33">
        <f t="shared" si="36"/>
        <v>0</v>
      </c>
    </row>
    <row r="415" spans="1:29">
      <c r="A415" s="34"/>
      <c r="B415" s="34"/>
      <c r="C415" s="34"/>
      <c r="D415" s="34"/>
      <c r="K415" s="17">
        <f t="shared" si="39"/>
        <v>0</v>
      </c>
      <c r="U415" s="17">
        <f t="shared" si="40"/>
        <v>0</v>
      </c>
      <c r="AA415" s="17">
        <f t="shared" si="38"/>
        <v>0</v>
      </c>
      <c r="AC415" s="33">
        <f t="shared" si="36"/>
        <v>0</v>
      </c>
    </row>
    <row r="416" spans="1:29">
      <c r="A416" s="34"/>
      <c r="B416" s="34"/>
      <c r="C416" s="34"/>
      <c r="D416" s="34"/>
      <c r="K416" s="17">
        <f t="shared" si="39"/>
        <v>0</v>
      </c>
      <c r="U416" s="17">
        <f t="shared" si="40"/>
        <v>0</v>
      </c>
      <c r="AA416" s="17">
        <f t="shared" si="38"/>
        <v>0</v>
      </c>
      <c r="AC416" s="33">
        <f t="shared" si="36"/>
        <v>0</v>
      </c>
    </row>
    <row r="417" spans="1:29">
      <c r="A417" s="34"/>
      <c r="B417" s="34"/>
      <c r="C417" s="34"/>
      <c r="D417" s="34"/>
      <c r="K417" s="17">
        <f t="shared" si="39"/>
        <v>0</v>
      </c>
      <c r="U417" s="17">
        <f t="shared" si="40"/>
        <v>0</v>
      </c>
      <c r="AA417" s="17">
        <f t="shared" si="38"/>
        <v>0</v>
      </c>
      <c r="AC417" s="33">
        <f t="shared" si="36"/>
        <v>0</v>
      </c>
    </row>
    <row r="418" spans="1:29">
      <c r="A418" s="34"/>
      <c r="B418" s="34"/>
      <c r="C418" s="34"/>
      <c r="D418" s="34"/>
      <c r="K418" s="17">
        <f t="shared" si="39"/>
        <v>0</v>
      </c>
      <c r="U418" s="17">
        <f t="shared" si="40"/>
        <v>0</v>
      </c>
      <c r="AA418" s="17">
        <f t="shared" si="38"/>
        <v>0</v>
      </c>
      <c r="AC418" s="33">
        <f t="shared" si="36"/>
        <v>0</v>
      </c>
    </row>
    <row r="419" spans="1:29">
      <c r="A419" s="34"/>
      <c r="B419" s="34"/>
      <c r="C419" s="34"/>
      <c r="D419" s="34"/>
      <c r="K419" s="17">
        <f t="shared" si="39"/>
        <v>0</v>
      </c>
      <c r="U419" s="17">
        <f t="shared" si="40"/>
        <v>0</v>
      </c>
      <c r="AA419" s="17">
        <f t="shared" si="38"/>
        <v>0</v>
      </c>
      <c r="AC419" s="33">
        <f t="shared" si="36"/>
        <v>0</v>
      </c>
    </row>
    <row r="420" spans="1:29">
      <c r="A420" s="34"/>
      <c r="B420" s="34"/>
      <c r="C420" s="34"/>
      <c r="D420" s="34"/>
      <c r="K420" s="17">
        <f t="shared" si="39"/>
        <v>0</v>
      </c>
      <c r="U420" s="17">
        <f t="shared" si="40"/>
        <v>0</v>
      </c>
      <c r="AA420" s="17">
        <f t="shared" si="38"/>
        <v>0</v>
      </c>
      <c r="AC420" s="33">
        <f t="shared" si="36"/>
        <v>0</v>
      </c>
    </row>
    <row r="421" spans="1:29">
      <c r="A421" s="34"/>
      <c r="B421" s="34"/>
      <c r="C421" s="34"/>
      <c r="D421" s="34"/>
      <c r="K421" s="17">
        <f t="shared" si="39"/>
        <v>0</v>
      </c>
      <c r="U421" s="17">
        <f t="shared" si="40"/>
        <v>0</v>
      </c>
      <c r="AA421" s="17">
        <f t="shared" si="38"/>
        <v>0</v>
      </c>
      <c r="AC421" s="33">
        <f t="shared" si="36"/>
        <v>0</v>
      </c>
    </row>
    <row r="422" spans="1:29">
      <c r="A422" s="34"/>
      <c r="B422" s="34"/>
      <c r="C422" s="34"/>
      <c r="D422" s="34"/>
      <c r="K422" s="17">
        <f t="shared" si="39"/>
        <v>0</v>
      </c>
      <c r="U422" s="17">
        <f t="shared" si="40"/>
        <v>0</v>
      </c>
      <c r="AA422" s="17">
        <f t="shared" si="38"/>
        <v>0</v>
      </c>
      <c r="AC422" s="33">
        <f t="shared" si="36"/>
        <v>0</v>
      </c>
    </row>
    <row r="423" spans="1:29">
      <c r="A423" s="34"/>
      <c r="B423" s="34"/>
      <c r="C423" s="34"/>
      <c r="D423" s="34"/>
      <c r="K423" s="17">
        <f t="shared" si="39"/>
        <v>0</v>
      </c>
      <c r="U423" s="17">
        <f t="shared" si="40"/>
        <v>0</v>
      </c>
      <c r="AA423" s="17">
        <f t="shared" si="38"/>
        <v>0</v>
      </c>
      <c r="AC423" s="33">
        <f t="shared" si="36"/>
        <v>0</v>
      </c>
    </row>
    <row r="424" spans="1:29">
      <c r="A424" s="34"/>
      <c r="B424" s="34"/>
      <c r="C424" s="34"/>
      <c r="D424" s="34"/>
      <c r="K424" s="17">
        <f t="shared" si="39"/>
        <v>0</v>
      </c>
      <c r="U424" s="17">
        <f t="shared" si="40"/>
        <v>0</v>
      </c>
      <c r="AA424" s="17">
        <f t="shared" si="38"/>
        <v>0</v>
      </c>
      <c r="AC424" s="33">
        <f t="shared" si="36"/>
        <v>0</v>
      </c>
    </row>
    <row r="425" spans="1:29">
      <c r="A425" s="34"/>
      <c r="B425" s="34"/>
      <c r="C425" s="34"/>
      <c r="D425" s="34"/>
      <c r="K425" s="17">
        <f t="shared" si="39"/>
        <v>0</v>
      </c>
      <c r="U425" s="17">
        <f t="shared" si="40"/>
        <v>0</v>
      </c>
      <c r="AA425" s="17">
        <f t="shared" si="38"/>
        <v>0</v>
      </c>
      <c r="AC425" s="33">
        <f t="shared" si="36"/>
        <v>0</v>
      </c>
    </row>
    <row r="426" spans="1:29">
      <c r="A426" s="34"/>
      <c r="B426" s="34"/>
      <c r="C426" s="34"/>
      <c r="D426" s="34"/>
      <c r="K426" s="17">
        <f t="shared" si="39"/>
        <v>0</v>
      </c>
      <c r="U426" s="17">
        <f t="shared" si="40"/>
        <v>0</v>
      </c>
      <c r="AA426" s="17">
        <f t="shared" si="38"/>
        <v>0</v>
      </c>
      <c r="AC426" s="33">
        <f t="shared" si="36"/>
        <v>0</v>
      </c>
    </row>
    <row r="427" spans="1:29">
      <c r="A427" s="34"/>
      <c r="B427" s="34"/>
      <c r="C427" s="34"/>
      <c r="D427" s="34"/>
      <c r="K427" s="17">
        <f t="shared" si="39"/>
        <v>0</v>
      </c>
      <c r="U427" s="17">
        <f t="shared" si="40"/>
        <v>0</v>
      </c>
      <c r="AA427" s="17">
        <f t="shared" si="38"/>
        <v>0</v>
      </c>
      <c r="AC427" s="33">
        <f t="shared" si="36"/>
        <v>0</v>
      </c>
    </row>
    <row r="428" spans="1:29">
      <c r="A428" s="34"/>
      <c r="B428" s="34"/>
      <c r="C428" s="34"/>
      <c r="D428" s="34"/>
      <c r="K428" s="17">
        <f t="shared" si="39"/>
        <v>0</v>
      </c>
      <c r="U428" s="17">
        <f t="shared" si="40"/>
        <v>0</v>
      </c>
      <c r="AA428" s="17">
        <f t="shared" si="38"/>
        <v>0</v>
      </c>
      <c r="AC428" s="33">
        <f t="shared" si="36"/>
        <v>0</v>
      </c>
    </row>
    <row r="429" spans="1:29">
      <c r="A429" s="34"/>
      <c r="B429" s="34"/>
      <c r="C429" s="34"/>
      <c r="D429" s="34"/>
      <c r="K429" s="17">
        <f t="shared" si="39"/>
        <v>0</v>
      </c>
      <c r="U429" s="17">
        <f t="shared" si="40"/>
        <v>0</v>
      </c>
      <c r="AA429" s="17">
        <f t="shared" si="38"/>
        <v>0</v>
      </c>
      <c r="AC429" s="33">
        <f t="shared" si="36"/>
        <v>0</v>
      </c>
    </row>
    <row r="430" spans="1:29">
      <c r="A430" s="34"/>
      <c r="B430" s="34"/>
      <c r="C430" s="34"/>
      <c r="D430" s="34"/>
      <c r="K430" s="17">
        <f t="shared" si="39"/>
        <v>0</v>
      </c>
      <c r="U430" s="17">
        <f t="shared" si="40"/>
        <v>0</v>
      </c>
      <c r="AA430" s="17">
        <f t="shared" si="38"/>
        <v>0</v>
      </c>
      <c r="AC430" s="33">
        <f t="shared" si="36"/>
        <v>0</v>
      </c>
    </row>
    <row r="431" spans="1:29">
      <c r="A431" s="34"/>
      <c r="B431" s="34"/>
      <c r="C431" s="34"/>
      <c r="D431" s="34"/>
      <c r="K431" s="17">
        <f t="shared" si="39"/>
        <v>0</v>
      </c>
      <c r="U431" s="17">
        <f t="shared" si="40"/>
        <v>0</v>
      </c>
      <c r="AA431" s="17">
        <f t="shared" si="38"/>
        <v>0</v>
      </c>
      <c r="AC431" s="33">
        <f t="shared" si="36"/>
        <v>0</v>
      </c>
    </row>
    <row r="432" spans="1:29">
      <c r="A432" s="34"/>
      <c r="B432" s="34"/>
      <c r="C432" s="34"/>
      <c r="D432" s="34"/>
      <c r="K432" s="17">
        <f t="shared" si="39"/>
        <v>0</v>
      </c>
      <c r="U432" s="17">
        <f t="shared" si="40"/>
        <v>0</v>
      </c>
      <c r="AA432" s="17">
        <f t="shared" si="38"/>
        <v>0</v>
      </c>
      <c r="AC432" s="33">
        <f t="shared" si="36"/>
        <v>0</v>
      </c>
    </row>
    <row r="433" spans="1:29">
      <c r="A433" s="34"/>
      <c r="B433" s="34"/>
      <c r="C433" s="34"/>
      <c r="D433" s="34"/>
      <c r="K433" s="17">
        <f t="shared" si="39"/>
        <v>0</v>
      </c>
      <c r="U433" s="17">
        <f t="shared" si="40"/>
        <v>0</v>
      </c>
      <c r="AA433" s="17">
        <f t="shared" si="38"/>
        <v>0</v>
      </c>
      <c r="AC433" s="33">
        <f t="shared" si="36"/>
        <v>0</v>
      </c>
    </row>
    <row r="434" spans="1:29">
      <c r="A434" s="34"/>
      <c r="B434" s="34"/>
      <c r="C434" s="34"/>
      <c r="D434" s="34"/>
      <c r="K434" s="17">
        <f t="shared" si="39"/>
        <v>0</v>
      </c>
      <c r="U434" s="17">
        <f t="shared" si="40"/>
        <v>0</v>
      </c>
      <c r="AA434" s="17">
        <f t="shared" si="38"/>
        <v>0</v>
      </c>
      <c r="AC434" s="33">
        <f t="shared" si="36"/>
        <v>0</v>
      </c>
    </row>
    <row r="435" spans="1:29">
      <c r="A435" s="34"/>
      <c r="B435" s="34"/>
      <c r="C435" s="34"/>
      <c r="D435" s="34"/>
      <c r="K435" s="17">
        <f t="shared" si="39"/>
        <v>0</v>
      </c>
      <c r="U435" s="17">
        <f t="shared" si="40"/>
        <v>0</v>
      </c>
      <c r="AA435" s="17">
        <f>+I435-Q435-Y435</f>
        <v>0</v>
      </c>
      <c r="AC435" s="33">
        <f t="shared" si="36"/>
        <v>0</v>
      </c>
    </row>
    <row r="436" spans="1:29">
      <c r="A436" s="34"/>
      <c r="B436" s="34"/>
      <c r="C436" s="34"/>
      <c r="D436" s="34"/>
      <c r="K436" s="17">
        <f t="shared" si="39"/>
        <v>0</v>
      </c>
      <c r="U436" s="17">
        <f t="shared" si="40"/>
        <v>0</v>
      </c>
      <c r="AA436" s="17">
        <f t="shared" si="38"/>
        <v>0</v>
      </c>
      <c r="AC436" s="33">
        <f t="shared" si="36"/>
        <v>0</v>
      </c>
    </row>
    <row r="437" spans="1:29">
      <c r="A437" s="34"/>
      <c r="B437" s="34"/>
      <c r="C437" s="34"/>
      <c r="D437" s="34"/>
      <c r="K437" s="17">
        <f t="shared" si="39"/>
        <v>0</v>
      </c>
      <c r="U437" s="17">
        <f t="shared" si="40"/>
        <v>0</v>
      </c>
      <c r="AA437" s="17">
        <f>+I437-Q437-Y437</f>
        <v>0</v>
      </c>
      <c r="AC437" s="33">
        <f t="shared" si="36"/>
        <v>0</v>
      </c>
    </row>
    <row r="438" spans="1:29">
      <c r="A438" s="34"/>
      <c r="B438" s="34"/>
      <c r="C438" s="34"/>
      <c r="D438" s="34"/>
      <c r="K438" s="17">
        <f t="shared" si="39"/>
        <v>0</v>
      </c>
      <c r="U438" s="17">
        <f t="shared" si="40"/>
        <v>0</v>
      </c>
      <c r="AA438" s="17">
        <f t="shared" si="38"/>
        <v>0</v>
      </c>
      <c r="AC438" s="33">
        <f t="shared" si="36"/>
        <v>0</v>
      </c>
    </row>
    <row r="439" spans="1:29">
      <c r="A439" s="34"/>
      <c r="B439" s="34"/>
      <c r="C439" s="34"/>
      <c r="D439" s="34"/>
      <c r="K439" s="17">
        <f t="shared" si="39"/>
        <v>0</v>
      </c>
      <c r="U439" s="17">
        <f t="shared" si="40"/>
        <v>0</v>
      </c>
      <c r="AA439" s="17">
        <f t="shared" si="38"/>
        <v>0</v>
      </c>
      <c r="AC439" s="33">
        <f t="shared" si="36"/>
        <v>0</v>
      </c>
    </row>
    <row r="440" spans="1:29">
      <c r="A440" s="34"/>
      <c r="B440" s="34"/>
      <c r="C440" s="34"/>
      <c r="D440" s="34"/>
      <c r="K440" s="17">
        <f t="shared" si="39"/>
        <v>0</v>
      </c>
      <c r="U440" s="17">
        <f t="shared" si="40"/>
        <v>0</v>
      </c>
      <c r="AA440" s="17">
        <f>+I440-Q440-Y440</f>
        <v>0</v>
      </c>
      <c r="AC440" s="33">
        <f t="shared" si="36"/>
        <v>0</v>
      </c>
    </row>
    <row r="441" spans="1:29">
      <c r="A441" s="34"/>
      <c r="B441" s="34"/>
      <c r="C441" s="34"/>
      <c r="D441" s="34"/>
      <c r="K441" s="17">
        <f t="shared" si="39"/>
        <v>0</v>
      </c>
      <c r="U441" s="17">
        <f t="shared" si="40"/>
        <v>0</v>
      </c>
      <c r="AA441" s="17">
        <f t="shared" si="38"/>
        <v>0</v>
      </c>
      <c r="AC441" s="33">
        <f t="shared" si="36"/>
        <v>0</v>
      </c>
    </row>
    <row r="442" spans="1:29">
      <c r="A442" s="34"/>
      <c r="B442" s="34"/>
      <c r="C442" s="34"/>
      <c r="D442" s="34"/>
      <c r="K442" s="17">
        <f t="shared" si="39"/>
        <v>0</v>
      </c>
      <c r="U442" s="17">
        <f t="shared" si="40"/>
        <v>0</v>
      </c>
      <c r="AA442" s="17">
        <f t="shared" si="38"/>
        <v>0</v>
      </c>
      <c r="AC442" s="33">
        <f t="shared" si="36"/>
        <v>0</v>
      </c>
    </row>
    <row r="443" spans="1:29">
      <c r="A443" s="34"/>
      <c r="B443" s="34"/>
      <c r="C443" s="34"/>
      <c r="D443" s="34"/>
      <c r="K443" s="17">
        <f t="shared" si="39"/>
        <v>0</v>
      </c>
      <c r="U443" s="17">
        <f t="shared" si="40"/>
        <v>0</v>
      </c>
      <c r="AA443" s="17">
        <f t="shared" si="38"/>
        <v>0</v>
      </c>
      <c r="AC443" s="33">
        <f t="shared" si="36"/>
        <v>0</v>
      </c>
    </row>
    <row r="444" spans="1:29">
      <c r="A444" s="34"/>
      <c r="B444" s="34"/>
      <c r="C444" s="34"/>
      <c r="D444" s="34"/>
      <c r="K444" s="17">
        <f t="shared" si="39"/>
        <v>0</v>
      </c>
      <c r="U444" s="17">
        <f t="shared" si="40"/>
        <v>0</v>
      </c>
      <c r="AA444" s="17">
        <f t="shared" si="38"/>
        <v>0</v>
      </c>
      <c r="AC444" s="33">
        <f t="shared" si="36"/>
        <v>0</v>
      </c>
    </row>
    <row r="445" spans="1:29">
      <c r="A445" s="34"/>
      <c r="B445" s="34"/>
      <c r="C445" s="34"/>
      <c r="D445" s="34"/>
      <c r="K445" s="17">
        <f t="shared" si="39"/>
        <v>0</v>
      </c>
      <c r="U445" s="17">
        <f t="shared" si="40"/>
        <v>0</v>
      </c>
      <c r="AA445" s="17">
        <f t="shared" si="38"/>
        <v>0</v>
      </c>
      <c r="AC445" s="33">
        <f t="shared" si="36"/>
        <v>0</v>
      </c>
    </row>
    <row r="446" spans="1:29">
      <c r="A446" s="34"/>
      <c r="B446" s="34"/>
      <c r="C446" s="34"/>
      <c r="D446" s="34"/>
      <c r="K446" s="17">
        <f t="shared" si="39"/>
        <v>0</v>
      </c>
      <c r="U446" s="17">
        <f t="shared" si="40"/>
        <v>0</v>
      </c>
      <c r="AA446" s="17">
        <f t="shared" si="38"/>
        <v>0</v>
      </c>
      <c r="AC446" s="33">
        <f t="shared" si="36"/>
        <v>0</v>
      </c>
    </row>
    <row r="447" spans="1:29">
      <c r="A447" s="34"/>
      <c r="B447" s="34"/>
      <c r="C447" s="34"/>
      <c r="D447" s="34"/>
      <c r="K447" s="17">
        <f t="shared" si="39"/>
        <v>0</v>
      </c>
      <c r="U447" s="17">
        <f t="shared" si="40"/>
        <v>0</v>
      </c>
      <c r="AA447" s="17">
        <f t="shared" si="38"/>
        <v>0</v>
      </c>
      <c r="AC447" s="33">
        <f t="shared" si="36"/>
        <v>0</v>
      </c>
    </row>
    <row r="448" spans="1:29">
      <c r="A448" s="34"/>
      <c r="B448" s="34"/>
      <c r="C448" s="34"/>
      <c r="D448" s="34"/>
      <c r="K448" s="17">
        <f t="shared" si="39"/>
        <v>0</v>
      </c>
      <c r="U448" s="17">
        <f t="shared" si="40"/>
        <v>0</v>
      </c>
      <c r="AA448" s="17">
        <f t="shared" si="38"/>
        <v>0</v>
      </c>
      <c r="AC448" s="33">
        <f t="shared" si="36"/>
        <v>0</v>
      </c>
    </row>
    <row r="449" spans="1:29">
      <c r="A449" s="34"/>
      <c r="B449" s="34"/>
      <c r="C449" s="30"/>
      <c r="D449" s="34"/>
      <c r="K449" s="17">
        <f t="shared" si="39"/>
        <v>0</v>
      </c>
      <c r="U449" s="17">
        <f t="shared" si="40"/>
        <v>0</v>
      </c>
      <c r="AA449" s="17">
        <f>+I449-Q449-Y449</f>
        <v>0</v>
      </c>
      <c r="AC449" s="33">
        <f t="shared" si="36"/>
        <v>0</v>
      </c>
    </row>
    <row r="450" spans="1:29">
      <c r="A450" s="34"/>
      <c r="B450" s="34"/>
      <c r="C450" s="34"/>
      <c r="D450" s="34"/>
      <c r="K450" s="17">
        <f t="shared" si="39"/>
        <v>0</v>
      </c>
      <c r="U450" s="17">
        <f t="shared" si="40"/>
        <v>0</v>
      </c>
      <c r="AA450" s="17">
        <f t="shared" si="38"/>
        <v>0</v>
      </c>
      <c r="AC450" s="33">
        <f t="shared" si="36"/>
        <v>0</v>
      </c>
    </row>
    <row r="451" spans="1:29">
      <c r="A451" s="34"/>
      <c r="B451" s="34"/>
      <c r="C451" s="34"/>
      <c r="D451" s="34"/>
      <c r="K451" s="17">
        <f t="shared" si="39"/>
        <v>0</v>
      </c>
      <c r="U451" s="17">
        <f t="shared" si="40"/>
        <v>0</v>
      </c>
      <c r="AA451" s="17">
        <f>+I451-Q451-Y451</f>
        <v>0</v>
      </c>
      <c r="AC451" s="33">
        <f t="shared" si="36"/>
        <v>0</v>
      </c>
    </row>
    <row r="452" spans="1:29">
      <c r="A452" s="34"/>
      <c r="B452" s="34"/>
      <c r="C452" s="34"/>
      <c r="D452" s="34"/>
      <c r="K452" s="17">
        <f t="shared" si="39"/>
        <v>0</v>
      </c>
      <c r="U452" s="17">
        <f t="shared" si="40"/>
        <v>0</v>
      </c>
      <c r="AA452" s="17">
        <f t="shared" si="38"/>
        <v>0</v>
      </c>
      <c r="AC452" s="33">
        <f t="shared" si="36"/>
        <v>0</v>
      </c>
    </row>
    <row r="453" spans="1:29">
      <c r="A453" s="34"/>
      <c r="B453" s="34"/>
      <c r="C453" s="34"/>
      <c r="D453" s="34"/>
      <c r="K453" s="17">
        <f t="shared" si="39"/>
        <v>0</v>
      </c>
      <c r="U453" s="17">
        <f t="shared" si="40"/>
        <v>0</v>
      </c>
      <c r="AA453" s="17">
        <f t="shared" si="38"/>
        <v>0</v>
      </c>
      <c r="AC453" s="33">
        <f t="shared" si="36"/>
        <v>0</v>
      </c>
    </row>
    <row r="454" spans="1:29">
      <c r="A454" s="34"/>
      <c r="B454" s="34"/>
      <c r="C454" s="34"/>
      <c r="D454" s="34"/>
      <c r="K454" s="17">
        <f t="shared" si="39"/>
        <v>0</v>
      </c>
      <c r="U454" s="17">
        <f t="shared" si="40"/>
        <v>0</v>
      </c>
      <c r="AA454" s="17">
        <f t="shared" si="38"/>
        <v>0</v>
      </c>
      <c r="AC454" s="33">
        <f t="shared" ref="AC454:AC520" si="45">+E454+G454+-K454-M454-S454-U454-W454-O454</f>
        <v>0</v>
      </c>
    </row>
    <row r="455" spans="1:29">
      <c r="A455" s="34"/>
      <c r="B455" s="34"/>
      <c r="C455" s="34"/>
      <c r="D455" s="34"/>
      <c r="K455" s="17">
        <f t="shared" si="39"/>
        <v>0</v>
      </c>
      <c r="U455" s="17">
        <f t="shared" si="40"/>
        <v>0</v>
      </c>
      <c r="AA455" s="17">
        <f t="shared" si="38"/>
        <v>0</v>
      </c>
      <c r="AC455" s="33">
        <f t="shared" si="45"/>
        <v>0</v>
      </c>
    </row>
    <row r="456" spans="1:29">
      <c r="A456" s="34"/>
      <c r="B456" s="34"/>
      <c r="C456" s="34"/>
      <c r="D456" s="34"/>
      <c r="K456" s="17">
        <f t="shared" si="39"/>
        <v>0</v>
      </c>
      <c r="U456" s="17">
        <f t="shared" si="40"/>
        <v>0</v>
      </c>
      <c r="AA456" s="17">
        <f t="shared" si="38"/>
        <v>0</v>
      </c>
      <c r="AC456" s="33">
        <f t="shared" si="45"/>
        <v>0</v>
      </c>
    </row>
    <row r="457" spans="1:29">
      <c r="A457" s="34"/>
      <c r="B457" s="34"/>
      <c r="C457" s="34"/>
      <c r="D457" s="34"/>
      <c r="K457" s="17">
        <f>+Q457-M457-O457</f>
        <v>0</v>
      </c>
      <c r="U457" s="17">
        <f>Y457-W457-S457</f>
        <v>0</v>
      </c>
      <c r="AA457" s="17">
        <f t="shared" ref="AA457:AA523" si="46">+I457-Q457-Y457</f>
        <v>0</v>
      </c>
      <c r="AC457" s="33">
        <f t="shared" si="45"/>
        <v>0</v>
      </c>
    </row>
    <row r="458" spans="1:29">
      <c r="A458" s="34"/>
      <c r="B458" s="34"/>
      <c r="C458" s="34"/>
      <c r="D458" s="34"/>
      <c r="K458" s="17">
        <f t="shared" si="39"/>
        <v>0</v>
      </c>
      <c r="U458" s="17">
        <f t="shared" si="40"/>
        <v>0</v>
      </c>
      <c r="AA458" s="17">
        <f>+I458-Q458-Y458</f>
        <v>0</v>
      </c>
      <c r="AC458" s="33">
        <f>+E458+G458+-K458-M458-S458-U458-W458-O458</f>
        <v>0</v>
      </c>
    </row>
    <row r="459" spans="1:29">
      <c r="A459" s="34"/>
      <c r="B459" s="34"/>
      <c r="C459" s="34"/>
      <c r="D459" s="34"/>
      <c r="K459" s="17">
        <f t="shared" si="39"/>
        <v>0</v>
      </c>
      <c r="U459" s="17">
        <f t="shared" si="40"/>
        <v>0</v>
      </c>
      <c r="AA459" s="17">
        <f t="shared" si="46"/>
        <v>0</v>
      </c>
      <c r="AC459" s="33">
        <f t="shared" si="45"/>
        <v>0</v>
      </c>
    </row>
    <row r="460" spans="1:29">
      <c r="A460" s="34"/>
      <c r="B460" s="34"/>
      <c r="C460" s="34"/>
      <c r="D460" s="34"/>
      <c r="K460" s="17">
        <f t="shared" si="39"/>
        <v>0</v>
      </c>
      <c r="U460" s="17">
        <f t="shared" si="40"/>
        <v>0</v>
      </c>
      <c r="AA460" s="17">
        <f t="shared" si="46"/>
        <v>0</v>
      </c>
      <c r="AC460" s="33">
        <f t="shared" si="45"/>
        <v>0</v>
      </c>
    </row>
    <row r="461" spans="1:29">
      <c r="A461" s="34"/>
      <c r="B461" s="34"/>
      <c r="C461" s="34"/>
      <c r="D461" s="34"/>
      <c r="K461" s="17">
        <f t="shared" si="39"/>
        <v>0</v>
      </c>
      <c r="U461" s="17">
        <f t="shared" si="40"/>
        <v>0</v>
      </c>
      <c r="AA461" s="17">
        <f t="shared" si="46"/>
        <v>0</v>
      </c>
      <c r="AC461" s="33">
        <f t="shared" si="45"/>
        <v>0</v>
      </c>
    </row>
    <row r="462" spans="1:29">
      <c r="A462" s="34"/>
      <c r="B462" s="34"/>
      <c r="C462" s="34"/>
      <c r="D462" s="34"/>
      <c r="K462" s="17">
        <f t="shared" si="39"/>
        <v>0</v>
      </c>
      <c r="U462" s="17">
        <f t="shared" si="40"/>
        <v>0</v>
      </c>
      <c r="AA462" s="17">
        <f t="shared" si="46"/>
        <v>0</v>
      </c>
      <c r="AC462" s="33">
        <f t="shared" si="45"/>
        <v>0</v>
      </c>
    </row>
    <row r="463" spans="1:29">
      <c r="A463" s="34"/>
      <c r="B463" s="34"/>
      <c r="C463" s="34"/>
      <c r="D463" s="34"/>
      <c r="K463" s="17">
        <f t="shared" si="39"/>
        <v>0</v>
      </c>
      <c r="U463" s="17">
        <f t="shared" si="40"/>
        <v>0</v>
      </c>
      <c r="AA463" s="17">
        <f t="shared" si="46"/>
        <v>0</v>
      </c>
      <c r="AC463" s="33">
        <f t="shared" si="45"/>
        <v>0</v>
      </c>
    </row>
    <row r="464" spans="1:29">
      <c r="A464" s="34"/>
      <c r="B464" s="34"/>
      <c r="C464" s="34"/>
      <c r="D464" s="34"/>
      <c r="K464" s="17">
        <f t="shared" si="39"/>
        <v>0</v>
      </c>
      <c r="U464" s="17">
        <f t="shared" si="40"/>
        <v>0</v>
      </c>
      <c r="AA464" s="17">
        <f t="shared" si="46"/>
        <v>0</v>
      </c>
      <c r="AC464" s="33">
        <f t="shared" si="45"/>
        <v>0</v>
      </c>
    </row>
    <row r="465" spans="1:29">
      <c r="A465" s="34"/>
      <c r="B465" s="34"/>
      <c r="C465" s="34"/>
      <c r="D465" s="34"/>
      <c r="K465" s="17">
        <f t="shared" ref="K465:K528" si="47">+Q465-M465-O465</f>
        <v>0</v>
      </c>
      <c r="U465" s="17">
        <f t="shared" ref="U465:U528" si="48">Y465-W465-S465</f>
        <v>0</v>
      </c>
      <c r="AA465" s="17">
        <f>+I465-Q465-Y465</f>
        <v>0</v>
      </c>
      <c r="AC465" s="33">
        <f t="shared" si="45"/>
        <v>0</v>
      </c>
    </row>
    <row r="466" spans="1:29">
      <c r="A466" s="34"/>
      <c r="B466" s="34"/>
      <c r="C466" s="34"/>
      <c r="D466" s="34"/>
      <c r="K466" s="17">
        <f t="shared" si="47"/>
        <v>0</v>
      </c>
      <c r="U466" s="17">
        <f t="shared" si="48"/>
        <v>0</v>
      </c>
      <c r="AA466" s="17">
        <f t="shared" si="46"/>
        <v>0</v>
      </c>
      <c r="AC466" s="33">
        <f t="shared" si="45"/>
        <v>0</v>
      </c>
    </row>
    <row r="467" spans="1:29">
      <c r="A467" s="34"/>
      <c r="B467" s="34"/>
      <c r="C467" s="34"/>
      <c r="D467" s="34"/>
      <c r="K467" s="17">
        <f t="shared" si="47"/>
        <v>0</v>
      </c>
      <c r="U467" s="17">
        <f t="shared" si="48"/>
        <v>0</v>
      </c>
      <c r="AA467" s="17">
        <f t="shared" si="46"/>
        <v>0</v>
      </c>
      <c r="AC467" s="33">
        <f t="shared" si="45"/>
        <v>0</v>
      </c>
    </row>
    <row r="468" spans="1:29">
      <c r="A468" s="30"/>
      <c r="B468" s="30"/>
      <c r="C468" s="30"/>
      <c r="D468" s="30"/>
      <c r="K468" s="17">
        <f t="shared" si="47"/>
        <v>0</v>
      </c>
      <c r="U468" s="17">
        <f t="shared" si="48"/>
        <v>0</v>
      </c>
      <c r="AA468" s="17">
        <f t="shared" si="46"/>
        <v>0</v>
      </c>
      <c r="AC468" s="17">
        <f t="shared" si="45"/>
        <v>0</v>
      </c>
    </row>
    <row r="469" spans="1:29">
      <c r="A469" s="30"/>
      <c r="B469" s="30"/>
      <c r="C469" s="30"/>
      <c r="D469" s="30"/>
    </row>
    <row r="470" spans="1:29">
      <c r="A470" s="30"/>
      <c r="B470" s="30"/>
      <c r="C470" s="30"/>
      <c r="D470" s="30"/>
    </row>
    <row r="471" spans="1:29" s="33" customFormat="1">
      <c r="A471" s="31"/>
      <c r="B471" s="31"/>
      <c r="C471" s="31"/>
      <c r="D471" s="31"/>
      <c r="K471" s="33">
        <f t="shared" si="47"/>
        <v>0</v>
      </c>
      <c r="U471" s="33">
        <f t="shared" si="48"/>
        <v>0</v>
      </c>
      <c r="AA471" s="33">
        <f t="shared" si="46"/>
        <v>0</v>
      </c>
      <c r="AC471" s="33">
        <f t="shared" si="45"/>
        <v>0</v>
      </c>
    </row>
    <row r="472" spans="1:29">
      <c r="A472" s="34"/>
      <c r="B472" s="34"/>
      <c r="C472" s="34"/>
      <c r="D472" s="34"/>
      <c r="K472" s="17">
        <f t="shared" si="47"/>
        <v>0</v>
      </c>
      <c r="U472" s="17">
        <f t="shared" si="48"/>
        <v>0</v>
      </c>
      <c r="AA472" s="17">
        <f t="shared" si="46"/>
        <v>0</v>
      </c>
      <c r="AC472" s="33">
        <f t="shared" si="45"/>
        <v>0</v>
      </c>
    </row>
    <row r="473" spans="1:29">
      <c r="A473" s="34"/>
      <c r="B473" s="34"/>
      <c r="C473" s="34"/>
      <c r="D473" s="34"/>
      <c r="K473" s="17">
        <f t="shared" si="47"/>
        <v>0</v>
      </c>
      <c r="U473" s="17">
        <f t="shared" si="48"/>
        <v>0</v>
      </c>
      <c r="AA473" s="17">
        <f t="shared" si="46"/>
        <v>0</v>
      </c>
      <c r="AC473" s="33">
        <f t="shared" si="45"/>
        <v>0</v>
      </c>
    </row>
    <row r="474" spans="1:29">
      <c r="A474" s="34"/>
      <c r="B474" s="34"/>
      <c r="C474" s="34"/>
      <c r="D474" s="34"/>
      <c r="K474" s="17">
        <f t="shared" si="47"/>
        <v>0</v>
      </c>
      <c r="U474" s="17">
        <f t="shared" si="48"/>
        <v>0</v>
      </c>
      <c r="AA474" s="17">
        <f t="shared" si="46"/>
        <v>0</v>
      </c>
      <c r="AC474" s="33">
        <f t="shared" si="45"/>
        <v>0</v>
      </c>
    </row>
    <row r="475" spans="1:29">
      <c r="A475" s="34"/>
      <c r="B475" s="34"/>
      <c r="C475" s="34"/>
      <c r="D475" s="34"/>
      <c r="K475" s="17">
        <f t="shared" si="47"/>
        <v>0</v>
      </c>
      <c r="U475" s="17">
        <f t="shared" si="48"/>
        <v>0</v>
      </c>
      <c r="AA475" s="17">
        <f t="shared" si="46"/>
        <v>0</v>
      </c>
      <c r="AC475" s="33">
        <f t="shared" si="45"/>
        <v>0</v>
      </c>
    </row>
    <row r="476" spans="1:29">
      <c r="A476" s="34"/>
      <c r="B476" s="34"/>
      <c r="C476" s="34"/>
      <c r="D476" s="34"/>
      <c r="K476" s="17">
        <f t="shared" si="47"/>
        <v>0</v>
      </c>
      <c r="U476" s="17">
        <f t="shared" si="48"/>
        <v>0</v>
      </c>
      <c r="AA476" s="17">
        <f t="shared" si="46"/>
        <v>0</v>
      </c>
      <c r="AC476" s="33">
        <f t="shared" si="45"/>
        <v>0</v>
      </c>
    </row>
    <row r="477" spans="1:29">
      <c r="A477" s="34"/>
      <c r="B477" s="34"/>
      <c r="C477" s="34"/>
      <c r="D477" s="34"/>
      <c r="K477" s="17">
        <f t="shared" si="47"/>
        <v>0</v>
      </c>
      <c r="U477" s="17">
        <f t="shared" si="48"/>
        <v>0</v>
      </c>
      <c r="AA477" s="17">
        <f t="shared" si="46"/>
        <v>0</v>
      </c>
      <c r="AC477" s="33">
        <f t="shared" si="45"/>
        <v>0</v>
      </c>
    </row>
    <row r="478" spans="1:29">
      <c r="A478" s="30"/>
      <c r="B478" s="30"/>
      <c r="C478" s="30"/>
      <c r="D478" s="30"/>
      <c r="K478" s="17">
        <f t="shared" si="47"/>
        <v>0</v>
      </c>
      <c r="U478" s="17">
        <f t="shared" si="48"/>
        <v>0</v>
      </c>
      <c r="AA478" s="17">
        <f t="shared" si="46"/>
        <v>0</v>
      </c>
      <c r="AC478" s="17">
        <f t="shared" si="45"/>
        <v>0</v>
      </c>
    </row>
    <row r="479" spans="1:29">
      <c r="A479" s="34"/>
      <c r="B479" s="34"/>
      <c r="C479" s="34"/>
      <c r="D479" s="34"/>
      <c r="K479" s="17">
        <f t="shared" si="47"/>
        <v>0</v>
      </c>
      <c r="U479" s="17">
        <f t="shared" si="48"/>
        <v>0</v>
      </c>
      <c r="AA479" s="17">
        <f t="shared" si="46"/>
        <v>0</v>
      </c>
      <c r="AC479" s="33">
        <f t="shared" si="45"/>
        <v>0</v>
      </c>
    </row>
    <row r="480" spans="1:29">
      <c r="A480" s="30"/>
      <c r="B480" s="30"/>
      <c r="C480" s="30"/>
      <c r="D480" s="30"/>
      <c r="K480" s="17">
        <f t="shared" si="47"/>
        <v>0</v>
      </c>
      <c r="U480" s="17">
        <f t="shared" si="48"/>
        <v>0</v>
      </c>
      <c r="AA480" s="17">
        <f t="shared" si="46"/>
        <v>0</v>
      </c>
      <c r="AC480" s="17">
        <f t="shared" si="45"/>
        <v>0</v>
      </c>
    </row>
    <row r="481" spans="1:29">
      <c r="A481" s="34"/>
      <c r="B481" s="34"/>
      <c r="C481" s="34"/>
      <c r="D481" s="34"/>
      <c r="K481" s="17">
        <f t="shared" si="47"/>
        <v>0</v>
      </c>
      <c r="U481" s="17">
        <f t="shared" si="48"/>
        <v>0</v>
      </c>
      <c r="AA481" s="17">
        <f t="shared" si="46"/>
        <v>0</v>
      </c>
      <c r="AC481" s="33">
        <f t="shared" si="45"/>
        <v>0</v>
      </c>
    </row>
    <row r="482" spans="1:29">
      <c r="A482" s="34"/>
      <c r="B482" s="34"/>
      <c r="C482" s="34"/>
      <c r="D482" s="34"/>
      <c r="K482" s="17">
        <f t="shared" si="47"/>
        <v>0</v>
      </c>
      <c r="U482" s="17">
        <f t="shared" si="48"/>
        <v>0</v>
      </c>
      <c r="AA482" s="17">
        <f t="shared" si="46"/>
        <v>0</v>
      </c>
      <c r="AC482" s="33">
        <f t="shared" si="45"/>
        <v>0</v>
      </c>
    </row>
    <row r="483" spans="1:29">
      <c r="A483" s="34"/>
      <c r="B483" s="34"/>
      <c r="C483" s="34"/>
      <c r="D483" s="34"/>
      <c r="K483" s="17">
        <f t="shared" si="47"/>
        <v>0</v>
      </c>
      <c r="U483" s="17">
        <f t="shared" si="48"/>
        <v>0</v>
      </c>
      <c r="AA483" s="17">
        <f t="shared" si="46"/>
        <v>0</v>
      </c>
      <c r="AC483" s="33">
        <f t="shared" si="45"/>
        <v>0</v>
      </c>
    </row>
    <row r="484" spans="1:29">
      <c r="A484" s="34"/>
      <c r="B484" s="34"/>
      <c r="C484" s="34"/>
      <c r="D484" s="34"/>
      <c r="K484" s="17">
        <f t="shared" si="47"/>
        <v>0</v>
      </c>
      <c r="U484" s="17">
        <f t="shared" si="48"/>
        <v>0</v>
      </c>
      <c r="AA484" s="17">
        <f t="shared" si="46"/>
        <v>0</v>
      </c>
      <c r="AC484" s="33">
        <f t="shared" si="45"/>
        <v>0</v>
      </c>
    </row>
    <row r="485" spans="1:29">
      <c r="A485" s="34"/>
      <c r="B485" s="34"/>
      <c r="C485" s="34"/>
      <c r="D485" s="34"/>
      <c r="K485" s="17">
        <f t="shared" si="47"/>
        <v>0</v>
      </c>
      <c r="U485" s="17">
        <f t="shared" si="48"/>
        <v>0</v>
      </c>
      <c r="AA485" s="17">
        <f t="shared" si="46"/>
        <v>0</v>
      </c>
      <c r="AC485" s="33">
        <f t="shared" si="45"/>
        <v>0</v>
      </c>
    </row>
    <row r="486" spans="1:29">
      <c r="A486" s="34"/>
      <c r="B486" s="34"/>
      <c r="C486" s="34"/>
      <c r="D486" s="34"/>
      <c r="K486" s="17">
        <f t="shared" si="47"/>
        <v>0</v>
      </c>
      <c r="U486" s="17">
        <f t="shared" si="48"/>
        <v>0</v>
      </c>
      <c r="AA486" s="17">
        <f t="shared" si="46"/>
        <v>0</v>
      </c>
      <c r="AC486" s="33">
        <f t="shared" si="45"/>
        <v>0</v>
      </c>
    </row>
    <row r="487" spans="1:29">
      <c r="A487" s="34"/>
      <c r="B487" s="34"/>
      <c r="C487" s="34"/>
      <c r="D487" s="34"/>
      <c r="K487" s="17">
        <f t="shared" si="47"/>
        <v>0</v>
      </c>
      <c r="U487" s="17">
        <f t="shared" si="48"/>
        <v>0</v>
      </c>
      <c r="AA487" s="17">
        <f t="shared" si="46"/>
        <v>0</v>
      </c>
      <c r="AC487" s="33">
        <f t="shared" si="45"/>
        <v>0</v>
      </c>
    </row>
    <row r="488" spans="1:29">
      <c r="A488" s="34"/>
      <c r="B488" s="34"/>
      <c r="C488" s="34"/>
      <c r="D488" s="34"/>
      <c r="K488" s="17">
        <f t="shared" si="47"/>
        <v>0</v>
      </c>
      <c r="U488" s="17">
        <f t="shared" si="48"/>
        <v>0</v>
      </c>
      <c r="AA488" s="17">
        <f t="shared" si="46"/>
        <v>0</v>
      </c>
      <c r="AC488" s="33">
        <f t="shared" si="45"/>
        <v>0</v>
      </c>
    </row>
    <row r="489" spans="1:29">
      <c r="A489" s="34"/>
      <c r="B489" s="34"/>
      <c r="C489" s="34"/>
      <c r="D489" s="34"/>
      <c r="K489" s="17">
        <f t="shared" si="47"/>
        <v>0</v>
      </c>
      <c r="U489" s="17">
        <f t="shared" si="48"/>
        <v>0</v>
      </c>
      <c r="AA489" s="17">
        <f t="shared" si="46"/>
        <v>0</v>
      </c>
      <c r="AC489" s="33">
        <f t="shared" si="45"/>
        <v>0</v>
      </c>
    </row>
    <row r="490" spans="1:29">
      <c r="A490" s="34"/>
      <c r="B490" s="34"/>
      <c r="C490" s="34"/>
      <c r="D490" s="34"/>
      <c r="K490" s="17">
        <f t="shared" si="47"/>
        <v>0</v>
      </c>
      <c r="U490" s="17">
        <f t="shared" si="48"/>
        <v>0</v>
      </c>
      <c r="AA490" s="17">
        <f t="shared" si="46"/>
        <v>0</v>
      </c>
      <c r="AC490" s="33">
        <f t="shared" si="45"/>
        <v>0</v>
      </c>
    </row>
    <row r="491" spans="1:29">
      <c r="A491" s="34"/>
      <c r="B491" s="34"/>
      <c r="C491" s="34"/>
      <c r="D491" s="34"/>
      <c r="K491" s="17">
        <f t="shared" si="47"/>
        <v>0</v>
      </c>
      <c r="U491" s="17">
        <f t="shared" si="48"/>
        <v>0</v>
      </c>
      <c r="AA491" s="17">
        <f t="shared" si="46"/>
        <v>0</v>
      </c>
      <c r="AC491" s="33">
        <f t="shared" si="45"/>
        <v>0</v>
      </c>
    </row>
    <row r="492" spans="1:29">
      <c r="A492" s="34"/>
      <c r="B492" s="34"/>
      <c r="C492" s="34"/>
      <c r="D492" s="34"/>
      <c r="K492" s="17">
        <f t="shared" si="47"/>
        <v>0</v>
      </c>
      <c r="U492" s="17">
        <f t="shared" si="48"/>
        <v>0</v>
      </c>
      <c r="AA492" s="17">
        <f t="shared" si="46"/>
        <v>0</v>
      </c>
      <c r="AC492" s="33">
        <f t="shared" si="45"/>
        <v>0</v>
      </c>
    </row>
    <row r="493" spans="1:29">
      <c r="A493" s="34"/>
      <c r="B493" s="34"/>
      <c r="C493" s="34"/>
      <c r="D493" s="34"/>
      <c r="K493" s="17">
        <f>+Q493-M493-O493</f>
        <v>0</v>
      </c>
      <c r="U493" s="17">
        <f>Y493-W493-S493</f>
        <v>0</v>
      </c>
      <c r="AA493" s="17">
        <f>+I493-Q493-Y493</f>
        <v>0</v>
      </c>
      <c r="AC493" s="33">
        <f>+E493+G493+-K493-M493-S493-U493-W493-O493</f>
        <v>0</v>
      </c>
    </row>
    <row r="494" spans="1:29">
      <c r="A494" s="34"/>
      <c r="B494" s="34"/>
      <c r="C494" s="34"/>
      <c r="D494" s="34"/>
      <c r="K494" s="17">
        <f t="shared" si="47"/>
        <v>0</v>
      </c>
      <c r="U494" s="17">
        <f t="shared" si="48"/>
        <v>0</v>
      </c>
      <c r="AA494" s="17">
        <f t="shared" si="46"/>
        <v>0</v>
      </c>
      <c r="AC494" s="33">
        <f t="shared" si="45"/>
        <v>0</v>
      </c>
    </row>
    <row r="495" spans="1:29">
      <c r="A495" s="34"/>
      <c r="B495" s="34"/>
      <c r="C495" s="34"/>
      <c r="D495" s="34"/>
      <c r="K495" s="17">
        <f t="shared" si="47"/>
        <v>0</v>
      </c>
      <c r="U495" s="17">
        <f t="shared" si="48"/>
        <v>0</v>
      </c>
      <c r="AA495" s="17">
        <f t="shared" si="46"/>
        <v>0</v>
      </c>
      <c r="AC495" s="33">
        <f t="shared" si="45"/>
        <v>0</v>
      </c>
    </row>
    <row r="496" spans="1:29">
      <c r="A496" s="34"/>
      <c r="B496" s="34"/>
      <c r="C496" s="34"/>
      <c r="D496" s="34"/>
      <c r="K496" s="17">
        <f t="shared" si="47"/>
        <v>0</v>
      </c>
      <c r="U496" s="17">
        <f t="shared" si="48"/>
        <v>0</v>
      </c>
      <c r="AA496" s="17">
        <f t="shared" si="46"/>
        <v>0</v>
      </c>
      <c r="AC496" s="33">
        <f t="shared" si="45"/>
        <v>0</v>
      </c>
    </row>
    <row r="497" spans="1:29">
      <c r="A497" s="34"/>
      <c r="B497" s="34"/>
      <c r="C497" s="34"/>
      <c r="D497" s="34"/>
      <c r="K497" s="17">
        <f t="shared" si="47"/>
        <v>0</v>
      </c>
      <c r="U497" s="17">
        <f t="shared" si="48"/>
        <v>0</v>
      </c>
      <c r="AA497" s="17">
        <f t="shared" si="46"/>
        <v>0</v>
      </c>
      <c r="AC497" s="33">
        <f t="shared" si="45"/>
        <v>0</v>
      </c>
    </row>
    <row r="498" spans="1:29">
      <c r="A498" s="34"/>
      <c r="B498" s="34"/>
      <c r="C498" s="34"/>
      <c r="D498" s="34"/>
      <c r="K498" s="17">
        <f t="shared" si="47"/>
        <v>0</v>
      </c>
      <c r="U498" s="17">
        <f t="shared" si="48"/>
        <v>0</v>
      </c>
      <c r="AA498" s="17">
        <f t="shared" si="46"/>
        <v>0</v>
      </c>
      <c r="AC498" s="33">
        <f t="shared" si="45"/>
        <v>0</v>
      </c>
    </row>
    <row r="499" spans="1:29">
      <c r="A499" s="34"/>
      <c r="B499" s="34"/>
      <c r="C499" s="34"/>
      <c r="D499" s="34"/>
      <c r="K499" s="17">
        <f t="shared" si="47"/>
        <v>0</v>
      </c>
      <c r="U499" s="17">
        <f t="shared" si="48"/>
        <v>0</v>
      </c>
      <c r="AA499" s="17">
        <f t="shared" si="46"/>
        <v>0</v>
      </c>
      <c r="AC499" s="33">
        <f t="shared" si="45"/>
        <v>0</v>
      </c>
    </row>
    <row r="500" spans="1:29">
      <c r="A500" s="34"/>
      <c r="B500" s="34"/>
      <c r="C500" s="34"/>
      <c r="D500" s="34"/>
      <c r="K500" s="17">
        <f t="shared" si="47"/>
        <v>0</v>
      </c>
      <c r="U500" s="17">
        <f t="shared" si="48"/>
        <v>0</v>
      </c>
      <c r="AA500" s="17">
        <f t="shared" si="46"/>
        <v>0</v>
      </c>
      <c r="AC500" s="33">
        <f t="shared" si="45"/>
        <v>0</v>
      </c>
    </row>
    <row r="501" spans="1:29">
      <c r="A501" s="34"/>
      <c r="B501" s="34"/>
      <c r="C501" s="34"/>
      <c r="D501" s="34"/>
      <c r="K501" s="17">
        <f t="shared" si="47"/>
        <v>0</v>
      </c>
      <c r="U501" s="17">
        <f t="shared" si="48"/>
        <v>0</v>
      </c>
      <c r="AA501" s="17">
        <f>+I501-Q501-Y501</f>
        <v>0</v>
      </c>
      <c r="AC501" s="33">
        <f t="shared" si="45"/>
        <v>0</v>
      </c>
    </row>
    <row r="502" spans="1:29">
      <c r="A502" s="34"/>
      <c r="B502" s="34"/>
      <c r="C502" s="34"/>
      <c r="D502" s="34"/>
      <c r="K502" s="17">
        <f t="shared" si="47"/>
        <v>0</v>
      </c>
      <c r="U502" s="17">
        <f t="shared" si="48"/>
        <v>0</v>
      </c>
      <c r="AA502" s="17">
        <f t="shared" si="46"/>
        <v>0</v>
      </c>
      <c r="AC502" s="33">
        <f t="shared" si="45"/>
        <v>0</v>
      </c>
    </row>
    <row r="503" spans="1:29">
      <c r="A503" s="34"/>
      <c r="B503" s="34"/>
      <c r="C503" s="34"/>
      <c r="D503" s="34"/>
      <c r="K503" s="17">
        <f t="shared" si="47"/>
        <v>0</v>
      </c>
      <c r="U503" s="17">
        <f t="shared" si="48"/>
        <v>0</v>
      </c>
      <c r="AA503" s="17">
        <f t="shared" si="46"/>
        <v>0</v>
      </c>
      <c r="AC503" s="33">
        <f t="shared" si="45"/>
        <v>0</v>
      </c>
    </row>
    <row r="504" spans="1:29">
      <c r="A504" s="34"/>
      <c r="B504" s="34"/>
      <c r="C504" s="34"/>
      <c r="D504" s="34"/>
      <c r="K504" s="17">
        <f t="shared" si="47"/>
        <v>0</v>
      </c>
      <c r="U504" s="17">
        <f t="shared" si="48"/>
        <v>0</v>
      </c>
      <c r="AA504" s="17">
        <f t="shared" si="46"/>
        <v>0</v>
      </c>
      <c r="AC504" s="33">
        <f>+E504+G504+-K504-M504-S504-U504-W504-O504</f>
        <v>0</v>
      </c>
    </row>
    <row r="505" spans="1:29">
      <c r="A505" s="34"/>
      <c r="B505" s="34"/>
      <c r="C505" s="34"/>
      <c r="D505" s="34"/>
      <c r="K505" s="17">
        <f t="shared" si="47"/>
        <v>0</v>
      </c>
      <c r="U505" s="17">
        <f t="shared" si="48"/>
        <v>0</v>
      </c>
      <c r="AA505" s="17">
        <f t="shared" si="46"/>
        <v>0</v>
      </c>
      <c r="AC505" s="33">
        <f t="shared" si="45"/>
        <v>0</v>
      </c>
    </row>
    <row r="506" spans="1:29">
      <c r="A506" s="34"/>
      <c r="B506" s="34"/>
      <c r="C506" s="34"/>
      <c r="D506" s="34"/>
      <c r="K506" s="17">
        <f t="shared" si="47"/>
        <v>0</v>
      </c>
      <c r="U506" s="17">
        <f t="shared" si="48"/>
        <v>0</v>
      </c>
      <c r="AA506" s="17">
        <f t="shared" si="46"/>
        <v>0</v>
      </c>
      <c r="AC506" s="33">
        <f t="shared" si="45"/>
        <v>0</v>
      </c>
    </row>
    <row r="507" spans="1:29">
      <c r="A507" s="34"/>
      <c r="B507" s="34"/>
      <c r="C507" s="34"/>
      <c r="D507" s="34"/>
      <c r="K507" s="17">
        <f t="shared" si="47"/>
        <v>0</v>
      </c>
      <c r="U507" s="17">
        <f t="shared" si="48"/>
        <v>0</v>
      </c>
      <c r="AA507" s="17">
        <f t="shared" si="46"/>
        <v>0</v>
      </c>
      <c r="AC507" s="33">
        <f t="shared" si="45"/>
        <v>0</v>
      </c>
    </row>
    <row r="508" spans="1:29">
      <c r="A508" s="34"/>
      <c r="B508" s="34"/>
      <c r="C508" s="34"/>
      <c r="D508" s="34"/>
      <c r="K508" s="17">
        <f t="shared" si="47"/>
        <v>0</v>
      </c>
      <c r="U508" s="17">
        <f t="shared" si="48"/>
        <v>0</v>
      </c>
      <c r="AA508" s="17">
        <f t="shared" si="46"/>
        <v>0</v>
      </c>
      <c r="AC508" s="33">
        <f t="shared" si="45"/>
        <v>0</v>
      </c>
    </row>
    <row r="509" spans="1:29">
      <c r="A509" s="34"/>
      <c r="B509" s="34"/>
      <c r="C509" s="34"/>
      <c r="D509" s="34"/>
      <c r="K509" s="17">
        <f t="shared" si="47"/>
        <v>0</v>
      </c>
      <c r="U509" s="17">
        <f t="shared" si="48"/>
        <v>0</v>
      </c>
      <c r="AA509" s="17">
        <f t="shared" si="46"/>
        <v>0</v>
      </c>
      <c r="AC509" s="33">
        <f t="shared" si="45"/>
        <v>0</v>
      </c>
    </row>
    <row r="510" spans="1:29">
      <c r="A510" s="34"/>
      <c r="B510" s="34"/>
      <c r="C510" s="34"/>
      <c r="D510" s="34"/>
      <c r="K510" s="17">
        <f t="shared" si="47"/>
        <v>0</v>
      </c>
      <c r="U510" s="17">
        <f t="shared" si="48"/>
        <v>0</v>
      </c>
      <c r="AA510" s="17">
        <f t="shared" si="46"/>
        <v>0</v>
      </c>
      <c r="AC510" s="33">
        <f t="shared" si="45"/>
        <v>0</v>
      </c>
    </row>
    <row r="511" spans="1:29">
      <c r="A511" s="34"/>
      <c r="B511" s="34"/>
      <c r="C511" s="34"/>
      <c r="D511" s="34"/>
      <c r="K511" s="17">
        <f t="shared" si="47"/>
        <v>0</v>
      </c>
      <c r="U511" s="17">
        <f t="shared" si="48"/>
        <v>0</v>
      </c>
      <c r="AA511" s="17">
        <f t="shared" si="46"/>
        <v>0</v>
      </c>
      <c r="AC511" s="33">
        <f t="shared" si="45"/>
        <v>0</v>
      </c>
    </row>
    <row r="512" spans="1:29">
      <c r="A512" s="34"/>
      <c r="B512" s="34"/>
      <c r="C512" s="34"/>
      <c r="D512" s="34"/>
      <c r="K512" s="17">
        <f t="shared" si="47"/>
        <v>0</v>
      </c>
      <c r="U512" s="17">
        <f t="shared" si="48"/>
        <v>0</v>
      </c>
      <c r="AA512" s="17">
        <f t="shared" si="46"/>
        <v>0</v>
      </c>
      <c r="AC512" s="33">
        <f t="shared" si="45"/>
        <v>0</v>
      </c>
    </row>
    <row r="513" spans="1:29">
      <c r="A513" s="34"/>
      <c r="B513" s="34"/>
      <c r="C513" s="34"/>
      <c r="D513" s="34"/>
      <c r="K513" s="17">
        <f t="shared" si="47"/>
        <v>0</v>
      </c>
      <c r="U513" s="17">
        <f t="shared" si="48"/>
        <v>0</v>
      </c>
      <c r="AA513" s="17">
        <f t="shared" si="46"/>
        <v>0</v>
      </c>
      <c r="AC513" s="33">
        <f t="shared" si="45"/>
        <v>0</v>
      </c>
    </row>
    <row r="514" spans="1:29">
      <c r="A514" s="34"/>
      <c r="B514" s="34"/>
      <c r="C514" s="34"/>
      <c r="D514" s="34"/>
      <c r="K514" s="17">
        <f t="shared" si="47"/>
        <v>0</v>
      </c>
      <c r="U514" s="17">
        <f t="shared" si="48"/>
        <v>0</v>
      </c>
      <c r="AA514" s="17">
        <f t="shared" si="46"/>
        <v>0</v>
      </c>
      <c r="AC514" s="33">
        <f t="shared" si="45"/>
        <v>0</v>
      </c>
    </row>
    <row r="515" spans="1:29">
      <c r="A515" s="34"/>
      <c r="B515" s="34"/>
      <c r="C515" s="34"/>
      <c r="D515" s="34"/>
      <c r="K515" s="17">
        <f t="shared" si="47"/>
        <v>0</v>
      </c>
      <c r="U515" s="17">
        <f t="shared" si="48"/>
        <v>0</v>
      </c>
      <c r="AA515" s="17">
        <f t="shared" si="46"/>
        <v>0</v>
      </c>
      <c r="AC515" s="33">
        <f t="shared" si="45"/>
        <v>0</v>
      </c>
    </row>
    <row r="516" spans="1:29">
      <c r="A516" s="34"/>
      <c r="B516" s="34"/>
      <c r="C516" s="34"/>
      <c r="D516" s="34"/>
      <c r="K516" s="17">
        <f t="shared" si="47"/>
        <v>0</v>
      </c>
      <c r="U516" s="17">
        <f t="shared" si="48"/>
        <v>0</v>
      </c>
      <c r="AA516" s="17">
        <f t="shared" si="46"/>
        <v>0</v>
      </c>
      <c r="AC516" s="33">
        <f t="shared" si="45"/>
        <v>0</v>
      </c>
    </row>
    <row r="517" spans="1:29">
      <c r="A517" s="34"/>
      <c r="B517" s="34"/>
      <c r="C517" s="34"/>
      <c r="D517" s="34"/>
      <c r="K517" s="17">
        <f t="shared" si="47"/>
        <v>0</v>
      </c>
      <c r="U517" s="17">
        <f t="shared" si="48"/>
        <v>0</v>
      </c>
      <c r="AA517" s="17">
        <f t="shared" si="46"/>
        <v>0</v>
      </c>
      <c r="AC517" s="33">
        <f t="shared" si="45"/>
        <v>0</v>
      </c>
    </row>
    <row r="518" spans="1:29">
      <c r="A518" s="34"/>
      <c r="B518" s="34"/>
      <c r="C518" s="34"/>
      <c r="D518" s="34"/>
      <c r="K518" s="17">
        <f t="shared" si="47"/>
        <v>0</v>
      </c>
      <c r="U518" s="17">
        <f t="shared" si="48"/>
        <v>0</v>
      </c>
      <c r="AA518" s="17">
        <f t="shared" si="46"/>
        <v>0</v>
      </c>
      <c r="AC518" s="33">
        <f t="shared" si="45"/>
        <v>0</v>
      </c>
    </row>
    <row r="519" spans="1:29">
      <c r="A519" s="34"/>
      <c r="B519" s="34"/>
      <c r="C519" s="34"/>
      <c r="D519" s="34"/>
      <c r="K519" s="17">
        <f t="shared" si="47"/>
        <v>0</v>
      </c>
      <c r="U519" s="17">
        <f t="shared" si="48"/>
        <v>0</v>
      </c>
      <c r="AA519" s="17">
        <f t="shared" si="46"/>
        <v>0</v>
      </c>
      <c r="AC519" s="33">
        <f t="shared" si="45"/>
        <v>0</v>
      </c>
    </row>
    <row r="520" spans="1:29">
      <c r="A520" s="34"/>
      <c r="B520" s="34"/>
      <c r="C520" s="34"/>
      <c r="D520" s="34"/>
      <c r="K520" s="17">
        <f t="shared" si="47"/>
        <v>0</v>
      </c>
      <c r="U520" s="17">
        <f t="shared" si="48"/>
        <v>0</v>
      </c>
      <c r="AA520" s="17">
        <f t="shared" si="46"/>
        <v>0</v>
      </c>
      <c r="AC520" s="33">
        <f t="shared" si="45"/>
        <v>0</v>
      </c>
    </row>
    <row r="521" spans="1:29">
      <c r="A521" s="34"/>
      <c r="B521" s="34"/>
      <c r="C521" s="34"/>
      <c r="D521" s="34"/>
      <c r="K521" s="17">
        <f t="shared" si="47"/>
        <v>0</v>
      </c>
      <c r="U521" s="17">
        <f t="shared" si="48"/>
        <v>0</v>
      </c>
      <c r="AA521" s="17">
        <f t="shared" si="46"/>
        <v>0</v>
      </c>
      <c r="AC521" s="33">
        <f t="shared" ref="AC521:AC573" si="49">+E521+G521+-K521-M521-S521-U521-W521-O521</f>
        <v>0</v>
      </c>
    </row>
    <row r="522" spans="1:29">
      <c r="A522" s="34"/>
      <c r="B522" s="34"/>
      <c r="C522" s="34"/>
      <c r="D522" s="34"/>
      <c r="K522" s="17">
        <f t="shared" si="47"/>
        <v>0</v>
      </c>
      <c r="U522" s="17">
        <f t="shared" si="48"/>
        <v>0</v>
      </c>
      <c r="AA522" s="17">
        <f t="shared" si="46"/>
        <v>0</v>
      </c>
      <c r="AC522" s="33">
        <f t="shared" si="49"/>
        <v>0</v>
      </c>
    </row>
    <row r="523" spans="1:29">
      <c r="A523" s="34"/>
      <c r="B523" s="34"/>
      <c r="C523" s="34"/>
      <c r="D523" s="34"/>
      <c r="K523" s="17">
        <f t="shared" si="47"/>
        <v>0</v>
      </c>
      <c r="U523" s="17">
        <f t="shared" si="48"/>
        <v>0</v>
      </c>
      <c r="AA523" s="17">
        <f t="shared" si="46"/>
        <v>0</v>
      </c>
      <c r="AC523" s="33">
        <f t="shared" si="49"/>
        <v>0</v>
      </c>
    </row>
    <row r="524" spans="1:29">
      <c r="A524" s="34"/>
      <c r="B524" s="34"/>
      <c r="C524" s="34"/>
      <c r="D524" s="34"/>
      <c r="K524" s="17">
        <f t="shared" si="47"/>
        <v>0</v>
      </c>
      <c r="U524" s="17">
        <f t="shared" si="48"/>
        <v>0</v>
      </c>
      <c r="AA524" s="17">
        <f t="shared" ref="AA524:AA576" si="50">+I524-Q524-Y524</f>
        <v>0</v>
      </c>
      <c r="AC524" s="33">
        <f t="shared" si="49"/>
        <v>0</v>
      </c>
    </row>
    <row r="525" spans="1:29">
      <c r="A525" s="34"/>
      <c r="B525" s="34"/>
      <c r="C525" s="34"/>
      <c r="D525" s="34"/>
      <c r="K525" s="17">
        <f>+Q525-M525-O525</f>
        <v>0</v>
      </c>
      <c r="U525" s="17">
        <f>Y525-W525-S525</f>
        <v>0</v>
      </c>
      <c r="AA525" s="17">
        <f>+I525-Q525-Y525</f>
        <v>0</v>
      </c>
      <c r="AC525" s="33">
        <f>+E525+G525+-K525-M525-S525-U525-W525-O525</f>
        <v>0</v>
      </c>
    </row>
    <row r="526" spans="1:29">
      <c r="A526" s="34"/>
      <c r="B526" s="34"/>
      <c r="C526" s="34"/>
      <c r="D526" s="34"/>
      <c r="K526" s="17">
        <f t="shared" si="47"/>
        <v>0</v>
      </c>
      <c r="U526" s="17">
        <f t="shared" si="48"/>
        <v>0</v>
      </c>
      <c r="AA526" s="17">
        <f t="shared" si="50"/>
        <v>0</v>
      </c>
      <c r="AC526" s="33">
        <f t="shared" si="49"/>
        <v>0</v>
      </c>
    </row>
    <row r="527" spans="1:29">
      <c r="A527" s="34"/>
      <c r="B527" s="34"/>
      <c r="C527" s="34"/>
      <c r="D527" s="34"/>
      <c r="K527" s="17">
        <f t="shared" si="47"/>
        <v>0</v>
      </c>
      <c r="U527" s="17">
        <f t="shared" si="48"/>
        <v>0</v>
      </c>
      <c r="AA527" s="17">
        <f t="shared" si="50"/>
        <v>0</v>
      </c>
      <c r="AC527" s="33">
        <f t="shared" si="49"/>
        <v>0</v>
      </c>
    </row>
    <row r="528" spans="1:29">
      <c r="A528" s="34"/>
      <c r="B528" s="34"/>
      <c r="C528" s="34"/>
      <c r="D528" s="34"/>
      <c r="K528" s="17">
        <f t="shared" si="47"/>
        <v>0</v>
      </c>
      <c r="U528" s="17">
        <f t="shared" si="48"/>
        <v>0</v>
      </c>
      <c r="AA528" s="17">
        <f t="shared" si="50"/>
        <v>0</v>
      </c>
      <c r="AC528" s="33">
        <f t="shared" si="49"/>
        <v>0</v>
      </c>
    </row>
    <row r="529" spans="1:29">
      <c r="A529" s="34"/>
      <c r="B529" s="34"/>
      <c r="C529" s="34"/>
      <c r="D529" s="34"/>
      <c r="K529" s="17">
        <f t="shared" ref="K529:K576" si="51">+Q529-M529-O529</f>
        <v>0</v>
      </c>
      <c r="U529" s="17">
        <v>0</v>
      </c>
      <c r="AA529" s="17">
        <f t="shared" si="50"/>
        <v>0</v>
      </c>
      <c r="AC529" s="33">
        <f t="shared" si="49"/>
        <v>0</v>
      </c>
    </row>
    <row r="530" spans="1:29">
      <c r="A530" s="34"/>
      <c r="B530" s="34"/>
      <c r="C530" s="34"/>
      <c r="D530" s="34"/>
      <c r="K530" s="17">
        <f t="shared" si="51"/>
        <v>0</v>
      </c>
      <c r="U530" s="17">
        <f t="shared" ref="U530:U576" si="52">Y530-W530-S530</f>
        <v>0</v>
      </c>
      <c r="AA530" s="17">
        <f t="shared" si="50"/>
        <v>0</v>
      </c>
      <c r="AC530" s="33">
        <f t="shared" si="49"/>
        <v>0</v>
      </c>
    </row>
    <row r="531" spans="1:29">
      <c r="A531" s="34"/>
      <c r="B531" s="34"/>
      <c r="C531" s="34"/>
      <c r="D531" s="34"/>
      <c r="K531" s="17">
        <f t="shared" si="51"/>
        <v>0</v>
      </c>
      <c r="U531" s="17">
        <f t="shared" si="52"/>
        <v>0</v>
      </c>
      <c r="AA531" s="17">
        <f t="shared" si="50"/>
        <v>0</v>
      </c>
      <c r="AC531" s="33">
        <f t="shared" si="49"/>
        <v>0</v>
      </c>
    </row>
    <row r="532" spans="1:29">
      <c r="A532" s="34"/>
      <c r="B532" s="34"/>
      <c r="C532" s="34"/>
      <c r="D532" s="34"/>
      <c r="K532" s="17">
        <f t="shared" si="51"/>
        <v>0</v>
      </c>
      <c r="U532" s="17">
        <f t="shared" si="52"/>
        <v>0</v>
      </c>
      <c r="AA532" s="17">
        <f t="shared" si="50"/>
        <v>0</v>
      </c>
      <c r="AC532" s="33">
        <f t="shared" si="49"/>
        <v>0</v>
      </c>
    </row>
    <row r="533" spans="1:29">
      <c r="A533" s="34"/>
      <c r="B533" s="34"/>
      <c r="C533" s="34"/>
      <c r="D533" s="34"/>
      <c r="K533" s="17">
        <f t="shared" si="51"/>
        <v>0</v>
      </c>
      <c r="U533" s="17">
        <f t="shared" si="52"/>
        <v>0</v>
      </c>
      <c r="AA533" s="17">
        <f t="shared" si="50"/>
        <v>0</v>
      </c>
      <c r="AC533" s="33">
        <f t="shared" si="49"/>
        <v>0</v>
      </c>
    </row>
    <row r="534" spans="1:29">
      <c r="A534" s="34"/>
      <c r="B534" s="34"/>
      <c r="C534" s="34"/>
      <c r="D534" s="34"/>
      <c r="K534" s="17">
        <f t="shared" si="51"/>
        <v>0</v>
      </c>
      <c r="U534" s="17">
        <f t="shared" si="52"/>
        <v>0</v>
      </c>
      <c r="AA534" s="17">
        <f t="shared" si="50"/>
        <v>0</v>
      </c>
      <c r="AC534" s="33">
        <f t="shared" si="49"/>
        <v>0</v>
      </c>
    </row>
    <row r="535" spans="1:29">
      <c r="A535" s="34"/>
      <c r="B535" s="34"/>
      <c r="C535" s="34"/>
      <c r="D535" s="34"/>
      <c r="K535" s="17">
        <f t="shared" si="51"/>
        <v>0</v>
      </c>
      <c r="U535" s="17">
        <f t="shared" si="52"/>
        <v>0</v>
      </c>
      <c r="AA535" s="17">
        <f t="shared" si="50"/>
        <v>0</v>
      </c>
      <c r="AC535" s="33">
        <f t="shared" si="49"/>
        <v>0</v>
      </c>
    </row>
    <row r="536" spans="1:29">
      <c r="A536" s="34"/>
      <c r="B536" s="34"/>
      <c r="C536" s="34"/>
      <c r="D536" s="34"/>
      <c r="K536" s="17">
        <f t="shared" si="51"/>
        <v>0</v>
      </c>
      <c r="U536" s="17">
        <f t="shared" si="52"/>
        <v>0</v>
      </c>
      <c r="AA536" s="17">
        <f t="shared" si="50"/>
        <v>0</v>
      </c>
      <c r="AC536" s="33">
        <f t="shared" si="49"/>
        <v>0</v>
      </c>
    </row>
    <row r="537" spans="1:29">
      <c r="A537" s="34"/>
      <c r="B537" s="34"/>
      <c r="C537" s="34"/>
      <c r="D537" s="34"/>
      <c r="K537" s="17">
        <f t="shared" si="51"/>
        <v>0</v>
      </c>
      <c r="U537" s="17">
        <f t="shared" si="52"/>
        <v>0</v>
      </c>
      <c r="AA537" s="17">
        <f t="shared" si="50"/>
        <v>0</v>
      </c>
      <c r="AC537" s="33">
        <f t="shared" si="49"/>
        <v>0</v>
      </c>
    </row>
    <row r="538" spans="1:29">
      <c r="A538" s="34"/>
      <c r="B538" s="34"/>
      <c r="C538" s="34"/>
      <c r="D538" s="34"/>
      <c r="K538" s="17">
        <f t="shared" si="51"/>
        <v>0</v>
      </c>
      <c r="U538" s="17">
        <f t="shared" si="52"/>
        <v>0</v>
      </c>
      <c r="AA538" s="17">
        <f t="shared" si="50"/>
        <v>0</v>
      </c>
      <c r="AC538" s="33">
        <f t="shared" si="49"/>
        <v>0</v>
      </c>
    </row>
    <row r="539" spans="1:29">
      <c r="A539" s="34"/>
      <c r="B539" s="34"/>
      <c r="C539" s="34"/>
      <c r="D539" s="34"/>
      <c r="K539" s="17">
        <f t="shared" si="51"/>
        <v>0</v>
      </c>
      <c r="U539" s="17">
        <f t="shared" si="52"/>
        <v>0</v>
      </c>
      <c r="AA539" s="17">
        <f t="shared" si="50"/>
        <v>0</v>
      </c>
      <c r="AC539" s="33">
        <f t="shared" si="49"/>
        <v>0</v>
      </c>
    </row>
    <row r="540" spans="1:29">
      <c r="A540" s="34"/>
      <c r="B540" s="34"/>
      <c r="C540" s="34"/>
      <c r="D540" s="34"/>
      <c r="K540" s="17">
        <f t="shared" si="51"/>
        <v>0</v>
      </c>
      <c r="U540" s="17">
        <f t="shared" si="52"/>
        <v>0</v>
      </c>
      <c r="AA540" s="17">
        <f t="shared" si="50"/>
        <v>0</v>
      </c>
      <c r="AC540" s="33">
        <f t="shared" si="49"/>
        <v>0</v>
      </c>
    </row>
    <row r="541" spans="1:29">
      <c r="A541" s="34"/>
      <c r="B541" s="34"/>
      <c r="C541" s="34"/>
      <c r="D541" s="34"/>
      <c r="K541" s="17">
        <f t="shared" si="51"/>
        <v>0</v>
      </c>
      <c r="U541" s="17">
        <f t="shared" si="52"/>
        <v>0</v>
      </c>
      <c r="AA541" s="17">
        <f t="shared" si="50"/>
        <v>0</v>
      </c>
      <c r="AC541" s="33">
        <f t="shared" si="49"/>
        <v>0</v>
      </c>
    </row>
    <row r="542" spans="1:29">
      <c r="A542" s="34"/>
      <c r="B542" s="34"/>
      <c r="C542" s="34"/>
      <c r="D542" s="34"/>
      <c r="K542" s="17">
        <f t="shared" si="51"/>
        <v>0</v>
      </c>
      <c r="U542" s="17">
        <f t="shared" si="52"/>
        <v>0</v>
      </c>
      <c r="AA542" s="17">
        <f t="shared" si="50"/>
        <v>0</v>
      </c>
      <c r="AC542" s="33">
        <f t="shared" si="49"/>
        <v>0</v>
      </c>
    </row>
    <row r="543" spans="1:29">
      <c r="A543" s="30"/>
      <c r="B543" s="30"/>
      <c r="C543" s="30"/>
      <c r="D543" s="30"/>
      <c r="K543" s="17">
        <f t="shared" si="51"/>
        <v>0</v>
      </c>
      <c r="U543" s="17">
        <f t="shared" si="52"/>
        <v>0</v>
      </c>
      <c r="AA543" s="17">
        <f t="shared" si="50"/>
        <v>0</v>
      </c>
      <c r="AC543" s="17">
        <f t="shared" si="49"/>
        <v>0</v>
      </c>
    </row>
    <row r="544" spans="1:29" s="33" customFormat="1">
      <c r="A544" s="31"/>
      <c r="B544" s="31"/>
      <c r="C544" s="31"/>
      <c r="D544" s="31"/>
    </row>
    <row r="545" spans="1:29" s="33" customFormat="1">
      <c r="A545" s="31"/>
      <c r="B545" s="31"/>
      <c r="C545" s="31"/>
      <c r="D545" s="31"/>
    </row>
    <row r="546" spans="1:29" s="33" customFormat="1">
      <c r="A546" s="31"/>
      <c r="B546" s="31"/>
      <c r="C546" s="31"/>
      <c r="D546" s="31"/>
      <c r="K546" s="33">
        <f t="shared" si="51"/>
        <v>0</v>
      </c>
      <c r="U546" s="33">
        <f t="shared" si="52"/>
        <v>0</v>
      </c>
      <c r="AA546" s="33">
        <f t="shared" si="50"/>
        <v>0</v>
      </c>
      <c r="AC546" s="33">
        <f t="shared" si="49"/>
        <v>0</v>
      </c>
    </row>
    <row r="547" spans="1:29">
      <c r="A547" s="34"/>
      <c r="B547" s="34"/>
      <c r="C547" s="34"/>
      <c r="D547" s="34"/>
      <c r="K547" s="17">
        <f t="shared" si="51"/>
        <v>0</v>
      </c>
      <c r="U547" s="17">
        <f t="shared" si="52"/>
        <v>0</v>
      </c>
      <c r="AA547" s="17">
        <f t="shared" si="50"/>
        <v>0</v>
      </c>
      <c r="AC547" s="33">
        <f t="shared" si="49"/>
        <v>0</v>
      </c>
    </row>
    <row r="548" spans="1:29">
      <c r="A548" s="34"/>
      <c r="B548" s="34"/>
      <c r="C548" s="34"/>
      <c r="D548" s="34"/>
      <c r="K548" s="17">
        <f t="shared" si="51"/>
        <v>0</v>
      </c>
      <c r="U548" s="17">
        <f t="shared" si="52"/>
        <v>0</v>
      </c>
      <c r="AA548" s="17">
        <f t="shared" si="50"/>
        <v>0</v>
      </c>
      <c r="AC548" s="33">
        <f t="shared" si="49"/>
        <v>0</v>
      </c>
    </row>
    <row r="549" spans="1:29">
      <c r="A549" s="34"/>
      <c r="B549" s="34"/>
      <c r="C549" s="34"/>
      <c r="D549" s="34"/>
      <c r="K549" s="17">
        <f t="shared" si="51"/>
        <v>0</v>
      </c>
      <c r="U549" s="17">
        <f t="shared" si="52"/>
        <v>0</v>
      </c>
      <c r="AA549" s="17">
        <f t="shared" si="50"/>
        <v>0</v>
      </c>
      <c r="AC549" s="33">
        <f t="shared" si="49"/>
        <v>0</v>
      </c>
    </row>
    <row r="550" spans="1:29">
      <c r="A550" s="30"/>
      <c r="B550" s="30"/>
      <c r="C550" s="30"/>
      <c r="D550" s="30"/>
      <c r="K550" s="17">
        <f t="shared" si="51"/>
        <v>0</v>
      </c>
      <c r="U550" s="17">
        <f t="shared" si="52"/>
        <v>0</v>
      </c>
      <c r="AA550" s="17">
        <f t="shared" si="50"/>
        <v>0</v>
      </c>
      <c r="AC550" s="33">
        <f t="shared" si="49"/>
        <v>0</v>
      </c>
    </row>
    <row r="551" spans="1:29">
      <c r="A551" s="34"/>
      <c r="B551" s="34"/>
      <c r="C551" s="34"/>
      <c r="D551" s="34"/>
      <c r="K551" s="17">
        <f t="shared" si="51"/>
        <v>0</v>
      </c>
      <c r="U551" s="17">
        <f t="shared" si="52"/>
        <v>0</v>
      </c>
      <c r="AA551" s="17">
        <f t="shared" si="50"/>
        <v>0</v>
      </c>
      <c r="AC551" s="33">
        <f t="shared" si="49"/>
        <v>0</v>
      </c>
    </row>
    <row r="552" spans="1:29">
      <c r="A552" s="34"/>
      <c r="B552" s="34"/>
      <c r="C552" s="34"/>
      <c r="D552" s="34"/>
      <c r="K552" s="17">
        <f t="shared" si="51"/>
        <v>0</v>
      </c>
      <c r="U552" s="17">
        <f t="shared" si="52"/>
        <v>0</v>
      </c>
      <c r="AA552" s="17">
        <f t="shared" si="50"/>
        <v>0</v>
      </c>
      <c r="AC552" s="33">
        <f t="shared" si="49"/>
        <v>0</v>
      </c>
    </row>
    <row r="553" spans="1:29">
      <c r="A553" s="30"/>
      <c r="B553" s="30"/>
      <c r="C553" s="30"/>
      <c r="D553" s="30"/>
      <c r="K553" s="17">
        <f t="shared" si="51"/>
        <v>0</v>
      </c>
      <c r="U553" s="17">
        <f t="shared" si="52"/>
        <v>0</v>
      </c>
      <c r="AA553" s="17">
        <f t="shared" si="50"/>
        <v>0</v>
      </c>
      <c r="AC553" s="17">
        <f t="shared" si="49"/>
        <v>0</v>
      </c>
    </row>
    <row r="554" spans="1:29">
      <c r="A554" s="34"/>
      <c r="B554" s="34"/>
      <c r="C554" s="34"/>
      <c r="D554" s="34"/>
      <c r="K554" s="17">
        <f t="shared" si="51"/>
        <v>0</v>
      </c>
      <c r="U554" s="17">
        <f t="shared" si="52"/>
        <v>0</v>
      </c>
      <c r="AA554" s="17">
        <f t="shared" si="50"/>
        <v>0</v>
      </c>
      <c r="AC554" s="33">
        <f t="shared" si="49"/>
        <v>0</v>
      </c>
    </row>
    <row r="555" spans="1:29">
      <c r="A555" s="34"/>
      <c r="B555" s="34"/>
      <c r="C555" s="34"/>
      <c r="D555" s="34"/>
      <c r="K555" s="17">
        <f t="shared" si="51"/>
        <v>0</v>
      </c>
      <c r="U555" s="17">
        <f t="shared" si="52"/>
        <v>0</v>
      </c>
      <c r="AA555" s="17">
        <f t="shared" si="50"/>
        <v>0</v>
      </c>
      <c r="AC555" s="33">
        <f t="shared" si="49"/>
        <v>0</v>
      </c>
    </row>
    <row r="556" spans="1:29">
      <c r="A556" s="34"/>
      <c r="B556" s="34"/>
      <c r="C556" s="34"/>
      <c r="D556" s="34"/>
      <c r="K556" s="17">
        <f t="shared" si="51"/>
        <v>0</v>
      </c>
      <c r="U556" s="17">
        <f t="shared" si="52"/>
        <v>0</v>
      </c>
      <c r="AA556" s="17">
        <f t="shared" si="50"/>
        <v>0</v>
      </c>
      <c r="AC556" s="33">
        <f t="shared" si="49"/>
        <v>0</v>
      </c>
    </row>
    <row r="557" spans="1:29">
      <c r="A557" s="30"/>
      <c r="B557" s="30"/>
      <c r="C557" s="30"/>
      <c r="D557" s="30"/>
      <c r="K557" s="17">
        <f t="shared" si="51"/>
        <v>0</v>
      </c>
      <c r="U557" s="17">
        <f t="shared" si="52"/>
        <v>0</v>
      </c>
      <c r="AA557" s="17">
        <f>+I557-Q557-Y557</f>
        <v>0</v>
      </c>
      <c r="AC557" s="17">
        <f t="shared" si="49"/>
        <v>0</v>
      </c>
    </row>
    <row r="558" spans="1:29">
      <c r="A558" s="34"/>
      <c r="B558" s="34"/>
      <c r="C558" s="34"/>
      <c r="D558" s="34"/>
      <c r="K558" s="17">
        <f t="shared" si="51"/>
        <v>0</v>
      </c>
      <c r="U558" s="17">
        <f t="shared" si="52"/>
        <v>0</v>
      </c>
      <c r="AA558" s="17">
        <f>+I558-Q558-Y558</f>
        <v>0</v>
      </c>
      <c r="AC558" s="33">
        <f t="shared" si="49"/>
        <v>0</v>
      </c>
    </row>
    <row r="559" spans="1:29">
      <c r="A559" s="34"/>
      <c r="B559" s="34"/>
      <c r="C559" s="34"/>
      <c r="D559" s="34"/>
      <c r="K559" s="17">
        <f t="shared" si="51"/>
        <v>0</v>
      </c>
      <c r="U559" s="17">
        <f t="shared" si="52"/>
        <v>0</v>
      </c>
      <c r="AA559" s="17">
        <f t="shared" si="50"/>
        <v>0</v>
      </c>
      <c r="AC559" s="33">
        <f t="shared" si="49"/>
        <v>0</v>
      </c>
    </row>
    <row r="560" spans="1:29">
      <c r="A560" s="34"/>
      <c r="B560" s="34"/>
      <c r="C560" s="34"/>
      <c r="D560" s="34"/>
      <c r="K560" s="17">
        <f t="shared" si="51"/>
        <v>0</v>
      </c>
      <c r="U560" s="17">
        <f t="shared" si="52"/>
        <v>0</v>
      </c>
      <c r="AA560" s="17">
        <f t="shared" si="50"/>
        <v>0</v>
      </c>
      <c r="AC560" s="33">
        <f t="shared" si="49"/>
        <v>0</v>
      </c>
    </row>
    <row r="561" spans="1:29">
      <c r="A561" s="34"/>
      <c r="B561" s="34"/>
      <c r="C561" s="34"/>
      <c r="D561" s="34"/>
      <c r="K561" s="17">
        <f t="shared" si="51"/>
        <v>0</v>
      </c>
      <c r="U561" s="17">
        <f t="shared" si="52"/>
        <v>0</v>
      </c>
      <c r="AA561" s="17">
        <f t="shared" si="50"/>
        <v>0</v>
      </c>
      <c r="AC561" s="33">
        <f t="shared" si="49"/>
        <v>0</v>
      </c>
    </row>
    <row r="562" spans="1:29">
      <c r="A562" s="34"/>
      <c r="B562" s="34"/>
      <c r="C562" s="34"/>
      <c r="D562" s="34"/>
      <c r="K562" s="17">
        <f t="shared" si="51"/>
        <v>0</v>
      </c>
      <c r="U562" s="17">
        <f t="shared" si="52"/>
        <v>0</v>
      </c>
      <c r="AA562" s="17">
        <f t="shared" si="50"/>
        <v>0</v>
      </c>
      <c r="AC562" s="33">
        <f t="shared" si="49"/>
        <v>0</v>
      </c>
    </row>
    <row r="563" spans="1:29">
      <c r="A563" s="34"/>
      <c r="B563" s="34"/>
      <c r="C563" s="34"/>
      <c r="D563" s="34"/>
      <c r="K563" s="17">
        <f t="shared" si="51"/>
        <v>0</v>
      </c>
      <c r="U563" s="17">
        <f t="shared" si="52"/>
        <v>0</v>
      </c>
      <c r="AA563" s="17">
        <f t="shared" si="50"/>
        <v>0</v>
      </c>
      <c r="AC563" s="33">
        <f t="shared" si="49"/>
        <v>0</v>
      </c>
    </row>
    <row r="564" spans="1:29">
      <c r="A564" s="34"/>
      <c r="B564" s="34"/>
      <c r="C564" s="34"/>
      <c r="D564" s="34"/>
      <c r="K564" s="17">
        <f t="shared" si="51"/>
        <v>0</v>
      </c>
      <c r="U564" s="17">
        <f t="shared" si="52"/>
        <v>0</v>
      </c>
      <c r="AA564" s="17">
        <f t="shared" si="50"/>
        <v>0</v>
      </c>
      <c r="AC564" s="33">
        <f t="shared" si="49"/>
        <v>0</v>
      </c>
    </row>
    <row r="565" spans="1:29">
      <c r="A565" s="34"/>
      <c r="B565" s="34"/>
      <c r="C565" s="34"/>
      <c r="D565" s="34"/>
      <c r="K565" s="17">
        <f t="shared" si="51"/>
        <v>0</v>
      </c>
      <c r="U565" s="17">
        <f t="shared" si="52"/>
        <v>0</v>
      </c>
      <c r="AA565" s="17">
        <f t="shared" si="50"/>
        <v>0</v>
      </c>
      <c r="AC565" s="33">
        <f t="shared" si="49"/>
        <v>0</v>
      </c>
    </row>
    <row r="566" spans="1:29">
      <c r="A566" s="34"/>
      <c r="B566" s="34"/>
      <c r="C566" s="34"/>
      <c r="D566" s="34"/>
      <c r="K566" s="17">
        <f t="shared" si="51"/>
        <v>0</v>
      </c>
      <c r="U566" s="17">
        <f t="shared" si="52"/>
        <v>0</v>
      </c>
      <c r="AA566" s="17">
        <f t="shared" si="50"/>
        <v>0</v>
      </c>
      <c r="AC566" s="33">
        <f t="shared" si="49"/>
        <v>0</v>
      </c>
    </row>
    <row r="567" spans="1:29">
      <c r="A567" s="34"/>
      <c r="B567" s="34"/>
      <c r="C567" s="34"/>
      <c r="D567" s="34"/>
      <c r="K567" s="17">
        <f t="shared" si="51"/>
        <v>0</v>
      </c>
      <c r="U567" s="17">
        <f t="shared" si="52"/>
        <v>0</v>
      </c>
      <c r="AA567" s="17">
        <f t="shared" si="50"/>
        <v>0</v>
      </c>
      <c r="AC567" s="33">
        <f t="shared" si="49"/>
        <v>0</v>
      </c>
    </row>
    <row r="568" spans="1:29">
      <c r="A568" s="34"/>
      <c r="B568" s="34"/>
      <c r="C568" s="34"/>
      <c r="D568" s="34"/>
      <c r="K568" s="17">
        <f t="shared" si="51"/>
        <v>0</v>
      </c>
      <c r="U568" s="17">
        <f t="shared" si="52"/>
        <v>0</v>
      </c>
      <c r="AA568" s="17">
        <f t="shared" si="50"/>
        <v>0</v>
      </c>
      <c r="AC568" s="33">
        <f t="shared" si="49"/>
        <v>0</v>
      </c>
    </row>
    <row r="569" spans="1:29">
      <c r="A569" s="34"/>
      <c r="B569" s="34"/>
      <c r="C569" s="34"/>
      <c r="D569" s="34"/>
      <c r="K569" s="17">
        <f t="shared" si="51"/>
        <v>0</v>
      </c>
      <c r="U569" s="17">
        <f t="shared" si="52"/>
        <v>0</v>
      </c>
      <c r="AA569" s="17">
        <f t="shared" si="50"/>
        <v>0</v>
      </c>
      <c r="AC569" s="33">
        <f t="shared" si="49"/>
        <v>0</v>
      </c>
    </row>
    <row r="570" spans="1:29">
      <c r="A570" s="34"/>
      <c r="B570" s="34"/>
      <c r="C570" s="34"/>
      <c r="D570" s="34"/>
      <c r="K570" s="17">
        <f t="shared" si="51"/>
        <v>0</v>
      </c>
      <c r="U570" s="17">
        <f t="shared" si="52"/>
        <v>0</v>
      </c>
      <c r="AA570" s="17">
        <f t="shared" si="50"/>
        <v>0</v>
      </c>
      <c r="AC570" s="33">
        <f t="shared" si="49"/>
        <v>0</v>
      </c>
    </row>
    <row r="571" spans="1:29">
      <c r="A571" s="34"/>
      <c r="B571" s="34"/>
      <c r="C571" s="34"/>
      <c r="D571" s="34"/>
      <c r="K571" s="17">
        <f t="shared" si="51"/>
        <v>0</v>
      </c>
      <c r="U571" s="17">
        <f t="shared" si="52"/>
        <v>0</v>
      </c>
      <c r="AA571" s="17">
        <f t="shared" si="50"/>
        <v>0</v>
      </c>
      <c r="AC571" s="33">
        <f t="shared" si="49"/>
        <v>0</v>
      </c>
    </row>
    <row r="572" spans="1:29">
      <c r="A572" s="34"/>
      <c r="B572" s="34"/>
      <c r="C572" s="34"/>
      <c r="D572" s="34"/>
      <c r="K572" s="17">
        <f t="shared" si="51"/>
        <v>0</v>
      </c>
      <c r="U572" s="17">
        <f t="shared" si="52"/>
        <v>0</v>
      </c>
      <c r="AA572" s="17">
        <f t="shared" si="50"/>
        <v>0</v>
      </c>
      <c r="AC572" s="33">
        <f t="shared" si="49"/>
        <v>0</v>
      </c>
    </row>
    <row r="573" spans="1:29">
      <c r="A573" s="34"/>
      <c r="B573" s="34"/>
      <c r="C573" s="34"/>
      <c r="D573" s="34"/>
      <c r="K573" s="17">
        <f t="shared" si="51"/>
        <v>0</v>
      </c>
      <c r="U573" s="17">
        <f t="shared" si="52"/>
        <v>0</v>
      </c>
      <c r="AA573" s="17">
        <f t="shared" si="50"/>
        <v>0</v>
      </c>
      <c r="AC573" s="33">
        <f t="shared" si="49"/>
        <v>0</v>
      </c>
    </row>
    <row r="574" spans="1:29">
      <c r="A574" s="34"/>
      <c r="B574" s="34"/>
      <c r="C574" s="34"/>
      <c r="D574" s="34"/>
      <c r="K574" s="17">
        <f t="shared" si="51"/>
        <v>0</v>
      </c>
      <c r="U574" s="17">
        <f t="shared" si="52"/>
        <v>0</v>
      </c>
      <c r="AA574" s="17">
        <f t="shared" si="50"/>
        <v>0</v>
      </c>
      <c r="AC574" s="33">
        <f>+E574+G574+-K574-M574-S574-U574-W574-O574</f>
        <v>0</v>
      </c>
    </row>
    <row r="575" spans="1:29">
      <c r="A575" s="34"/>
      <c r="B575" s="34"/>
      <c r="C575" s="34"/>
      <c r="D575" s="34"/>
      <c r="K575" s="17">
        <f t="shared" si="51"/>
        <v>0</v>
      </c>
      <c r="U575" s="17">
        <f t="shared" si="52"/>
        <v>0</v>
      </c>
      <c r="AA575" s="17">
        <f t="shared" si="50"/>
        <v>0</v>
      </c>
      <c r="AC575" s="33">
        <f>+E575+G575+-K575-M575-S575-U575-W575-O575</f>
        <v>0</v>
      </c>
    </row>
    <row r="576" spans="1:29">
      <c r="A576" s="34"/>
      <c r="B576" s="34"/>
      <c r="C576" s="34"/>
      <c r="D576" s="34"/>
      <c r="K576" s="17">
        <f t="shared" si="51"/>
        <v>0</v>
      </c>
      <c r="U576" s="17">
        <f t="shared" si="52"/>
        <v>0</v>
      </c>
      <c r="AA576" s="17">
        <f t="shared" si="50"/>
        <v>0</v>
      </c>
      <c r="AC576" s="33">
        <f>+E576+G576+-K576-M576-S576-U576-W576-O576</f>
        <v>0</v>
      </c>
    </row>
    <row r="578" spans="1:9">
      <c r="A578" s="17" t="s">
        <v>545</v>
      </c>
    </row>
    <row r="579" spans="1:9">
      <c r="A579" s="79" t="s">
        <v>546</v>
      </c>
      <c r="B579" s="79"/>
      <c r="C579" s="79"/>
      <c r="D579" s="79"/>
      <c r="E579" s="79"/>
      <c r="F579" s="79"/>
      <c r="G579" s="79"/>
      <c r="H579" s="79"/>
      <c r="I579" s="79"/>
    </row>
  </sheetData>
  <mergeCells count="5">
    <mergeCell ref="A1:G1"/>
    <mergeCell ref="E7:H7"/>
    <mergeCell ref="K7:M7"/>
    <mergeCell ref="S7:W7"/>
    <mergeCell ref="A579:I57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Stm. of Activities</vt:lpstr>
      <vt:lpstr>Gen Rev</vt:lpstr>
      <vt:lpstr>Gen Exp</vt:lpstr>
      <vt:lpstr>Gov Rev</vt:lpstr>
      <vt:lpstr>Gov Exp</vt:lpstr>
      <vt:lpstr>Stm. of Net Assets</vt:lpstr>
      <vt:lpstr>'Gen Exp'!Print_Area</vt:lpstr>
      <vt:lpstr>'Gen Rev'!Print_Area</vt:lpstr>
      <vt:lpstr>'Gov Exp'!Print_Area</vt:lpstr>
      <vt:lpstr>'Gov Rev'!Print_Area</vt:lpstr>
      <vt:lpstr>'Stm. of Activities'!Print_Area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O. Myser</dc:creator>
  <cp:lastModifiedBy>Robert A. Burlenski</cp:lastModifiedBy>
  <cp:lastPrinted>2012-03-07T19:33:32Z</cp:lastPrinted>
  <dcterms:created xsi:type="dcterms:W3CDTF">2007-01-22T17:20:47Z</dcterms:created>
  <dcterms:modified xsi:type="dcterms:W3CDTF">2012-03-07T19:39:27Z</dcterms:modified>
</cp:coreProperties>
</file>