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00" yWindow="-15" windowWidth="10545" windowHeight="12120" tabRatio="604"/>
  </bookViews>
  <sheets>
    <sheet name="Stm. of Activities" sheetId="5" r:id="rId1"/>
    <sheet name="Gen Rev" sheetId="1" r:id="rId2"/>
    <sheet name="Gen Exp" sheetId="2" r:id="rId3"/>
    <sheet name="Gov Rev" sheetId="4" r:id="rId4"/>
    <sheet name="Gov Exp" sheetId="3" r:id="rId5"/>
  </sheets>
  <definedNames>
    <definedName name="_xlnm.Print_Area" localSheetId="2">'Gen Exp'!$B$1:$AF$304</definedName>
    <definedName name="_xlnm.Print_Area" localSheetId="1">'Gen Rev'!$B$1:$AH$307</definedName>
    <definedName name="_xlnm.Print_Area" localSheetId="4">'Gov Exp'!$B$1:$AF$307</definedName>
    <definedName name="_xlnm.Print_Area" localSheetId="3">'Gov Rev'!$B$1:$AH$309</definedName>
    <definedName name="_xlnm.Print_Area" localSheetId="0">'Stm. of Activities'!$A$1:$AK$121</definedName>
  </definedNames>
  <calcPr calcId="125725"/>
</workbook>
</file>

<file path=xl/calcChain.xml><?xml version="1.0" encoding="utf-8"?>
<calcChain xmlns="http://schemas.openxmlformats.org/spreadsheetml/2006/main">
  <c r="AF94" i="3"/>
  <c r="AH96" i="4"/>
  <c r="AF95" i="2"/>
  <c r="AI36" i="5"/>
  <c r="AE36"/>
  <c r="M36"/>
  <c r="R60" i="3"/>
  <c r="R59" i="2"/>
  <c r="AF59" s="1"/>
  <c r="AF60" i="3"/>
  <c r="AH61" i="4"/>
  <c r="AH60" i="1"/>
  <c r="AE31" i="5"/>
  <c r="M31"/>
  <c r="AG31" s="1"/>
  <c r="AK31" s="1"/>
  <c r="AF104" i="3"/>
  <c r="AH106" i="4"/>
  <c r="AF103" i="2"/>
  <c r="L96"/>
  <c r="F96"/>
  <c r="AF148" i="4"/>
  <c r="AH69"/>
  <c r="AF20" i="2"/>
  <c r="AF19"/>
  <c r="AH113" i="1"/>
  <c r="AH104"/>
  <c r="AD148"/>
  <c r="AH43"/>
  <c r="AC74" i="5"/>
  <c r="L278" i="3"/>
  <c r="F278"/>
  <c r="L275" i="2"/>
  <c r="F275"/>
  <c r="O76" i="5"/>
  <c r="T192" i="3"/>
  <c r="W28" i="5"/>
  <c r="AF96" i="2" l="1"/>
  <c r="AG36" i="5"/>
  <c r="AK36" s="1"/>
  <c r="L305" i="3"/>
  <c r="F305"/>
  <c r="L302" i="2"/>
  <c r="F302"/>
  <c r="Q116" i="5"/>
  <c r="T301" i="4"/>
  <c r="L291" i="3"/>
  <c r="F291"/>
  <c r="L288" i="2"/>
  <c r="F288"/>
  <c r="Q113" i="5"/>
  <c r="O113"/>
  <c r="X291" i="4"/>
  <c r="V289" i="1"/>
  <c r="L288" i="3"/>
  <c r="L285" i="2"/>
  <c r="Q112" i="5"/>
  <c r="AF286" i="3"/>
  <c r="AH288" i="4"/>
  <c r="AF283" i="2"/>
  <c r="AH286" i="1"/>
  <c r="T284" i="3"/>
  <c r="AF284" s="1"/>
  <c r="AH286" i="4"/>
  <c r="AF281" i="2"/>
  <c r="AH284" i="1"/>
  <c r="F282" i="3"/>
  <c r="F279" i="2"/>
  <c r="F281" i="3"/>
  <c r="L281"/>
  <c r="F278" i="2"/>
  <c r="L278"/>
  <c r="O110" i="5"/>
  <c r="L279" i="3"/>
  <c r="L276" i="2"/>
  <c r="F271" i="3"/>
  <c r="F268" i="2"/>
  <c r="L269" i="3"/>
  <c r="F269"/>
  <c r="L266" i="2"/>
  <c r="F266"/>
  <c r="Q104" i="5"/>
  <c r="X262" i="4"/>
  <c r="R252" i="2"/>
  <c r="P255" i="3"/>
  <c r="R255"/>
  <c r="L255"/>
  <c r="J255"/>
  <c r="H255"/>
  <c r="X257" i="4"/>
  <c r="P252" i="2"/>
  <c r="H252"/>
  <c r="V255" i="1"/>
  <c r="AF237" i="2"/>
  <c r="L234" i="3"/>
  <c r="F234"/>
  <c r="AH236" i="4"/>
  <c r="L232" i="2"/>
  <c r="F232"/>
  <c r="AF232" s="1"/>
  <c r="AH235" i="1"/>
  <c r="AH237" i="4"/>
  <c r="AE81" i="5"/>
  <c r="AG81"/>
  <c r="AK81" s="1"/>
  <c r="M81"/>
  <c r="AH235" i="4"/>
  <c r="J230" i="3"/>
  <c r="AF230" s="1"/>
  <c r="V232" i="4"/>
  <c r="AH232" s="1"/>
  <c r="AF228" i="2"/>
  <c r="AH231" i="1"/>
  <c r="F216" i="3"/>
  <c r="L216"/>
  <c r="L214" i="2"/>
  <c r="F214"/>
  <c r="W76" i="5"/>
  <c r="R210" i="3"/>
  <c r="L210"/>
  <c r="J210"/>
  <c r="H210"/>
  <c r="AF210" s="1"/>
  <c r="H212" i="4"/>
  <c r="AH212" s="1"/>
  <c r="H208" i="2"/>
  <c r="R208"/>
  <c r="L208"/>
  <c r="J208"/>
  <c r="AH211" i="1"/>
  <c r="H211"/>
  <c r="L209" i="3"/>
  <c r="F209"/>
  <c r="L207" i="2"/>
  <c r="F207"/>
  <c r="T198" i="3"/>
  <c r="L198"/>
  <c r="J198"/>
  <c r="V200" i="4"/>
  <c r="T200"/>
  <c r="L197" i="3"/>
  <c r="L195" i="2"/>
  <c r="AG73" i="5"/>
  <c r="W73"/>
  <c r="Q72"/>
  <c r="R194" i="3"/>
  <c r="L192"/>
  <c r="X194" i="4"/>
  <c r="L185" i="3"/>
  <c r="F185"/>
  <c r="L183" i="2"/>
  <c r="F183"/>
  <c r="S69" i="5"/>
  <c r="H181" i="4"/>
  <c r="AF234" i="3" l="1"/>
  <c r="H160" i="4"/>
  <c r="T156"/>
  <c r="R157" i="1"/>
  <c r="Q61" i="5"/>
  <c r="S61"/>
  <c r="F144" i="3"/>
  <c r="L144"/>
  <c r="L143" i="2"/>
  <c r="F143"/>
  <c r="L143" i="3"/>
  <c r="F143"/>
  <c r="L142" i="2"/>
  <c r="F142"/>
  <c r="L117" i="3"/>
  <c r="F117"/>
  <c r="X119" i="4"/>
  <c r="L116" i="2"/>
  <c r="F116"/>
  <c r="V118" i="1"/>
  <c r="H117" i="4"/>
  <c r="H116" i="1"/>
  <c r="L106" i="3"/>
  <c r="T108" i="4"/>
  <c r="S45" i="5"/>
  <c r="H101" i="4"/>
  <c r="H99" i="1"/>
  <c r="Q44" i="5"/>
  <c r="F97" i="3"/>
  <c r="L97"/>
  <c r="F99" i="4"/>
  <c r="F97" i="1"/>
  <c r="O43" i="5"/>
  <c r="H78" i="4"/>
  <c r="F78"/>
  <c r="F77" i="1"/>
  <c r="H77"/>
  <c r="L76" i="3"/>
  <c r="F76"/>
  <c r="L75" i="2"/>
  <c r="F75"/>
  <c r="AF75" i="3"/>
  <c r="AH76" i="4"/>
  <c r="AF74" i="2"/>
  <c r="AH75" i="1"/>
  <c r="F74" i="3"/>
  <c r="X75" i="4"/>
  <c r="F73" i="2"/>
  <c r="V74" i="1" l="1"/>
  <c r="F63" i="3" l="1"/>
  <c r="L63"/>
  <c r="L62" i="2"/>
  <c r="F62"/>
  <c r="H41" i="3" l="1"/>
  <c r="F41"/>
  <c r="F40" i="2"/>
  <c r="H40"/>
  <c r="F37" i="1" l="1"/>
  <c r="F29" i="3"/>
  <c r="F28" i="2"/>
  <c r="Q18" i="5"/>
  <c r="W15"/>
  <c r="O15"/>
  <c r="M113"/>
  <c r="M112"/>
  <c r="M110"/>
  <c r="M27"/>
  <c r="M111"/>
  <c r="M105"/>
  <c r="M15"/>
  <c r="M104"/>
  <c r="M75"/>
  <c r="M79"/>
  <c r="M73"/>
  <c r="M40"/>
  <c r="M109"/>
  <c r="M107"/>
  <c r="M43"/>
  <c r="M60"/>
  <c r="M108"/>
  <c r="M61"/>
  <c r="M21"/>
  <c r="M116"/>
  <c r="M68"/>
  <c r="M72"/>
  <c r="M25"/>
  <c r="M45"/>
  <c r="M106"/>
  <c r="M50"/>
  <c r="M118"/>
  <c r="M28"/>
  <c r="M41"/>
  <c r="M87"/>
  <c r="M56"/>
  <c r="M44"/>
  <c r="M39"/>
  <c r="M34"/>
  <c r="M33"/>
  <c r="M26"/>
  <c r="M32"/>
  <c r="M69"/>
  <c r="M57"/>
  <c r="M23"/>
  <c r="M13"/>
  <c r="M18"/>
  <c r="M123"/>
  <c r="M86"/>
  <c r="M35"/>
  <c r="M54"/>
  <c r="M51"/>
  <c r="M17"/>
  <c r="M16"/>
  <c r="M115"/>
  <c r="M52"/>
  <c r="M82"/>
  <c r="M83"/>
  <c r="M84"/>
  <c r="M37"/>
  <c r="M42"/>
  <c r="M38"/>
  <c r="M59"/>
  <c r="M117"/>
  <c r="M88"/>
  <c r="M29"/>
  <c r="M103"/>
  <c r="M63"/>
  <c r="M24"/>
  <c r="M89"/>
  <c r="M20"/>
  <c r="M85"/>
  <c r="M49"/>
  <c r="M19"/>
  <c r="AE114"/>
  <c r="AE48"/>
  <c r="AE85"/>
  <c r="AE49"/>
  <c r="AF8" i="3"/>
  <c r="AH9" i="4"/>
  <c r="AH8" i="1"/>
  <c r="AF236" i="3"/>
  <c r="AH238" i="4"/>
  <c r="AF234" i="2"/>
  <c r="AH175" i="1"/>
  <c r="AH263"/>
  <c r="AH219"/>
  <c r="AH185"/>
  <c r="AH83"/>
  <c r="AH59"/>
  <c r="AH96"/>
  <c r="AH28"/>
  <c r="AH285"/>
  <c r="AH190"/>
  <c r="AH296"/>
  <c r="AH292"/>
  <c r="AH293"/>
  <c r="AH221"/>
  <c r="AH209"/>
  <c r="AH177"/>
  <c r="AH174"/>
  <c r="AH147"/>
  <c r="AH107"/>
  <c r="AH206"/>
  <c r="AH62"/>
  <c r="AH143"/>
  <c r="AH131"/>
  <c r="AH112"/>
  <c r="AH47"/>
  <c r="AH222"/>
  <c r="AH33"/>
  <c r="AH189"/>
  <c r="AH178"/>
  <c r="AH158"/>
  <c r="AH53"/>
  <c r="AH277"/>
  <c r="AH42"/>
  <c r="AH66"/>
  <c r="AH173"/>
  <c r="AH237"/>
  <c r="AH161"/>
  <c r="AH238"/>
  <c r="AH141"/>
  <c r="AH223"/>
  <c r="AH205"/>
  <c r="AH52"/>
  <c r="AH262"/>
  <c r="AH139"/>
  <c r="AH306"/>
  <c r="AH111"/>
  <c r="AH191"/>
  <c r="AH188"/>
  <c r="AH137"/>
  <c r="AH228"/>
  <c r="AH45"/>
  <c r="AH253"/>
  <c r="AH67"/>
  <c r="AH183"/>
  <c r="AH135"/>
  <c r="AH229"/>
  <c r="AH196"/>
  <c r="AH216"/>
  <c r="AH126"/>
  <c r="AH114"/>
  <c r="AH24"/>
  <c r="AH218"/>
  <c r="AH130"/>
  <c r="AH22"/>
  <c r="AH297"/>
  <c r="AH225"/>
  <c r="AH144"/>
  <c r="AH273"/>
  <c r="AH138"/>
  <c r="AH213"/>
  <c r="AH129"/>
  <c r="AH127"/>
  <c r="AH150"/>
  <c r="AH236"/>
  <c r="AH44"/>
  <c r="AH250"/>
  <c r="AH105"/>
  <c r="AH23"/>
  <c r="AH19"/>
  <c r="AH179"/>
  <c r="AH103"/>
  <c r="AH51"/>
  <c r="AH290"/>
  <c r="AH272"/>
  <c r="AH208"/>
  <c r="AH100"/>
  <c r="AH80"/>
  <c r="AH227"/>
  <c r="AH251"/>
  <c r="AH187"/>
  <c r="AH304"/>
  <c r="AH70"/>
  <c r="AH303"/>
  <c r="AH204"/>
  <c r="AH119"/>
  <c r="AH27"/>
  <c r="AH85"/>
  <c r="AH108"/>
  <c r="AH73"/>
  <c r="AH294"/>
  <c r="AH149"/>
  <c r="AH148"/>
  <c r="AH68"/>
  <c r="AH301"/>
  <c r="AH257"/>
  <c r="AH202"/>
  <c r="AH258"/>
  <c r="AH181"/>
  <c r="AH56"/>
  <c r="AH48"/>
  <c r="AH267"/>
  <c r="AH163"/>
  <c r="AH35"/>
  <c r="AH268"/>
  <c r="AH31"/>
  <c r="AH200"/>
  <c r="AH252"/>
  <c r="AH142"/>
  <c r="AH124"/>
  <c r="AH121"/>
  <c r="AH115"/>
  <c r="AH30"/>
  <c r="AH79"/>
  <c r="AF46" i="3"/>
  <c r="AH47" i="4"/>
  <c r="AF45" i="2"/>
  <c r="AH46" i="1"/>
  <c r="AE87" i="5"/>
  <c r="AH277" i="4"/>
  <c r="AE106" i="5"/>
  <c r="AH275" i="1"/>
  <c r="AF225" i="3"/>
  <c r="AH227" i="4"/>
  <c r="AF294" i="2"/>
  <c r="AF148"/>
  <c r="AF101" i="3"/>
  <c r="AH103" i="4"/>
  <c r="AF100" i="2"/>
  <c r="AH101" i="1"/>
  <c r="AF115" i="3"/>
  <c r="AH117" i="4"/>
  <c r="AF114" i="2"/>
  <c r="AH295" i="1"/>
  <c r="AF149" i="3"/>
  <c r="AH151" i="4"/>
  <c r="AH151" i="1"/>
  <c r="AE57" i="5"/>
  <c r="AH56" i="4"/>
  <c r="AE26" i="5"/>
  <c r="M76"/>
  <c r="AF153" i="2"/>
  <c r="AH156" i="1"/>
  <c r="M80" i="5" l="1"/>
  <c r="M71"/>
  <c r="M47"/>
  <c r="M119"/>
  <c r="M55"/>
  <c r="M78"/>
  <c r="M64"/>
  <c r="M62"/>
  <c r="M67"/>
  <c r="M70"/>
  <c r="M22"/>
  <c r="M77"/>
  <c r="M48"/>
  <c r="M53"/>
  <c r="M46"/>
  <c r="M58"/>
  <c r="M65"/>
  <c r="M66"/>
  <c r="M74"/>
  <c r="M114"/>
  <c r="M30"/>
  <c r="M14"/>
  <c r="AG114"/>
  <c r="AK114" s="1"/>
  <c r="AG48"/>
  <c r="AK48" s="1"/>
  <c r="AG49"/>
  <c r="AK49" s="1"/>
  <c r="AG85"/>
  <c r="AK85" s="1"/>
  <c r="AE76"/>
  <c r="AG76" s="1"/>
  <c r="AK76" s="1"/>
  <c r="AG87"/>
  <c r="AK87" s="1"/>
  <c r="AF275" i="3"/>
  <c r="AF272" i="2"/>
  <c r="AE61" i="5"/>
  <c r="AG106"/>
  <c r="AK106" s="1"/>
  <c r="AG61"/>
  <c r="AK61" s="1"/>
  <c r="AG26"/>
  <c r="AK26" s="1"/>
  <c r="AE13"/>
  <c r="AG13" s="1"/>
  <c r="AK13" s="1"/>
  <c r="AG57"/>
  <c r="AK57" s="1"/>
  <c r="AF183" i="3"/>
  <c r="AH185" i="4"/>
  <c r="AF181" i="2"/>
  <c r="AH184" i="1"/>
  <c r="AE68" i="5"/>
  <c r="AE72"/>
  <c r="AE73"/>
  <c r="AE40"/>
  <c r="AE39"/>
  <c r="AE34"/>
  <c r="AE118"/>
  <c r="AE117"/>
  <c r="AE116"/>
  <c r="AE115"/>
  <c r="AE112"/>
  <c r="AE111"/>
  <c r="AE110"/>
  <c r="AE109"/>
  <c r="AE107"/>
  <c r="AE105"/>
  <c r="AE104"/>
  <c r="AE103"/>
  <c r="AE89"/>
  <c r="AE88"/>
  <c r="AE86"/>
  <c r="AE123"/>
  <c r="AE84"/>
  <c r="AE83"/>
  <c r="AE82"/>
  <c r="AE79"/>
  <c r="AE78"/>
  <c r="AG78" s="1"/>
  <c r="AE75"/>
  <c r="AG75" s="1"/>
  <c r="AE74"/>
  <c r="AE71"/>
  <c r="AE70"/>
  <c r="AE69"/>
  <c r="AG69" s="1"/>
  <c r="AE67"/>
  <c r="AG67" s="1"/>
  <c r="AE66"/>
  <c r="AE65"/>
  <c r="AE63"/>
  <c r="AG63" s="1"/>
  <c r="AE62"/>
  <c r="AG62" s="1"/>
  <c r="AE60"/>
  <c r="AE59"/>
  <c r="AG59" s="1"/>
  <c r="AE58"/>
  <c r="AE56"/>
  <c r="AE55"/>
  <c r="AG55" s="1"/>
  <c r="AE54"/>
  <c r="AE119"/>
  <c r="AE53"/>
  <c r="AG53" s="1"/>
  <c r="AE52"/>
  <c r="AE51"/>
  <c r="AE50"/>
  <c r="AG50" s="1"/>
  <c r="AE47"/>
  <c r="AE77"/>
  <c r="AE64"/>
  <c r="AE46"/>
  <c r="AE80"/>
  <c r="AE44"/>
  <c r="AE43"/>
  <c r="AE42"/>
  <c r="AE41"/>
  <c r="AE35"/>
  <c r="AE33"/>
  <c r="AE30"/>
  <c r="AE29"/>
  <c r="AE28"/>
  <c r="AG28" s="1"/>
  <c r="AE27"/>
  <c r="AE25"/>
  <c r="AE24"/>
  <c r="AE38"/>
  <c r="AE37"/>
  <c r="AE23"/>
  <c r="AE22"/>
  <c r="AE21"/>
  <c r="AE20"/>
  <c r="AE19"/>
  <c r="AE16"/>
  <c r="AE17"/>
  <c r="AG17" s="1"/>
  <c r="AK17" s="1"/>
  <c r="AE12"/>
  <c r="AG12" s="1"/>
  <c r="AK12" s="1"/>
  <c r="AE14"/>
  <c r="AH21" i="1"/>
  <c r="AE15" i="5"/>
  <c r="AG15" s="1"/>
  <c r="AE18"/>
  <c r="AE108"/>
  <c r="AG65" l="1"/>
  <c r="AK65" s="1"/>
  <c r="AG14"/>
  <c r="AK14" s="1"/>
  <c r="AE45"/>
  <c r="AG45" s="1"/>
  <c r="AK45" s="1"/>
  <c r="AG80"/>
  <c r="AK80" s="1"/>
  <c r="AG46"/>
  <c r="AK46" s="1"/>
  <c r="AG119"/>
  <c r="AK119" s="1"/>
  <c r="AG34"/>
  <c r="AK34" s="1"/>
  <c r="AG24"/>
  <c r="AK24" s="1"/>
  <c r="AG37"/>
  <c r="AK37" s="1"/>
  <c r="AG20"/>
  <c r="AK20" s="1"/>
  <c r="AG19"/>
  <c r="AK19" s="1"/>
  <c r="AE113"/>
  <c r="AG113" s="1"/>
  <c r="AK113" s="1"/>
  <c r="AG29"/>
  <c r="AK29" s="1"/>
  <c r="AG21"/>
  <c r="AK21" s="1"/>
  <c r="AG71"/>
  <c r="AK71" s="1"/>
  <c r="AG27"/>
  <c r="AK27" s="1"/>
  <c r="AG22"/>
  <c r="AK22" s="1"/>
  <c r="AE32"/>
  <c r="AG32" s="1"/>
  <c r="AK32" s="1"/>
  <c r="AG108"/>
  <c r="AK108" s="1"/>
  <c r="AG56"/>
  <c r="AK56" s="1"/>
  <c r="AG68"/>
  <c r="AK68" s="1"/>
  <c r="AG43"/>
  <c r="AK43" s="1"/>
  <c r="AG41"/>
  <c r="AK41" s="1"/>
  <c r="AG39"/>
  <c r="AK39" s="1"/>
  <c r="AK15"/>
  <c r="AG18"/>
  <c r="AK18" s="1"/>
  <c r="AG83"/>
  <c r="AK83" s="1"/>
  <c r="AG123"/>
  <c r="AK123" s="1"/>
  <c r="AG88"/>
  <c r="AK88" s="1"/>
  <c r="AG89"/>
  <c r="AK89" s="1"/>
  <c r="AG104"/>
  <c r="AK104" s="1"/>
  <c r="AG107"/>
  <c r="AK107" s="1"/>
  <c r="AG109"/>
  <c r="AK109" s="1"/>
  <c r="AG111"/>
  <c r="AK111" s="1"/>
  <c r="AG116"/>
  <c r="AK116" s="1"/>
  <c r="AG118"/>
  <c r="AK118" s="1"/>
  <c r="AK53"/>
  <c r="AG82"/>
  <c r="AK82" s="1"/>
  <c r="AG84"/>
  <c r="AK84" s="1"/>
  <c r="AG86"/>
  <c r="AK86" s="1"/>
  <c r="AG103"/>
  <c r="AK103" s="1"/>
  <c r="AG105"/>
  <c r="AK105" s="1"/>
  <c r="AG110"/>
  <c r="AK110" s="1"/>
  <c r="AG112"/>
  <c r="AK112" s="1"/>
  <c r="AG115"/>
  <c r="AK115" s="1"/>
  <c r="AG117"/>
  <c r="AK117" s="1"/>
  <c r="AG16"/>
  <c r="AK16" s="1"/>
  <c r="AG23"/>
  <c r="AK23" s="1"/>
  <c r="AG38"/>
  <c r="AK38" s="1"/>
  <c r="AG25"/>
  <c r="AK25" s="1"/>
  <c r="AK28"/>
  <c r="AG30"/>
  <c r="AK30" s="1"/>
  <c r="AG33"/>
  <c r="AK33" s="1"/>
  <c r="AG35"/>
  <c r="AK35" s="1"/>
  <c r="AG40"/>
  <c r="AK40" s="1"/>
  <c r="AG42"/>
  <c r="AK42" s="1"/>
  <c r="AG44"/>
  <c r="AK44" s="1"/>
  <c r="AG64"/>
  <c r="AK64" s="1"/>
  <c r="AG77"/>
  <c r="AK77" s="1"/>
  <c r="AG47"/>
  <c r="AK47" s="1"/>
  <c r="AG51"/>
  <c r="AK51" s="1"/>
  <c r="AG52"/>
  <c r="AK52" s="1"/>
  <c r="AG54"/>
  <c r="AK54" s="1"/>
  <c r="AG58"/>
  <c r="AK58" s="1"/>
  <c r="AG60"/>
  <c r="AK60" s="1"/>
  <c r="AG66"/>
  <c r="AK66" s="1"/>
  <c r="AG70"/>
  <c r="AK70" s="1"/>
  <c r="AG72"/>
  <c r="AK72" s="1"/>
  <c r="AG74"/>
  <c r="AK74" s="1"/>
  <c r="AG79"/>
  <c r="AK79" s="1"/>
  <c r="AK78"/>
  <c r="AK75"/>
  <c r="AK73"/>
  <c r="AK69"/>
  <c r="AK67"/>
  <c r="AK63"/>
  <c r="AK62"/>
  <c r="AK59"/>
  <c r="AK50"/>
  <c r="AK55"/>
  <c r="AF263" i="3"/>
  <c r="AF184"/>
  <c r="AF59"/>
  <c r="AF291"/>
  <c r="AF208"/>
  <c r="AF176"/>
  <c r="AF173"/>
  <c r="AF145"/>
  <c r="AF205"/>
  <c r="AF62"/>
  <c r="AF130"/>
  <c r="AF47"/>
  <c r="AF156"/>
  <c r="AF66"/>
  <c r="AF172"/>
  <c r="AF159"/>
  <c r="AF139"/>
  <c r="AF223"/>
  <c r="AF204"/>
  <c r="AF52"/>
  <c r="AF137"/>
  <c r="AF306"/>
  <c r="AF111"/>
  <c r="AF190"/>
  <c r="AF187"/>
  <c r="AF135"/>
  <c r="AF45"/>
  <c r="AF67"/>
  <c r="AF182"/>
  <c r="AF195"/>
  <c r="AF215"/>
  <c r="AF125"/>
  <c r="AF24"/>
  <c r="AF217"/>
  <c r="AF129"/>
  <c r="AF22"/>
  <c r="AF297"/>
  <c r="AF224"/>
  <c r="AF273"/>
  <c r="AF235"/>
  <c r="AF174"/>
  <c r="AF23"/>
  <c r="AF51"/>
  <c r="AF290"/>
  <c r="AF207"/>
  <c r="AF80"/>
  <c r="AF226"/>
  <c r="AF251"/>
  <c r="AF70"/>
  <c r="AF303"/>
  <c r="AF118"/>
  <c r="AF108"/>
  <c r="AF73"/>
  <c r="AF294"/>
  <c r="AF68"/>
  <c r="AF301"/>
  <c r="AF257"/>
  <c r="AF201"/>
  <c r="AF180"/>
  <c r="AF56"/>
  <c r="AF48"/>
  <c r="AF267"/>
  <c r="AF171"/>
  <c r="AF35"/>
  <c r="AF268"/>
  <c r="AF31"/>
  <c r="AF199"/>
  <c r="AF252"/>
  <c r="AF140"/>
  <c r="AF123"/>
  <c r="AF120"/>
  <c r="AF114"/>
  <c r="AF79"/>
  <c r="AH265" i="4"/>
  <c r="AH220"/>
  <c r="AH186"/>
  <c r="AH84"/>
  <c r="AH60"/>
  <c r="AH191"/>
  <c r="AH210"/>
  <c r="AH178"/>
  <c r="AH175"/>
  <c r="AH147"/>
  <c r="AH63"/>
  <c r="AH132"/>
  <c r="AH34"/>
  <c r="AH190"/>
  <c r="AH179"/>
  <c r="AH158"/>
  <c r="AH161"/>
  <c r="AH141"/>
  <c r="AH224"/>
  <c r="AH206"/>
  <c r="AH53"/>
  <c r="AH139"/>
  <c r="AH308"/>
  <c r="AH113"/>
  <c r="AH192"/>
  <c r="AH189"/>
  <c r="AH137"/>
  <c r="AH255"/>
  <c r="AH68"/>
  <c r="AH184"/>
  <c r="AH230"/>
  <c r="AH217"/>
  <c r="AH127"/>
  <c r="AH25"/>
  <c r="AH219"/>
  <c r="AH131"/>
  <c r="AH23"/>
  <c r="AH299"/>
  <c r="AH226"/>
  <c r="AH275"/>
  <c r="AH138"/>
  <c r="AH128"/>
  <c r="AH252"/>
  <c r="AH107"/>
  <c r="AH52"/>
  <c r="AH292"/>
  <c r="AH209"/>
  <c r="AH81"/>
  <c r="AH228"/>
  <c r="AH253"/>
  <c r="AH306"/>
  <c r="AH305"/>
  <c r="AH120"/>
  <c r="AH110"/>
  <c r="AH74"/>
  <c r="AH296"/>
  <c r="AH148"/>
  <c r="AH303"/>
  <c r="AH259"/>
  <c r="AH203"/>
  <c r="AH260"/>
  <c r="AH182"/>
  <c r="AH57"/>
  <c r="AH49"/>
  <c r="AH269"/>
  <c r="AH173"/>
  <c r="AH36"/>
  <c r="AH270"/>
  <c r="AH32"/>
  <c r="AH201"/>
  <c r="AH254"/>
  <c r="AH142"/>
  <c r="AH125"/>
  <c r="AH122"/>
  <c r="AH116"/>
  <c r="AH31"/>
  <c r="AH80"/>
  <c r="AH44"/>
  <c r="AF182" i="2"/>
  <c r="AF58"/>
  <c r="AF288"/>
  <c r="AF218"/>
  <c r="AF206"/>
  <c r="AF174"/>
  <c r="AF162"/>
  <c r="AF203"/>
  <c r="AF16"/>
  <c r="AF61"/>
  <c r="AF186"/>
  <c r="AF220"/>
  <c r="AF202"/>
  <c r="AF303"/>
  <c r="AF110"/>
  <c r="AF188"/>
  <c r="AF185"/>
  <c r="AF134"/>
  <c r="AF241"/>
  <c r="AF180"/>
  <c r="AF193"/>
  <c r="AF21"/>
  <c r="AF270"/>
  <c r="AF233"/>
  <c r="AF43"/>
  <c r="AF224"/>
  <c r="AF84"/>
  <c r="AF107"/>
  <c r="AF72"/>
  <c r="AF291"/>
  <c r="AF145"/>
  <c r="AF67"/>
  <c r="AF254"/>
  <c r="AF199"/>
  <c r="AF255"/>
  <c r="AF178"/>
  <c r="AF55"/>
  <c r="AF47"/>
  <c r="AF264"/>
  <c r="AF160"/>
  <c r="AF34"/>
  <c r="AF265"/>
  <c r="AF30"/>
  <c r="AF197"/>
  <c r="AF240"/>
  <c r="AF139"/>
  <c r="AF122"/>
  <c r="AF119"/>
  <c r="AF113"/>
  <c r="AF29"/>
  <c r="AH300" i="1"/>
  <c r="AH299"/>
  <c r="AH298"/>
  <c r="AH291"/>
  <c r="AH289"/>
  <c r="AH288"/>
  <c r="AH287"/>
  <c r="AH10"/>
  <c r="AH283"/>
  <c r="AH282"/>
  <c r="AH281"/>
  <c r="AH280"/>
  <c r="AH279"/>
  <c r="AH278"/>
  <c r="AH274"/>
  <c r="AH271"/>
  <c r="AH270"/>
  <c r="AH269"/>
  <c r="AH266"/>
  <c r="AH265"/>
  <c r="AH264"/>
  <c r="AH261"/>
  <c r="AH260"/>
  <c r="AH259"/>
  <c r="AH256"/>
  <c r="AH254"/>
  <c r="AH240"/>
  <c r="AH239"/>
  <c r="AH234"/>
  <c r="AH233"/>
  <c r="AH232"/>
  <c r="AH230"/>
  <c r="AH226"/>
  <c r="AH224"/>
  <c r="AH220"/>
  <c r="AH217"/>
  <c r="AH215"/>
  <c r="AH214"/>
  <c r="AH212"/>
  <c r="AH210"/>
  <c r="AH207"/>
  <c r="AH12"/>
  <c r="AH201"/>
  <c r="AH199"/>
  <c r="AH197"/>
  <c r="AH195"/>
  <c r="AH194"/>
  <c r="AH193"/>
  <c r="AH192"/>
  <c r="AH186"/>
  <c r="AH182"/>
  <c r="AH180"/>
  <c r="AH176"/>
  <c r="AH162"/>
  <c r="AH160"/>
  <c r="AH159"/>
  <c r="AH14"/>
  <c r="AH157"/>
  <c r="AH155"/>
  <c r="AH154"/>
  <c r="AH153"/>
  <c r="AH152"/>
  <c r="AH146"/>
  <c r="AH145"/>
  <c r="AH15"/>
  <c r="AH11"/>
  <c r="AH136"/>
  <c r="AH13"/>
  <c r="AH133"/>
  <c r="AH132"/>
  <c r="AH128"/>
  <c r="AH125"/>
  <c r="AH123"/>
  <c r="AH18"/>
  <c r="AH122"/>
  <c r="AH120"/>
  <c r="AH118"/>
  <c r="AH117"/>
  <c r="AH116"/>
  <c r="AH109"/>
  <c r="AH106"/>
  <c r="AH134"/>
  <c r="AH102"/>
  <c r="AH276"/>
  <c r="AH99"/>
  <c r="AH98"/>
  <c r="AH17"/>
  <c r="AH84"/>
  <c r="AH82"/>
  <c r="AH81"/>
  <c r="AH78"/>
  <c r="AH77"/>
  <c r="AH76"/>
  <c r="AH72"/>
  <c r="AH71"/>
  <c r="AH69"/>
  <c r="AH64"/>
  <c r="AH9"/>
  <c r="AH63"/>
  <c r="AH302"/>
  <c r="AH305"/>
  <c r="AH61"/>
  <c r="AH20"/>
  <c r="AH214" i="4"/>
  <c r="AF297" i="2"/>
  <c r="AF15"/>
  <c r="AH16" i="1"/>
  <c r="AF281" i="3"/>
  <c r="AF278" i="2"/>
  <c r="AH283" i="4"/>
  <c r="AF280" i="3"/>
  <c r="AF277" i="2"/>
  <c r="AH282" i="4"/>
  <c r="AF278" i="3"/>
  <c r="AF275" i="2"/>
  <c r="AF268"/>
  <c r="AF269" i="3"/>
  <c r="AF266" i="2"/>
  <c r="AF265" i="3"/>
  <c r="AF262" i="2"/>
  <c r="AH267" i="4"/>
  <c r="AH266"/>
  <c r="AH262"/>
  <c r="AF255" i="3"/>
  <c r="AF252" i="2"/>
  <c r="AH255" i="1"/>
  <c r="AF229" i="2"/>
  <c r="AH234" i="4"/>
  <c r="AH233"/>
  <c r="AF232" i="3"/>
  <c r="AF231"/>
  <c r="AF16"/>
  <c r="AH218" i="4"/>
  <c r="AH213"/>
  <c r="AF202" i="3"/>
  <c r="AF200" i="2"/>
  <c r="AH203" i="1"/>
  <c r="AF12" i="3"/>
  <c r="AF200"/>
  <c r="AF198" i="2"/>
  <c r="AH202" i="4"/>
  <c r="AF198" i="3"/>
  <c r="AH200" i="4"/>
  <c r="AF197" i="3"/>
  <c r="AF195" i="2"/>
  <c r="AH199" i="4"/>
  <c r="AH198" i="1"/>
  <c r="AF194" i="3"/>
  <c r="AH196" i="4"/>
  <c r="AF192" i="3"/>
  <c r="AH194" i="4"/>
  <c r="AF185" i="3"/>
  <c r="AF183" i="2"/>
  <c r="AF179" i="3"/>
  <c r="AF177" i="2"/>
  <c r="AH181" i="4"/>
  <c r="AF143" i="3"/>
  <c r="AF142" i="2"/>
  <c r="AH145" i="4"/>
  <c r="AF138" i="3"/>
  <c r="AH140" i="4"/>
  <c r="AH140" i="1"/>
  <c r="AH136" i="4"/>
  <c r="AH126"/>
  <c r="AF122" i="3"/>
  <c r="AH123" i="4"/>
  <c r="AF116" i="2"/>
  <c r="AH297" i="4"/>
  <c r="AH112"/>
  <c r="AH110" i="1"/>
  <c r="AH99" i="4"/>
  <c r="AH97" i="1"/>
  <c r="AO108" i="2"/>
  <c r="AF75"/>
  <c r="AH74" i="1"/>
  <c r="AH10" i="4"/>
  <c r="AF9" i="3"/>
  <c r="AF8" i="2"/>
  <c r="AF64"/>
  <c r="AH66" i="4"/>
  <c r="AH65" i="1"/>
  <c r="AF63" i="3"/>
  <c r="AF62" i="2"/>
  <c r="AH64" i="4"/>
  <c r="AF54" i="2"/>
  <c r="AF50" i="3"/>
  <c r="AF49" i="2"/>
  <c r="AF36"/>
  <c r="AF28"/>
  <c r="AH29" i="1"/>
  <c r="AF21" i="3"/>
  <c r="AH71" i="4"/>
  <c r="AF69" i="2"/>
  <c r="AF32"/>
  <c r="AF33" i="3"/>
  <c r="AF196"/>
  <c r="AF193"/>
  <c r="AF191"/>
  <c r="AF18"/>
  <c r="AF189"/>
  <c r="AF188"/>
  <c r="AF186"/>
  <c r="AF181"/>
  <c r="AF178"/>
  <c r="AF177"/>
  <c r="AH198" i="4"/>
  <c r="AH197"/>
  <c r="AH195"/>
  <c r="AH193"/>
  <c r="AH19"/>
  <c r="AH188"/>
  <c r="AH187"/>
  <c r="AH108"/>
  <c r="AH183"/>
  <c r="AH180"/>
  <c r="AF194" i="2"/>
  <c r="AF192"/>
  <c r="AF191"/>
  <c r="AF190"/>
  <c r="AF189"/>
  <c r="AF17"/>
  <c r="AF187"/>
  <c r="AF184"/>
  <c r="AF179"/>
  <c r="AF176"/>
  <c r="AF175"/>
  <c r="AF175" i="3"/>
  <c r="AF170"/>
  <c r="AF158"/>
  <c r="AF157"/>
  <c r="AF155"/>
  <c r="AF154"/>
  <c r="AF153"/>
  <c r="AF152"/>
  <c r="AF151"/>
  <c r="AF150"/>
  <c r="AF148"/>
  <c r="AF147"/>
  <c r="AF146"/>
  <c r="AF144"/>
  <c r="AF142"/>
  <c r="AF141"/>
  <c r="AF136"/>
  <c r="AF134"/>
  <c r="AF133"/>
  <c r="AF132"/>
  <c r="AF131"/>
  <c r="AF128"/>
  <c r="AF127"/>
  <c r="AF126"/>
  <c r="AF124"/>
  <c r="AF121"/>
  <c r="AH177" i="4"/>
  <c r="AH176"/>
  <c r="AH174"/>
  <c r="AH162"/>
  <c r="AH160"/>
  <c r="AH159"/>
  <c r="AH157"/>
  <c r="AH156"/>
  <c r="AH155"/>
  <c r="AH154"/>
  <c r="AH153"/>
  <c r="AH152"/>
  <c r="AH150"/>
  <c r="AH149"/>
  <c r="AH146"/>
  <c r="AH144"/>
  <c r="AH143"/>
  <c r="AH135"/>
  <c r="AH134"/>
  <c r="AH133"/>
  <c r="AH130"/>
  <c r="AH129"/>
  <c r="AH124"/>
  <c r="AF173" i="2"/>
  <c r="AF163"/>
  <c r="AF161"/>
  <c r="AF159"/>
  <c r="AF158"/>
  <c r="AF157"/>
  <c r="AF156"/>
  <c r="AF155"/>
  <c r="AF154"/>
  <c r="AF152"/>
  <c r="AF151"/>
  <c r="AF150"/>
  <c r="AF149"/>
  <c r="AF147"/>
  <c r="AF146"/>
  <c r="AF144"/>
  <c r="AF143"/>
  <c r="AF141"/>
  <c r="AF140"/>
  <c r="AF138"/>
  <c r="AF136"/>
  <c r="AF135"/>
  <c r="AF133"/>
  <c r="AF132"/>
  <c r="AF131"/>
  <c r="AF130"/>
  <c r="AF129"/>
  <c r="AF128"/>
  <c r="AF127"/>
  <c r="AF126"/>
  <c r="AF125"/>
  <c r="AF124"/>
  <c r="AF123"/>
  <c r="AF121"/>
  <c r="AF120"/>
  <c r="AF18"/>
  <c r="AF119" i="3"/>
  <c r="AF117"/>
  <c r="AF116"/>
  <c r="AF113"/>
  <c r="AF17"/>
  <c r="AF112"/>
  <c r="AF110"/>
  <c r="AF109"/>
  <c r="AF107"/>
  <c r="AF106"/>
  <c r="AF105"/>
  <c r="AF227"/>
  <c r="AF103"/>
  <c r="AF102"/>
  <c r="AF276"/>
  <c r="AF100"/>
  <c r="AF99"/>
  <c r="AF98"/>
  <c r="AF97"/>
  <c r="AF96"/>
  <c r="AF84"/>
  <c r="AF83"/>
  <c r="AF82"/>
  <c r="AF81"/>
  <c r="AF78"/>
  <c r="AF77"/>
  <c r="AF76"/>
  <c r="AF74"/>
  <c r="AF72"/>
  <c r="AF71"/>
  <c r="AF69"/>
  <c r="AF65"/>
  <c r="AF64"/>
  <c r="AF61"/>
  <c r="AF58"/>
  <c r="AF57"/>
  <c r="AF55"/>
  <c r="AF54"/>
  <c r="AF53"/>
  <c r="AF49"/>
  <c r="AF44"/>
  <c r="AF43"/>
  <c r="AF42"/>
  <c r="AF41"/>
  <c r="AF40"/>
  <c r="AF39"/>
  <c r="AF38"/>
  <c r="AF37"/>
  <c r="AF36"/>
  <c r="AF34"/>
  <c r="AF32"/>
  <c r="AF30"/>
  <c r="AF29"/>
  <c r="AF28"/>
  <c r="AF27"/>
  <c r="AF26"/>
  <c r="AF25"/>
  <c r="AF20"/>
  <c r="AF19"/>
  <c r="AH121" i="4"/>
  <c r="AH119"/>
  <c r="AH118"/>
  <c r="AH115"/>
  <c r="AH18"/>
  <c r="AH114"/>
  <c r="AH111"/>
  <c r="AH109"/>
  <c r="AH229"/>
  <c r="AH105"/>
  <c r="AH104"/>
  <c r="AH278"/>
  <c r="AH102"/>
  <c r="AH101"/>
  <c r="AH100"/>
  <c r="AH98"/>
  <c r="AH85"/>
  <c r="AH83"/>
  <c r="AH82"/>
  <c r="AH79"/>
  <c r="AH78"/>
  <c r="AH77"/>
  <c r="AH75"/>
  <c r="AH73"/>
  <c r="AH72"/>
  <c r="AH70"/>
  <c r="AH67"/>
  <c r="AH65"/>
  <c r="AH62"/>
  <c r="AH59"/>
  <c r="AH58"/>
  <c r="AH97"/>
  <c r="AH55"/>
  <c r="AH54"/>
  <c r="AH50"/>
  <c r="AH48"/>
  <c r="AH46"/>
  <c r="AH45"/>
  <c r="AH43"/>
  <c r="AH42"/>
  <c r="AH41"/>
  <c r="AH40"/>
  <c r="AH39"/>
  <c r="AH38"/>
  <c r="AH37"/>
  <c r="AH35"/>
  <c r="AH33"/>
  <c r="AH30"/>
  <c r="AH29"/>
  <c r="AH28"/>
  <c r="AH27"/>
  <c r="AH26"/>
  <c r="AH24"/>
  <c r="AH21"/>
  <c r="AH20"/>
  <c r="AF118" i="2"/>
  <c r="AF117"/>
  <c r="AF115"/>
  <c r="AF292"/>
  <c r="AF112"/>
  <c r="AF111"/>
  <c r="AF109"/>
  <c r="AF108"/>
  <c r="AF106"/>
  <c r="AF105"/>
  <c r="AF104"/>
  <c r="AF225"/>
  <c r="AF102"/>
  <c r="AF101"/>
  <c r="AF273"/>
  <c r="AF99"/>
  <c r="AF98"/>
  <c r="AF97"/>
  <c r="AF83"/>
  <c r="AF82"/>
  <c r="AF81"/>
  <c r="AF80"/>
  <c r="AF79"/>
  <c r="AF78"/>
  <c r="AF77"/>
  <c r="AF76"/>
  <c r="AF73"/>
  <c r="AF71"/>
  <c r="AF70"/>
  <c r="AF68"/>
  <c r="AF66"/>
  <c r="AF65"/>
  <c r="AF63"/>
  <c r="AF60"/>
  <c r="AF57"/>
  <c r="AF56"/>
  <c r="AF85"/>
  <c r="AF53"/>
  <c r="AF52"/>
  <c r="AF51"/>
  <c r="AF50"/>
  <c r="AF48"/>
  <c r="AF46"/>
  <c r="AF44"/>
  <c r="AF42"/>
  <c r="AF41"/>
  <c r="AF39"/>
  <c r="AF38"/>
  <c r="AF37"/>
  <c r="AF35"/>
  <c r="AF33"/>
  <c r="AF31"/>
  <c r="AF27"/>
  <c r="AF26"/>
  <c r="AF25"/>
  <c r="AF24"/>
  <c r="AF23"/>
  <c r="AF22"/>
  <c r="AH58" i="1"/>
  <c r="AH57"/>
  <c r="AH55"/>
  <c r="AH86"/>
  <c r="AH54"/>
  <c r="AH49"/>
  <c r="AH41"/>
  <c r="AH40"/>
  <c r="AH39"/>
  <c r="AH38"/>
  <c r="AH37"/>
  <c r="AH36"/>
  <c r="AH34"/>
  <c r="AH32"/>
  <c r="AH26"/>
  <c r="AH25"/>
  <c r="AF305" i="3"/>
  <c r="AF304"/>
  <c r="AF302"/>
  <c r="AF300"/>
  <c r="AF299"/>
  <c r="AF298"/>
  <c r="AF296"/>
  <c r="AF293"/>
  <c r="AF292"/>
  <c r="AF289"/>
  <c r="AF288"/>
  <c r="AF287"/>
  <c r="AF285"/>
  <c r="AF10"/>
  <c r="AF283"/>
  <c r="AF282"/>
  <c r="AF279"/>
  <c r="AF277"/>
  <c r="AF274"/>
  <c r="AF272"/>
  <c r="AF271"/>
  <c r="AF270"/>
  <c r="AF266"/>
  <c r="AF14"/>
  <c r="AF264"/>
  <c r="AF262"/>
  <c r="AF261"/>
  <c r="AF260"/>
  <c r="AF259"/>
  <c r="AF258"/>
  <c r="AF256"/>
  <c r="AF254"/>
  <c r="AF253"/>
  <c r="AF250"/>
  <c r="AF249"/>
  <c r="AF248"/>
  <c r="AF247"/>
  <c r="AF233"/>
  <c r="AF229"/>
  <c r="AF228"/>
  <c r="AF222"/>
  <c r="AF221"/>
  <c r="AF220"/>
  <c r="AF15"/>
  <c r="AF219"/>
  <c r="AF218"/>
  <c r="AF216"/>
  <c r="AF11"/>
  <c r="AF214"/>
  <c r="AF213"/>
  <c r="AF212"/>
  <c r="AF211"/>
  <c r="AF209"/>
  <c r="AF13"/>
  <c r="AF206"/>
  <c r="AF203"/>
  <c r="AH307" i="4"/>
  <c r="AH304"/>
  <c r="AH302"/>
  <c r="AH301"/>
  <c r="AH300"/>
  <c r="AH298"/>
  <c r="AH295"/>
  <c r="AH294"/>
  <c r="AH293"/>
  <c r="AH291"/>
  <c r="AH290"/>
  <c r="AH289"/>
  <c r="AH287"/>
  <c r="AH11"/>
  <c r="AH285"/>
  <c r="AH284"/>
  <c r="AH280"/>
  <c r="AH281"/>
  <c r="AH279"/>
  <c r="AH276"/>
  <c r="AH274"/>
  <c r="AH273"/>
  <c r="AH272"/>
  <c r="AH271"/>
  <c r="AH268"/>
  <c r="AH15"/>
  <c r="AH264"/>
  <c r="AH263"/>
  <c r="AH261"/>
  <c r="AH258"/>
  <c r="AH257"/>
  <c r="AH256"/>
  <c r="AH251"/>
  <c r="AH240"/>
  <c r="AH239"/>
  <c r="AH231"/>
  <c r="AH17"/>
  <c r="AH225"/>
  <c r="AH223"/>
  <c r="AH222"/>
  <c r="AH16"/>
  <c r="AH221"/>
  <c r="AH12"/>
  <c r="AH216"/>
  <c r="AH215"/>
  <c r="AH211"/>
  <c r="AH14"/>
  <c r="AH208"/>
  <c r="AH207"/>
  <c r="AH13"/>
  <c r="AH205"/>
  <c r="AF302" i="2"/>
  <c r="AF301"/>
  <c r="AF300"/>
  <c r="AF299"/>
  <c r="AF298"/>
  <c r="AF296"/>
  <c r="AF295"/>
  <c r="AF293"/>
  <c r="AF290"/>
  <c r="AF289"/>
  <c r="AF287"/>
  <c r="AF286"/>
  <c r="AF285"/>
  <c r="AF284"/>
  <c r="AF282"/>
  <c r="AF9"/>
  <c r="AF280"/>
  <c r="AF279"/>
  <c r="AF276"/>
  <c r="AF274"/>
  <c r="AF271"/>
  <c r="AF269"/>
  <c r="AF267"/>
  <c r="AF263"/>
  <c r="AF13"/>
  <c r="AF261"/>
  <c r="AF260"/>
  <c r="AF259"/>
  <c r="AF258"/>
  <c r="AF257"/>
  <c r="AF256"/>
  <c r="AF253"/>
  <c r="AF251"/>
  <c r="AF239"/>
  <c r="AF238"/>
  <c r="AF236"/>
  <c r="AF235"/>
  <c r="AF231"/>
  <c r="AF230"/>
  <c r="AF227"/>
  <c r="AF226"/>
  <c r="AF223"/>
  <c r="AF222"/>
  <c r="AF221"/>
  <c r="AF219"/>
  <c r="AF14"/>
  <c r="AF217"/>
  <c r="AF216"/>
  <c r="AF215"/>
  <c r="AF214"/>
  <c r="AF10"/>
  <c r="AF213"/>
  <c r="AF212"/>
  <c r="AF211"/>
  <c r="AF210"/>
  <c r="AF207"/>
  <c r="AF205"/>
  <c r="AF12"/>
  <c r="AF204"/>
  <c r="AF11"/>
  <c r="AF201"/>
  <c r="AF196"/>
  <c r="AF295" i="3"/>
  <c r="AF95"/>
  <c r="AH51" i="4"/>
  <c r="AH50" i="1"/>
  <c r="AH22" i="4"/>
  <c r="AH204"/>
  <c r="AF137" i="2"/>
  <c r="AF40" l="1"/>
  <c r="AF209"/>
  <c r="AF208"/>
</calcChain>
</file>

<file path=xl/sharedStrings.xml><?xml version="1.0" encoding="utf-8"?>
<sst xmlns="http://schemas.openxmlformats.org/spreadsheetml/2006/main" count="3050" uniqueCount="583">
  <si>
    <t>Other</t>
  </si>
  <si>
    <t>Miscellaneous</t>
  </si>
  <si>
    <t>Salaries</t>
  </si>
  <si>
    <t>Employee Fringe Benefits</t>
  </si>
  <si>
    <t>Supplies</t>
  </si>
  <si>
    <t>Entity Name</t>
  </si>
  <si>
    <t>County</t>
  </si>
  <si>
    <t>(Continued)</t>
  </si>
  <si>
    <t>Library</t>
  </si>
  <si>
    <t>Lane Public Library</t>
  </si>
  <si>
    <t>Butler</t>
  </si>
  <si>
    <t>London Public Library</t>
  </si>
  <si>
    <t>Madison</t>
  </si>
  <si>
    <t>Belmont</t>
  </si>
  <si>
    <t>Mentor Public Library</t>
  </si>
  <si>
    <t>Lake</t>
  </si>
  <si>
    <t>Knox</t>
  </si>
  <si>
    <t>Geauga</t>
  </si>
  <si>
    <t>Euclid Public Library</t>
  </si>
  <si>
    <t>Cuyahoga</t>
  </si>
  <si>
    <t>Medina</t>
  </si>
  <si>
    <t>Barnesville Public Library</t>
  </si>
  <si>
    <t>Summit</t>
  </si>
  <si>
    <t>Portsmouth Public Library</t>
  </si>
  <si>
    <t>Scioto</t>
  </si>
  <si>
    <t>Stark</t>
  </si>
  <si>
    <t>Tuscarawas</t>
  </si>
  <si>
    <t>Washington</t>
  </si>
  <si>
    <t>Total</t>
  </si>
  <si>
    <t>Services</t>
  </si>
  <si>
    <t>Capital</t>
  </si>
  <si>
    <t>Property and</t>
  </si>
  <si>
    <t>Assets</t>
  </si>
  <si>
    <t>Girard Free Library</t>
  </si>
  <si>
    <t>Gnadenhutten Public Library</t>
  </si>
  <si>
    <t>Herrick Memorial Library</t>
  </si>
  <si>
    <t>Hurt Battelle Memorial Library</t>
  </si>
  <si>
    <t>Wauseon Public Library</t>
  </si>
  <si>
    <t>Wickliffe Public Library</t>
  </si>
  <si>
    <t>Adams</t>
  </si>
  <si>
    <t>Licking</t>
  </si>
  <si>
    <t>Fulton</t>
  </si>
  <si>
    <t>Ashtabula</t>
  </si>
  <si>
    <t>Auglaize</t>
  </si>
  <si>
    <t>Seneca</t>
  </si>
  <si>
    <t>Harrison</t>
  </si>
  <si>
    <t>Brown</t>
  </si>
  <si>
    <t>Carroll</t>
  </si>
  <si>
    <t>Ross</t>
  </si>
  <si>
    <t>Mercer</t>
  </si>
  <si>
    <t>Columbiana</t>
  </si>
  <si>
    <t>Crawford</t>
  </si>
  <si>
    <t>Miami</t>
  </si>
  <si>
    <t>Warren</t>
  </si>
  <si>
    <t>Montgomery</t>
  </si>
  <si>
    <t>Trumbull</t>
  </si>
  <si>
    <t>Lorain</t>
  </si>
  <si>
    <t>Highland</t>
  </si>
  <si>
    <t>Morgan</t>
  </si>
  <si>
    <t>Henry</t>
  </si>
  <si>
    <t>Hardin</t>
  </si>
  <si>
    <t>Champaign</t>
  </si>
  <si>
    <t>Wyandot</t>
  </si>
  <si>
    <t>Monroe</t>
  </si>
  <si>
    <t>Wood</t>
  </si>
  <si>
    <t>Perry</t>
  </si>
  <si>
    <t>Fairfield</t>
  </si>
  <si>
    <t>Morrow</t>
  </si>
  <si>
    <t>Clinton</t>
  </si>
  <si>
    <t>Delaware</t>
  </si>
  <si>
    <t>Alexandria Public Library</t>
  </si>
  <si>
    <t>Coldwater Public Library</t>
  </si>
  <si>
    <t xml:space="preserve">Ada Public Library </t>
  </si>
  <si>
    <t xml:space="preserve">Adams County Public Library </t>
  </si>
  <si>
    <t xml:space="preserve">Alger Public Library </t>
  </si>
  <si>
    <t>Amherst Public Library</t>
  </si>
  <si>
    <t>Amos Memorial Public Library</t>
  </si>
  <si>
    <t>Shelby</t>
  </si>
  <si>
    <t>Andover Public Library</t>
  </si>
  <si>
    <t xml:space="preserve">Arcanum Public Library </t>
  </si>
  <si>
    <t>Darke</t>
  </si>
  <si>
    <t>Ashland Public Library</t>
  </si>
  <si>
    <t>Ashland</t>
  </si>
  <si>
    <t>Avon Lake Public Library</t>
  </si>
  <si>
    <t xml:space="preserve">Bellaire Public Library </t>
  </si>
  <si>
    <t>Belle Center Free Public Library</t>
  </si>
  <si>
    <t>Logan</t>
  </si>
  <si>
    <t>Bellevue Public Library</t>
  </si>
  <si>
    <t>Huron</t>
  </si>
  <si>
    <t>Bettsville Public Library</t>
  </si>
  <si>
    <t>Bexley Pubilce Library</t>
  </si>
  <si>
    <t>Franklin</t>
  </si>
  <si>
    <t>Birchard Public Library</t>
  </si>
  <si>
    <t>Sandusky</t>
  </si>
  <si>
    <t>Blanchester Public Library</t>
  </si>
  <si>
    <t xml:space="preserve">Bliss Memorial Public Library </t>
  </si>
  <si>
    <t>Allen</t>
  </si>
  <si>
    <t xml:space="preserve">Bowerston Library </t>
  </si>
  <si>
    <t xml:space="preserve">Bradford Public Library </t>
  </si>
  <si>
    <t>Bristol Public Library</t>
  </si>
  <si>
    <t>Brown Memorial Public Library</t>
  </si>
  <si>
    <t>Preble</t>
  </si>
  <si>
    <t>Bucyrus Public Library</t>
  </si>
  <si>
    <t xml:space="preserve">Burton Public Library </t>
  </si>
  <si>
    <t xml:space="preserve">Caldwell Public Library </t>
  </si>
  <si>
    <t>Noble</t>
  </si>
  <si>
    <t xml:space="preserve">Canal Fulton Public Library </t>
  </si>
  <si>
    <t>Cardington-Lincoln Village Public</t>
  </si>
  <si>
    <t>Carnegie Public Library</t>
  </si>
  <si>
    <t>Fayette</t>
  </si>
  <si>
    <t>Centerburg Public Library</t>
  </si>
  <si>
    <t xml:space="preserve">Chillicothe &amp; Ross Cty. Public Library </t>
  </si>
  <si>
    <t>Clark County Public Library</t>
  </si>
  <si>
    <t>Clark</t>
  </si>
  <si>
    <t>Clermont County Public Library</t>
  </si>
  <si>
    <t>Clermont</t>
  </si>
  <si>
    <t>Clyde Public Library</t>
  </si>
  <si>
    <t>Columbus Metropolitan Public Library</t>
  </si>
  <si>
    <t>Conneaut Public Library</t>
  </si>
  <si>
    <t>Coshocton Public Library</t>
  </si>
  <si>
    <t>Coshocton</t>
  </si>
  <si>
    <t xml:space="preserve">Crestline Public Library </t>
  </si>
  <si>
    <t xml:space="preserve">Dayton Metro Library </t>
  </si>
  <si>
    <t>Defiance Public Library</t>
  </si>
  <si>
    <t>Defiance</t>
  </si>
  <si>
    <t>Delaware County District Library</t>
  </si>
  <si>
    <t xml:space="preserve">Delphos Public Library </t>
  </si>
  <si>
    <t xml:space="preserve">Delta Public Library </t>
  </si>
  <si>
    <t>Dorcas Carey Public Library</t>
  </si>
  <si>
    <t>Dover Public Library</t>
  </si>
  <si>
    <t>Gallia</t>
  </si>
  <si>
    <t>Dr. Sloan Library</t>
  </si>
  <si>
    <t>East Palestine Memorial Public Library</t>
  </si>
  <si>
    <t>Elyria Public Library</t>
  </si>
  <si>
    <t xml:space="preserve">Evergreen Community Library </t>
  </si>
  <si>
    <t>Fairport Harbor Public Library</t>
  </si>
  <si>
    <t>Findlay-Hancock Co. Public Library</t>
  </si>
  <si>
    <t>Hancock</t>
  </si>
  <si>
    <t xml:space="preserve">Forest-Jackson Public Library </t>
  </si>
  <si>
    <t>Fort Recovery Public Library</t>
  </si>
  <si>
    <t xml:space="preserve">Franklin Public Library </t>
  </si>
  <si>
    <t xml:space="preserve">Galion Public Library </t>
  </si>
  <si>
    <t>Garnet A.Wilson Public Library</t>
  </si>
  <si>
    <t>Pike</t>
  </si>
  <si>
    <t>Geauga County Public Library</t>
  </si>
  <si>
    <t xml:space="preserve">Germantown Public Library </t>
  </si>
  <si>
    <t xml:space="preserve">Grafton-Midview Public Library </t>
  </si>
  <si>
    <t>Grandview Heights Public Library</t>
  </si>
  <si>
    <t>Granville Public Library</t>
  </si>
  <si>
    <t>Greene Co. Public Library</t>
  </si>
  <si>
    <t>Greene</t>
  </si>
  <si>
    <t xml:space="preserve">Greenville Public Library </t>
  </si>
  <si>
    <t>Guernsey</t>
  </si>
  <si>
    <t xml:space="preserve">Harbor-Topky Memorial Library </t>
  </si>
  <si>
    <t>Hardin Northern Public Library</t>
  </si>
  <si>
    <t>Harris Elmore Public Library</t>
  </si>
  <si>
    <t>Ottawa</t>
  </si>
  <si>
    <t>Herbert Wescoat Memorial Library</t>
  </si>
  <si>
    <t>Vinton</t>
  </si>
  <si>
    <t xml:space="preserve">Highland Co Library </t>
  </si>
  <si>
    <t>Holgate Community Library</t>
  </si>
  <si>
    <t>Holmes</t>
  </si>
  <si>
    <t>Hubbard Library</t>
  </si>
  <si>
    <t>Hudson Library &amp; Historic Society</t>
  </si>
  <si>
    <t>Huron Public Library</t>
  </si>
  <si>
    <t>Erie</t>
  </si>
  <si>
    <t>Ida Rupp Public Library</t>
  </si>
  <si>
    <t xml:space="preserve">Jackson City Library </t>
  </si>
  <si>
    <t>Jackson</t>
  </si>
  <si>
    <t>Kaubish Memorial Public Library</t>
  </si>
  <si>
    <t xml:space="preserve">Kent Free Library </t>
  </si>
  <si>
    <t>Portage</t>
  </si>
  <si>
    <t xml:space="preserve">Kingsville Library </t>
  </si>
  <si>
    <t xml:space="preserve">Kinsman Free Public Library </t>
  </si>
  <si>
    <t xml:space="preserve">Kirtland Public Library </t>
  </si>
  <si>
    <t xml:space="preserve">Lebanon Public Library </t>
  </si>
  <si>
    <t xml:space="preserve">Lepper Library </t>
  </si>
  <si>
    <t xml:space="preserve">Liberty Center Library </t>
  </si>
  <si>
    <t>Lima Public Library</t>
  </si>
  <si>
    <t>Hocking</t>
  </si>
  <si>
    <t>Lorain Public Library</t>
  </si>
  <si>
    <t>Loudonville Public Library</t>
  </si>
  <si>
    <t>Madison Public Library</t>
  </si>
  <si>
    <t>Richland</t>
  </si>
  <si>
    <t xml:space="preserve">Marion Lawrence Memorial Library </t>
  </si>
  <si>
    <t>Marion Public Library</t>
  </si>
  <si>
    <t>Marion</t>
  </si>
  <si>
    <t xml:space="preserve">Marvin Memorial Library </t>
  </si>
  <si>
    <t xml:space="preserve">Mary L. Cook Public Library </t>
  </si>
  <si>
    <t xml:space="preserve">Mary Lou Johnson-Hardin Library </t>
  </si>
  <si>
    <t>Marysville Public Library</t>
  </si>
  <si>
    <t>Union</t>
  </si>
  <si>
    <t xml:space="preserve">Mason Public Library </t>
  </si>
  <si>
    <t>Massillon Public Library</t>
  </si>
  <si>
    <t xml:space="preserve">Mechanicsburg Library </t>
  </si>
  <si>
    <t>Middletown Public Library</t>
  </si>
  <si>
    <t xml:space="preserve">Milan-Berlin Library </t>
  </si>
  <si>
    <t xml:space="preserve">Milton Union Library </t>
  </si>
  <si>
    <t xml:space="preserve">Minerva Public Library </t>
  </si>
  <si>
    <t>Molo Regional Library System</t>
  </si>
  <si>
    <t>Monroeville Public Library</t>
  </si>
  <si>
    <t>Montpelier Public Library</t>
  </si>
  <si>
    <t>Williams</t>
  </si>
  <si>
    <t>Morely Library</t>
  </si>
  <si>
    <t>Mount Gilead Public Library</t>
  </si>
  <si>
    <t xml:space="preserve">Mount Sterling Public Library </t>
  </si>
  <si>
    <t>Muskingum Co. Library</t>
  </si>
  <si>
    <t>Muskingum</t>
  </si>
  <si>
    <t>Athens</t>
  </si>
  <si>
    <t xml:space="preserve">New Madison Library </t>
  </si>
  <si>
    <t xml:space="preserve">Newcomerstown Library </t>
  </si>
  <si>
    <t>Newton Falls Public Library</t>
  </si>
  <si>
    <t>Nola Regional Library</t>
  </si>
  <si>
    <t>Mahoning</t>
  </si>
  <si>
    <t xml:space="preserve">Normal Memorial Library </t>
  </si>
  <si>
    <t xml:space="preserve">North Baltimore Library </t>
  </si>
  <si>
    <t>North Canton Public Library</t>
  </si>
  <si>
    <t xml:space="preserve">Norwalk Public Library </t>
  </si>
  <si>
    <t>Oak Harbor Public Library</t>
  </si>
  <si>
    <t>Oak Hill Public Library</t>
  </si>
  <si>
    <t>Oberlin Public Library</t>
  </si>
  <si>
    <t>Ohio Vally Area Libraris</t>
  </si>
  <si>
    <t>Orrville Public Library</t>
  </si>
  <si>
    <t>Wayne</t>
  </si>
  <si>
    <t xml:space="preserve">Pataskala Public Library </t>
  </si>
  <si>
    <t>Patrick Henry School District Library</t>
  </si>
  <si>
    <t>Paulding County Carnegie Library</t>
  </si>
  <si>
    <t>Paulding</t>
  </si>
  <si>
    <t>Paulding County Law Library</t>
  </si>
  <si>
    <t>Pemberville Public Library</t>
  </si>
  <si>
    <t xml:space="preserve">Peninsula Library </t>
  </si>
  <si>
    <t>Perry Cook Memorial Public Library</t>
  </si>
  <si>
    <t xml:space="preserve">Perry Public Library </t>
  </si>
  <si>
    <t>Pickaway County Public Library</t>
  </si>
  <si>
    <t>Pickaway</t>
  </si>
  <si>
    <t xml:space="preserve">Plain City Public Library </t>
  </si>
  <si>
    <t xml:space="preserve">Puskarich Public Library </t>
  </si>
  <si>
    <t xml:space="preserve">Reed Memorial Library </t>
  </si>
  <si>
    <t>Reuben Mcmillan Free Library</t>
  </si>
  <si>
    <t>Richwood-North Union Public Library</t>
  </si>
  <si>
    <t>Ritter Public Library</t>
  </si>
  <si>
    <t xml:space="preserve">Rock Creek Library </t>
  </si>
  <si>
    <t>Rocky River Public Library</t>
  </si>
  <si>
    <t>Rodman Public Library</t>
  </si>
  <si>
    <t>Rossford Public Library</t>
  </si>
  <si>
    <t xml:space="preserve">Sabina Library </t>
  </si>
  <si>
    <t>Salem Public Library</t>
  </si>
  <si>
    <t>Salem Township Public Library</t>
  </si>
  <si>
    <t xml:space="preserve">Selover Public Library </t>
  </si>
  <si>
    <t xml:space="preserve">Seneca East Public Library </t>
  </si>
  <si>
    <t xml:space="preserve">Shaker Heights Public Library </t>
  </si>
  <si>
    <t>Solo Regional Library</t>
  </si>
  <si>
    <t>Southwest Public Library</t>
  </si>
  <si>
    <t>Stark Co. District Library</t>
  </si>
  <si>
    <t>Steubenville Public Library</t>
  </si>
  <si>
    <t>Jefferson</t>
  </si>
  <si>
    <t>Stow-Munroe Falls Public Library</t>
  </si>
  <si>
    <t xml:space="preserve">Swanton Public Library </t>
  </si>
  <si>
    <t xml:space="preserve">Sylvester Memor Library </t>
  </si>
  <si>
    <t>Taylor Memorial Library</t>
  </si>
  <si>
    <t>Tiffin-Seneca Public Library</t>
  </si>
  <si>
    <t>Lucus</t>
  </si>
  <si>
    <t>Tuscarawas Co. Public Library</t>
  </si>
  <si>
    <t>Union Township Public Library</t>
  </si>
  <si>
    <t>Upper Arlington Public Library</t>
  </si>
  <si>
    <t>Upper Sandusky Comm. Library</t>
  </si>
  <si>
    <t>Washington-Centerville Public Library</t>
  </si>
  <si>
    <t>Wayne Co. Public Library</t>
  </si>
  <si>
    <t>Wayne Public Library</t>
  </si>
  <si>
    <t>Way-Perrysburg Public Library</t>
  </si>
  <si>
    <t xml:space="preserve">Wellsville Carnegie Library </t>
  </si>
  <si>
    <t xml:space="preserve">Weston Public Library </t>
  </si>
  <si>
    <t>Willard Memorial Library</t>
  </si>
  <si>
    <t>Willoughby-Eastlake Public Library</t>
  </si>
  <si>
    <t xml:space="preserve">Wilmington Public Library </t>
  </si>
  <si>
    <t xml:space="preserve">Worch Memorial Public Library </t>
  </si>
  <si>
    <t>Worthington Public Library</t>
  </si>
  <si>
    <t>Wright Memorial Public Library</t>
  </si>
  <si>
    <t>Local Taxes</t>
  </si>
  <si>
    <t>Library and</t>
  </si>
  <si>
    <t>Local</t>
  </si>
  <si>
    <t>Government</t>
  </si>
  <si>
    <t>Support</t>
  </si>
  <si>
    <t>Patrons Fines</t>
  </si>
  <si>
    <t>and Fees</t>
  </si>
  <si>
    <t>Provided to</t>
  </si>
  <si>
    <t>Contributions,</t>
  </si>
  <si>
    <t>Gifts, and</t>
  </si>
  <si>
    <t>Donations</t>
  </si>
  <si>
    <t>Earnings on</t>
  </si>
  <si>
    <t>Investments</t>
  </si>
  <si>
    <t xml:space="preserve">Sale of </t>
  </si>
  <si>
    <t>Fixed</t>
  </si>
  <si>
    <t>Financing</t>
  </si>
  <si>
    <t>Sources</t>
  </si>
  <si>
    <t xml:space="preserve">Archbold Community Library </t>
  </si>
  <si>
    <t>Bexley Public Library</t>
  </si>
  <si>
    <t xml:space="preserve">Bluffton-Richland Library </t>
  </si>
  <si>
    <t xml:space="preserve">Claymont School District Public Library </t>
  </si>
  <si>
    <t xml:space="preserve">Dr. Samuel Bossard Memorial. Library </t>
  </si>
  <si>
    <t>Garnet A. Wilson Public Library</t>
  </si>
  <si>
    <t xml:space="preserve">Grand Valley Public Library </t>
  </si>
  <si>
    <t xml:space="preserve">Henderson Memorial Library </t>
  </si>
  <si>
    <t xml:space="preserve">Homer-Burlington Library </t>
  </si>
  <si>
    <t xml:space="preserve">Leetonia Community Library </t>
  </si>
  <si>
    <t xml:space="preserve">Louisville Public Library </t>
  </si>
  <si>
    <t xml:space="preserve">Mohawk Community Library </t>
  </si>
  <si>
    <t>Napoleon Area School Public</t>
  </si>
  <si>
    <t>Ohio Valley Area Library</t>
  </si>
  <si>
    <t xml:space="preserve">Pickerington Public Library </t>
  </si>
  <si>
    <t>Reuben McMillan Free Library</t>
  </si>
  <si>
    <t xml:space="preserve">Ridgemont Public Library </t>
  </si>
  <si>
    <t>Sandusky Library</t>
  </si>
  <si>
    <t xml:space="preserve">St. Clairsville Library </t>
  </si>
  <si>
    <t xml:space="preserve">Sylvester Memorial Library </t>
  </si>
  <si>
    <t>Lucas</t>
  </si>
  <si>
    <t>Twinsburg Public Library</t>
  </si>
  <si>
    <t xml:space="preserve">Wornstaff Memorial Library </t>
  </si>
  <si>
    <t>Employee</t>
  </si>
  <si>
    <t>Fringe</t>
  </si>
  <si>
    <t>Purchased and</t>
  </si>
  <si>
    <t>Contracted</t>
  </si>
  <si>
    <t>Materials and</t>
  </si>
  <si>
    <t>Information</t>
  </si>
  <si>
    <t>Outlay</t>
  </si>
  <si>
    <t xml:space="preserve">Redemption of </t>
  </si>
  <si>
    <t>Principal</t>
  </si>
  <si>
    <t>Interest and</t>
  </si>
  <si>
    <t>Other Fiscal</t>
  </si>
  <si>
    <t>Charges</t>
  </si>
  <si>
    <t>Uses</t>
  </si>
  <si>
    <t xml:space="preserve">Napoleon Area School </t>
  </si>
  <si>
    <t xml:space="preserve">Ashtabula Co District Library </t>
  </si>
  <si>
    <t xml:space="preserve">Dr. Samuel Bossard Memorial Library </t>
  </si>
  <si>
    <t>Hudson Library &amp; Historical Society</t>
  </si>
  <si>
    <t xml:space="preserve">Kate Love Simpson Library </t>
  </si>
  <si>
    <t xml:space="preserve">J.R. Clarke Public Library </t>
  </si>
  <si>
    <t xml:space="preserve">McComb Public Library </t>
  </si>
  <si>
    <t>New London Library</t>
  </si>
  <si>
    <t>Ohio Valley Area Libraries</t>
  </si>
  <si>
    <t xml:space="preserve">Rockford Carnegie Library </t>
  </si>
  <si>
    <t xml:space="preserve">St. Marys Community Public Library </t>
  </si>
  <si>
    <t>Upper Sandusky Community Library</t>
  </si>
  <si>
    <t>Washington Co. Public Library</t>
  </si>
  <si>
    <t xml:space="preserve">Saint Paris Public Library </t>
  </si>
  <si>
    <t>Intergovern-</t>
  </si>
  <si>
    <t>mental</t>
  </si>
  <si>
    <t>Program Receipts</t>
  </si>
  <si>
    <t>General Receipts</t>
  </si>
  <si>
    <t>Adams County Public Library</t>
  </si>
  <si>
    <t>Auglaize Co. District Library</t>
  </si>
  <si>
    <t>Barberton Public Library</t>
  </si>
  <si>
    <t>Bellaire Public Library</t>
  </si>
  <si>
    <t>Carroll Co. District Library</t>
  </si>
  <si>
    <t>Community Library</t>
  </si>
  <si>
    <t>Crestline Public Library</t>
  </si>
  <si>
    <t>Flesh Public Library</t>
  </si>
  <si>
    <t>Franklin Public Library</t>
  </si>
  <si>
    <t>Germantown Public Library</t>
  </si>
  <si>
    <t>Lebanon Public Library</t>
  </si>
  <si>
    <t>Mary L. Cook Public Library</t>
  </si>
  <si>
    <t>Mason Public Library</t>
  </si>
  <si>
    <t>Minerva Public Library</t>
  </si>
  <si>
    <t>North Baltimore Library</t>
  </si>
  <si>
    <t>Peninsula Library</t>
  </si>
  <si>
    <t>Marvin Memorial Library</t>
  </si>
  <si>
    <t>Puskarich Public Library</t>
  </si>
  <si>
    <t>Ridgemont Public Library</t>
  </si>
  <si>
    <t>Rock Creek Library</t>
  </si>
  <si>
    <t>St Marys Community Public Library</t>
  </si>
  <si>
    <t>Wilmington Public Library</t>
  </si>
  <si>
    <t>Governmental Activities</t>
  </si>
  <si>
    <t>All Libraries Reporting Using GASB 34 Format</t>
  </si>
  <si>
    <t>Operating</t>
  </si>
  <si>
    <t>Grants</t>
  </si>
  <si>
    <t>Cash</t>
  </si>
  <si>
    <t>Charges for</t>
  </si>
  <si>
    <t>Contributions</t>
  </si>
  <si>
    <t>and Interest</t>
  </si>
  <si>
    <t>Net</t>
  </si>
  <si>
    <t>Special and</t>
  </si>
  <si>
    <t>Changes</t>
  </si>
  <si>
    <t>Net Assets</t>
  </si>
  <si>
    <t>Other Local</t>
  </si>
  <si>
    <t>Unrestricted</t>
  </si>
  <si>
    <t>Investment</t>
  </si>
  <si>
    <t>Debt</t>
  </si>
  <si>
    <t>Transfers and</t>
  </si>
  <si>
    <t>Extraordinary</t>
  </si>
  <si>
    <t>In Net</t>
  </si>
  <si>
    <t>Beginning</t>
  </si>
  <si>
    <t>(Disbursements)</t>
  </si>
  <si>
    <t>Taxes</t>
  </si>
  <si>
    <t>Earnings</t>
  </si>
  <si>
    <t>Proceeds</t>
  </si>
  <si>
    <t>Items</t>
  </si>
  <si>
    <t>of Year</t>
  </si>
  <si>
    <t>End of Year</t>
  </si>
  <si>
    <t>Cleveland Heights University Public Library</t>
  </si>
  <si>
    <t>Cleveland Public Library</t>
  </si>
  <si>
    <t>Ella M. Everhard Public Library</t>
  </si>
  <si>
    <t xml:space="preserve">Martins Ferry Public Library </t>
  </si>
  <si>
    <t xml:space="preserve">Mount Vernon &amp; Knox Public Library </t>
  </si>
  <si>
    <t>Summint</t>
  </si>
  <si>
    <t>Meigs</t>
  </si>
  <si>
    <t>Akron Summit County Public Library</t>
  </si>
  <si>
    <t>Allen County Law Library</t>
  </si>
  <si>
    <t>Columbus Law Library</t>
  </si>
  <si>
    <t>Fairfield County District Library</t>
  </si>
  <si>
    <t>Lakewood Public Library</t>
  </si>
  <si>
    <t>Martins Ferry Public Library</t>
  </si>
  <si>
    <t>McKinley Memorial Library</t>
  </si>
  <si>
    <t>NEO Regional Library</t>
  </si>
  <si>
    <t>Newark Public Library</t>
  </si>
  <si>
    <t>Northwest Regional Library</t>
  </si>
  <si>
    <t>Pickaway Public Library</t>
  </si>
  <si>
    <t>Porter Public Library</t>
  </si>
  <si>
    <t>Southeast Regional Library</t>
  </si>
  <si>
    <t>Tipp-City Public Library</t>
  </si>
  <si>
    <t>Troy-Miami Co. Public Library</t>
  </si>
  <si>
    <t>William Ammer Memorial Law Library</t>
  </si>
  <si>
    <t xml:space="preserve">Amherst Public Library </t>
  </si>
  <si>
    <t xml:space="preserve">Barberton Public Library </t>
  </si>
  <si>
    <t xml:space="preserve">Clyde Public Library </t>
  </si>
  <si>
    <t xml:space="preserve">Columbiana Library </t>
  </si>
  <si>
    <t xml:space="preserve">Community Library </t>
  </si>
  <si>
    <t xml:space="preserve">East Cleveland Public Library </t>
  </si>
  <si>
    <t xml:space="preserve">Gnadenhutten Public Library </t>
  </si>
  <si>
    <t xml:space="preserve">Herrick Memorial Library </t>
  </si>
  <si>
    <t xml:space="preserve">Hubbard Library </t>
  </si>
  <si>
    <t xml:space="preserve">Massillon Public Library </t>
  </si>
  <si>
    <t xml:space="preserve">Nelsonville Public Library </t>
  </si>
  <si>
    <t xml:space="preserve">New Carlisle Public Library </t>
  </si>
  <si>
    <t xml:space="preserve">New Straitsville Public Library </t>
  </si>
  <si>
    <t xml:space="preserve">Oberlin Public Library </t>
  </si>
  <si>
    <t xml:space="preserve">Patrick Henry School District Library </t>
  </si>
  <si>
    <t xml:space="preserve">Pemberville Public Library </t>
  </si>
  <si>
    <t xml:space="preserve">Ritter Public Library </t>
  </si>
  <si>
    <t xml:space="preserve">Wauseon Public Library </t>
  </si>
  <si>
    <t xml:space="preserve">Wickliffe Public Library </t>
  </si>
  <si>
    <t xml:space="preserve">Wright Memorial Public Library </t>
  </si>
  <si>
    <t xml:space="preserve">Ashtabula </t>
  </si>
  <si>
    <t xml:space="preserve">Athens </t>
  </si>
  <si>
    <t xml:space="preserve">Auglaize </t>
  </si>
  <si>
    <t xml:space="preserve">Belmont </t>
  </si>
  <si>
    <t xml:space="preserve">Brown County Public Library </t>
  </si>
  <si>
    <t xml:space="preserve">Brown </t>
  </si>
  <si>
    <t xml:space="preserve">Carroll </t>
  </si>
  <si>
    <t xml:space="preserve">Champaign </t>
  </si>
  <si>
    <t xml:space="preserve">Clark </t>
  </si>
  <si>
    <t xml:space="preserve">Clinton </t>
  </si>
  <si>
    <t xml:space="preserve">Columbiana </t>
  </si>
  <si>
    <t xml:space="preserve">Crawford </t>
  </si>
  <si>
    <t xml:space="preserve">Cuyahoga </t>
  </si>
  <si>
    <t xml:space="preserve">Fairfield </t>
  </si>
  <si>
    <t xml:space="preserve">Harrison </t>
  </si>
  <si>
    <t xml:space="preserve">Jackson </t>
  </si>
  <si>
    <t xml:space="preserve">Lake </t>
  </si>
  <si>
    <t xml:space="preserve">Licking </t>
  </si>
  <si>
    <t xml:space="preserve">Madison </t>
  </si>
  <si>
    <t xml:space="preserve">Meigs County Public Library </t>
  </si>
  <si>
    <t xml:space="preserve">Meigs </t>
  </si>
  <si>
    <t xml:space="preserve">Coldwater Public Library </t>
  </si>
  <si>
    <t xml:space="preserve">Mercer </t>
  </si>
  <si>
    <t xml:space="preserve">Miami </t>
  </si>
  <si>
    <t xml:space="preserve">Monroe County Library </t>
  </si>
  <si>
    <t xml:space="preserve">Monroe </t>
  </si>
  <si>
    <t xml:space="preserve">Montgomery </t>
  </si>
  <si>
    <t xml:space="preserve">Perry </t>
  </si>
  <si>
    <t xml:space="preserve">Stark </t>
  </si>
  <si>
    <t xml:space="preserve">Bristol Public Library </t>
  </si>
  <si>
    <t xml:space="preserve">Tuscarawas </t>
  </si>
  <si>
    <t xml:space="preserve">Warren </t>
  </si>
  <si>
    <t xml:space="preserve">Wood </t>
  </si>
  <si>
    <t xml:space="preserve">Ross </t>
  </si>
  <si>
    <t/>
  </si>
  <si>
    <t>Transfers Out</t>
  </si>
  <si>
    <t xml:space="preserve">Advances Out </t>
  </si>
  <si>
    <t xml:space="preserve">Monroe County District Library </t>
  </si>
  <si>
    <t>Transfers In</t>
  </si>
  <si>
    <t xml:space="preserve">Advances In </t>
  </si>
  <si>
    <t xml:space="preserve">Alexandria Public Library </t>
  </si>
  <si>
    <t>Ashtabula Co District Library</t>
  </si>
  <si>
    <t>East Cleveland Public Library</t>
  </si>
  <si>
    <t>Highland Co Library</t>
  </si>
  <si>
    <t>Leetonia Community Library</t>
  </si>
  <si>
    <t>Rockford Carnegie Library</t>
  </si>
  <si>
    <t>Monroe County District Library</t>
  </si>
  <si>
    <t>Louisville Public Library</t>
  </si>
  <si>
    <t>Saint Paris Public Library</t>
  </si>
  <si>
    <t>Receipts /</t>
  </si>
  <si>
    <t>General Fund Revenues</t>
  </si>
  <si>
    <t>General Fund Expenditures</t>
  </si>
  <si>
    <t>Governmental Fund Revenues</t>
  </si>
  <si>
    <t>Governmental Fund Expenditures</t>
  </si>
  <si>
    <t>Summary Information from the Statement of Activities</t>
  </si>
  <si>
    <t>Gifts and</t>
  </si>
  <si>
    <t>and</t>
  </si>
  <si>
    <t>Entitlements</t>
  </si>
  <si>
    <t>Operation and</t>
  </si>
  <si>
    <t>Maintenance</t>
  </si>
  <si>
    <t>Facilities</t>
  </si>
  <si>
    <t>Programs/</t>
  </si>
  <si>
    <t>Tax</t>
  </si>
  <si>
    <t>Rollback</t>
  </si>
  <si>
    <t>Rentals</t>
  </si>
  <si>
    <t>Revenues</t>
  </si>
  <si>
    <t>Others</t>
  </si>
  <si>
    <t>Fringes</t>
  </si>
  <si>
    <t xml:space="preserve">Special </t>
  </si>
  <si>
    <t>Londonville Public Library</t>
  </si>
  <si>
    <t>Perry Co. District Library</t>
  </si>
  <si>
    <t>St. Clairsville Library</t>
  </si>
  <si>
    <t>`</t>
  </si>
  <si>
    <t>East Liverpool Carnegie Public Library</t>
  </si>
  <si>
    <t xml:space="preserve">Rockford Carnege Library </t>
  </si>
  <si>
    <t>Kate Love Simpson Library</t>
  </si>
  <si>
    <t>Chillicothe &amp; Ross County Public Library</t>
  </si>
  <si>
    <t xml:space="preserve">Chillicothe &amp; Ross County Public Library </t>
  </si>
  <si>
    <t>Licking County Public Library</t>
  </si>
  <si>
    <t>Logan County District Library</t>
  </si>
  <si>
    <t>Logan Hocking County District</t>
  </si>
  <si>
    <t>Westerville Public Library</t>
  </si>
  <si>
    <t>The Wagnalls Memorial Library</t>
  </si>
  <si>
    <t xml:space="preserve">Hardin  </t>
  </si>
  <si>
    <t>Sorting Number</t>
  </si>
  <si>
    <t>The Public Library of Cincinnati and Hamilton County</t>
  </si>
  <si>
    <t>Hamilton</t>
  </si>
  <si>
    <t>Briggs Library</t>
  </si>
  <si>
    <t>Lawrence</t>
  </si>
  <si>
    <t>Putnam County Library</t>
  </si>
  <si>
    <t>Putnam</t>
  </si>
  <si>
    <t>Piqua Public Library</t>
  </si>
  <si>
    <t>Grand Valley Public Library</t>
  </si>
  <si>
    <t>Weston Public Library</t>
  </si>
  <si>
    <t>Advances</t>
  </si>
  <si>
    <t>In/(Out)</t>
  </si>
  <si>
    <t>Disbursements</t>
  </si>
  <si>
    <t>(continued)</t>
  </si>
  <si>
    <t>Stark County District Library</t>
  </si>
  <si>
    <t xml:space="preserve">Auglaize County District Library </t>
  </si>
  <si>
    <t xml:space="preserve">Carroll County District Library </t>
  </si>
  <si>
    <t>Champaign County Public Library</t>
  </si>
  <si>
    <t>Cuyahoga County Public Library</t>
  </si>
  <si>
    <t>Findlay-Hancock County Public Library</t>
  </si>
  <si>
    <t>Greene County Public Library</t>
  </si>
  <si>
    <t>Guernsey County Library</t>
  </si>
  <si>
    <t xml:space="preserve">Holmes County Public Library </t>
  </si>
  <si>
    <t>Mansfield - Richland County Public Library</t>
  </si>
  <si>
    <t>Medina County District Library</t>
  </si>
  <si>
    <t xml:space="preserve">Mercer County District Public Library </t>
  </si>
  <si>
    <t>Muskingum County Library</t>
  </si>
  <si>
    <t xml:space="preserve">Perry County District Library </t>
  </si>
  <si>
    <t>Portage County Library</t>
  </si>
  <si>
    <t>Preble County Library</t>
  </si>
  <si>
    <t>Toledo-Lucas County Public Library</t>
  </si>
  <si>
    <t>Troy-Miami County Public Library</t>
  </si>
  <si>
    <t>Tuscarawas County Public Library</t>
  </si>
  <si>
    <t>Warren Trumbull County Library</t>
  </si>
  <si>
    <t>Washington County Public Library</t>
  </si>
  <si>
    <t>Wayne County Public Library</t>
  </si>
  <si>
    <t>Williams County Public Library</t>
  </si>
  <si>
    <t>Wood County District Public Library</t>
  </si>
  <si>
    <t xml:space="preserve">Ashtabula County District Library </t>
  </si>
  <si>
    <t xml:space="preserve">Highland County Library </t>
  </si>
  <si>
    <t>For the Year Ended December 31, 2009</t>
  </si>
  <si>
    <t>Cuyahoga Falls Public Library</t>
  </si>
  <si>
    <t>Northeast Regional Library</t>
  </si>
  <si>
    <t>Port Clinton School District</t>
  </si>
  <si>
    <t xml:space="preserve">Public Library of Cincinnati &amp; Hamilton County </t>
  </si>
  <si>
    <t>Wagnalls Memorial Library</t>
  </si>
  <si>
    <t>Gnadenhuttem Public Library</t>
  </si>
  <si>
    <t>Cinncinnati and Hamilton County Public Library</t>
  </si>
  <si>
    <t>Cincinnati and Hamilton County Library</t>
  </si>
  <si>
    <t>Cincinnati and Hamilton County Public Library</t>
  </si>
  <si>
    <t>Cleveland Heights University Public Library*</t>
  </si>
  <si>
    <t>Cleveland Public Library*</t>
  </si>
  <si>
    <t>Columbus Metropolitan Public Library*</t>
  </si>
  <si>
    <t>Cincinnati and Hamilton Public Library*</t>
  </si>
  <si>
    <t>Toledo-Lucas Co. Public Library*</t>
  </si>
  <si>
    <t>Worthington Public Library*</t>
  </si>
  <si>
    <t>Cuyahoga Co. Public Library*</t>
  </si>
  <si>
    <t>* Reports in Accordance with Generally Accepted Accounting Principles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</si>
</sst>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#,##0.0_);\(#,##0.0\)"/>
  </numFmts>
  <fonts count="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5" fontId="1" fillId="0" borderId="0" applyFont="0" applyFill="0" applyBorder="0" applyAlignment="0" applyProtection="0"/>
  </cellStyleXfs>
  <cellXfs count="52">
    <xf numFmtId="0" fontId="0" fillId="0" borderId="0" xfId="0"/>
    <xf numFmtId="37" fontId="3" fillId="0" borderId="0" xfId="0" applyNumberFormat="1" applyFont="1"/>
    <xf numFmtId="5" fontId="3" fillId="0" borderId="0" xfId="0" applyNumberFormat="1" applyFont="1"/>
    <xf numFmtId="0" fontId="3" fillId="0" borderId="0" xfId="0" applyFont="1" applyFill="1"/>
    <xf numFmtId="37" fontId="3" fillId="0" borderId="0" xfId="0" applyNumberFormat="1" applyFont="1" applyFill="1"/>
    <xf numFmtId="5" fontId="3" fillId="0" borderId="0" xfId="0" applyNumberFormat="1" applyFont="1" applyFill="1"/>
    <xf numFmtId="37" fontId="3" fillId="0" borderId="0" xfId="0" applyNumberFormat="1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/>
    <xf numFmtId="37" fontId="4" fillId="0" borderId="0" xfId="0" applyNumberFormat="1" applyFont="1" applyFill="1" applyBorder="1"/>
    <xf numFmtId="37" fontId="4" fillId="0" borderId="0" xfId="0" applyNumberFormat="1" applyFont="1" applyFill="1"/>
    <xf numFmtId="37" fontId="3" fillId="0" borderId="0" xfId="0" applyNumberFormat="1" applyFont="1" applyFill="1" applyBorder="1"/>
    <xf numFmtId="37" fontId="3" fillId="0" borderId="0" xfId="0" applyNumberFormat="1" applyFont="1" applyFill="1" applyAlignment="1"/>
    <xf numFmtId="37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5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5" fontId="5" fillId="0" borderId="0" xfId="0" applyNumberFormat="1" applyFont="1" applyFill="1"/>
    <xf numFmtId="164" fontId="3" fillId="0" borderId="0" xfId="0" applyNumberFormat="1" applyFont="1" applyFill="1"/>
    <xf numFmtId="37" fontId="3" fillId="0" borderId="1" xfId="0" applyNumberFormat="1" applyFont="1" applyFill="1" applyBorder="1" applyAlignment="1">
      <alignment horizontal="center"/>
    </xf>
    <xf numFmtId="37" fontId="3" fillId="0" borderId="0" xfId="0" applyNumberFormat="1" applyFont="1" applyFill="1" applyAlignment="1">
      <alignment horizontal="left"/>
    </xf>
    <xf numFmtId="5" fontId="3" fillId="0" borderId="0" xfId="0" applyNumberFormat="1" applyFont="1" applyFill="1" applyBorder="1"/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wrapText="1"/>
    </xf>
    <xf numFmtId="37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/>
    <xf numFmtId="37" fontId="3" fillId="0" borderId="0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3" fillId="0" borderId="0" xfId="0" applyFont="1" applyFill="1" applyBorder="1" applyAlignment="1">
      <alignment wrapText="1"/>
    </xf>
    <xf numFmtId="37" fontId="3" fillId="0" borderId="1" xfId="0" applyNumberFormat="1" applyFont="1" applyFill="1" applyBorder="1" applyAlignment="1">
      <alignment horizontal="center" wrapText="1"/>
    </xf>
    <xf numFmtId="37" fontId="0" fillId="0" borderId="0" xfId="0" applyNumberFormat="1" applyFill="1"/>
    <xf numFmtId="0" fontId="0" fillId="0" borderId="0" xfId="0" applyFill="1" applyBorder="1"/>
    <xf numFmtId="39" fontId="0" fillId="0" borderId="0" xfId="0" applyNumberFormat="1" applyFill="1" applyBorder="1" applyAlignment="1"/>
    <xf numFmtId="39" fontId="3" fillId="0" borderId="0" xfId="0" applyNumberFormat="1" applyFont="1" applyFill="1" applyBorder="1" applyAlignment="1"/>
    <xf numFmtId="3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center"/>
    </xf>
    <xf numFmtId="39" fontId="3" fillId="0" borderId="1" xfId="0" applyNumberFormat="1" applyFont="1" applyFill="1" applyBorder="1" applyAlignment="1">
      <alignment horizontal="center" wrapText="1"/>
    </xf>
    <xf numFmtId="5" fontId="0" fillId="0" borderId="0" xfId="0" applyNumberFormat="1" applyFill="1" applyBorder="1"/>
    <xf numFmtId="37" fontId="0" fillId="0" borderId="0" xfId="0" applyNumberFormat="1" applyFill="1" applyBorder="1"/>
    <xf numFmtId="37" fontId="0" fillId="0" borderId="0" xfId="0" applyNumberFormat="1" applyFill="1" applyBorder="1" applyAlignment="1"/>
    <xf numFmtId="0" fontId="0" fillId="0" borderId="0" xfId="0" applyFill="1" applyBorder="1" applyAlignment="1"/>
    <xf numFmtId="0" fontId="3" fillId="0" borderId="0" xfId="0" applyFont="1"/>
    <xf numFmtId="37" fontId="3" fillId="0" borderId="0" xfId="0" applyNumberFormat="1" applyFont="1" applyFill="1" applyBorder="1" applyAlignment="1">
      <alignment horizontal="left"/>
    </xf>
    <xf numFmtId="39" fontId="3" fillId="0" borderId="1" xfId="0" applyNumberFormat="1" applyFont="1" applyFill="1" applyBorder="1" applyAlignment="1">
      <alignment horizontal="center"/>
    </xf>
  </cellXfs>
  <cellStyles count="2">
    <cellStyle name="Currency0" xfId="1"/>
    <cellStyle name="Normal" xfId="0" builtinId="0"/>
  </cellStyles>
  <dxfs count="0"/>
  <tableStyles count="0" defaultTableStyle="TableStyleMedium9" defaultPivotStyle="PivotStyleLight16"/>
  <colors>
    <mruColors>
      <color rgb="FFFF66CC"/>
      <color rgb="FFFF3399"/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4"/>
  <sheetViews>
    <sheetView tabSelected="1" zoomScaleNormal="100" zoomScaleSheetLayoutView="80" workbookViewId="0">
      <pane xSplit="1" ySplit="13" topLeftCell="B14" activePane="bottomRight" state="frozen"/>
      <selection activeCell="K67" sqref="K67"/>
      <selection pane="topRight" activeCell="K67" sqref="K67"/>
      <selection pane="bottomLeft" activeCell="K67" sqref="K67"/>
      <selection pane="bottomRight" activeCell="B14" sqref="B14"/>
    </sheetView>
  </sheetViews>
  <sheetFormatPr defaultColWidth="9.140625" defaultRowHeight="12.75"/>
  <cols>
    <col min="1" max="1" width="35.5703125" style="38" customWidth="1"/>
    <col min="2" max="2" width="1.28515625" style="38" customWidth="1"/>
    <col min="3" max="3" width="10.7109375" style="38" customWidth="1"/>
    <col min="4" max="4" width="1.28515625" style="38" customWidth="1"/>
    <col min="5" max="5" width="11.28515625" style="39" customWidth="1"/>
    <col min="6" max="6" width="1.28515625" style="48" customWidth="1"/>
    <col min="7" max="7" width="10.85546875" style="39" customWidth="1"/>
    <col min="8" max="8" width="1.28515625" style="48" customWidth="1"/>
    <col min="9" max="9" width="10.85546875" style="39" customWidth="1"/>
    <col min="10" max="10" width="1.28515625" style="48" customWidth="1"/>
    <col min="11" max="11" width="10.28515625" style="39" customWidth="1"/>
    <col min="12" max="12" width="1.28515625" style="48" customWidth="1"/>
    <col min="13" max="13" width="13.140625" style="39" customWidth="1"/>
    <col min="14" max="14" width="1.28515625" style="48" customWidth="1"/>
    <col min="15" max="15" width="10.28515625" style="39" customWidth="1"/>
    <col min="16" max="16" width="1.28515625" style="48" hidden="1" customWidth="1"/>
    <col min="17" max="17" width="10.7109375" style="48" customWidth="1"/>
    <col min="18" max="18" width="1.28515625" style="48" customWidth="1"/>
    <col min="19" max="19" width="11.42578125" style="39" bestFit="1" customWidth="1"/>
    <col min="20" max="20" width="1.28515625" style="48" customWidth="1"/>
    <col min="21" max="21" width="11" style="39" customWidth="1"/>
    <col min="22" max="22" width="1.28515625" style="48" customWidth="1"/>
    <col min="23" max="23" width="10.7109375" style="39" customWidth="1"/>
    <col min="24" max="24" width="1.28515625" style="48" customWidth="1"/>
    <col min="25" max="25" width="10.140625" style="39" customWidth="1"/>
    <col min="26" max="26" width="1.28515625" style="48" customWidth="1"/>
    <col min="27" max="27" width="10.85546875" style="39" customWidth="1"/>
    <col min="28" max="28" width="1.28515625" style="48" customWidth="1"/>
    <col min="29" max="29" width="10.42578125" style="39" customWidth="1"/>
    <col min="30" max="30" width="1.28515625" style="48" hidden="1" customWidth="1"/>
    <col min="31" max="31" width="10.7109375" style="39" hidden="1" customWidth="1"/>
    <col min="32" max="32" width="1.28515625" style="48" customWidth="1"/>
    <col min="33" max="33" width="10.7109375" style="39" customWidth="1"/>
    <col min="34" max="34" width="1.28515625" style="48" customWidth="1"/>
    <col min="35" max="35" width="10.7109375" style="39" customWidth="1"/>
    <col min="36" max="36" width="1.28515625" style="48" customWidth="1"/>
    <col min="37" max="37" width="10.7109375" style="39" customWidth="1"/>
    <col min="38" max="16384" width="9.140625" style="38"/>
  </cols>
  <sheetData>
    <row r="1" spans="1:37" ht="12" customHeight="1">
      <c r="A1" s="50" t="s">
        <v>495</v>
      </c>
      <c r="B1" s="50"/>
      <c r="C1" s="50"/>
      <c r="D1" s="50"/>
      <c r="E1" s="50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2" customHeight="1">
      <c r="A2" s="13" t="s">
        <v>371</v>
      </c>
      <c r="B2" s="13"/>
      <c r="C2" s="13"/>
      <c r="D2" s="1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2" customHeight="1">
      <c r="A3" s="13" t="s">
        <v>565</v>
      </c>
      <c r="B3" s="13"/>
      <c r="C3" s="13"/>
      <c r="D3" s="1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2" hidden="1" customHeight="1">
      <c r="A4" s="13" t="s">
        <v>7</v>
      </c>
      <c r="B4" s="13"/>
      <c r="C4" s="13"/>
      <c r="D4" s="13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ht="12" customHeight="1">
      <c r="B5" s="13"/>
      <c r="C5" s="13"/>
      <c r="D5" s="1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</row>
    <row r="6" spans="1:37" ht="12" customHeight="1">
      <c r="A6" s="10" t="s">
        <v>372</v>
      </c>
      <c r="B6" s="13"/>
      <c r="C6" s="13"/>
      <c r="D6" s="13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37" ht="12" customHeight="1">
      <c r="A7" s="13"/>
      <c r="B7" s="13"/>
      <c r="C7" s="13"/>
      <c r="D7" s="13"/>
      <c r="E7" s="40"/>
      <c r="F7" s="40"/>
      <c r="G7" s="51" t="s">
        <v>347</v>
      </c>
      <c r="H7" s="51"/>
      <c r="I7" s="51"/>
      <c r="J7" s="51"/>
      <c r="K7" s="51"/>
      <c r="L7" s="15"/>
      <c r="M7" s="15"/>
      <c r="N7" s="15"/>
      <c r="O7" s="51" t="s">
        <v>348</v>
      </c>
      <c r="P7" s="51"/>
      <c r="Q7" s="51"/>
      <c r="R7" s="51"/>
      <c r="S7" s="51"/>
      <c r="T7" s="51"/>
      <c r="U7" s="51"/>
      <c r="V7" s="51"/>
      <c r="W7" s="51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</row>
    <row r="8" spans="1:37" ht="12" customHeight="1">
      <c r="A8" s="13"/>
      <c r="B8" s="13"/>
      <c r="C8" s="13"/>
      <c r="D8" s="13"/>
      <c r="E8" s="40"/>
      <c r="F8" s="40"/>
      <c r="G8" s="40"/>
      <c r="H8" s="40"/>
      <c r="I8" s="41" t="s">
        <v>373</v>
      </c>
      <c r="J8" s="40"/>
      <c r="K8" s="40"/>
      <c r="L8" s="15"/>
      <c r="M8" s="15"/>
      <c r="N8" s="15"/>
      <c r="O8" s="15"/>
      <c r="P8" s="15"/>
      <c r="Q8" s="16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9" spans="1:37" ht="12" customHeight="1">
      <c r="D9" s="13"/>
      <c r="E9" s="40"/>
      <c r="F9" s="40"/>
      <c r="G9" s="40"/>
      <c r="H9" s="40"/>
      <c r="I9" s="41" t="s">
        <v>374</v>
      </c>
      <c r="J9" s="40"/>
      <c r="K9" s="40"/>
      <c r="L9" s="15"/>
      <c r="M9" s="41" t="s">
        <v>379</v>
      </c>
      <c r="N9" s="40"/>
      <c r="O9" s="41" t="s">
        <v>31</v>
      </c>
      <c r="P9" s="40"/>
      <c r="Q9" s="41" t="s">
        <v>374</v>
      </c>
      <c r="R9" s="40"/>
      <c r="S9" s="41" t="s">
        <v>384</v>
      </c>
      <c r="T9" s="40"/>
      <c r="U9" s="40"/>
      <c r="V9" s="40"/>
      <c r="W9" s="40"/>
      <c r="X9" s="40"/>
      <c r="Y9" s="40"/>
      <c r="Z9" s="40"/>
      <c r="AA9" s="41" t="s">
        <v>387</v>
      </c>
      <c r="AB9" s="15"/>
      <c r="AC9" s="41" t="s">
        <v>380</v>
      </c>
      <c r="AD9" s="15"/>
      <c r="AE9" s="41"/>
      <c r="AF9" s="40"/>
      <c r="AG9" s="41" t="s">
        <v>381</v>
      </c>
      <c r="AH9" s="40"/>
      <c r="AI9" s="41" t="s">
        <v>382</v>
      </c>
      <c r="AJ9" s="40"/>
      <c r="AK9" s="41" t="s">
        <v>379</v>
      </c>
    </row>
    <row r="10" spans="1:37" ht="12" customHeight="1">
      <c r="A10" s="42"/>
      <c r="B10" s="42"/>
      <c r="C10" s="13"/>
      <c r="D10" s="13"/>
      <c r="E10" s="41" t="s">
        <v>375</v>
      </c>
      <c r="F10" s="40"/>
      <c r="G10" s="41" t="s">
        <v>376</v>
      </c>
      <c r="H10" s="40"/>
      <c r="I10" s="41" t="s">
        <v>377</v>
      </c>
      <c r="J10" s="40"/>
      <c r="K10" s="41" t="s">
        <v>30</v>
      </c>
      <c r="L10" s="15"/>
      <c r="M10" s="41" t="s">
        <v>490</v>
      </c>
      <c r="N10" s="40"/>
      <c r="O10" s="41" t="s">
        <v>383</v>
      </c>
      <c r="P10" s="40"/>
      <c r="Q10" s="41" t="s">
        <v>497</v>
      </c>
      <c r="R10" s="40"/>
      <c r="S10" s="41" t="s">
        <v>496</v>
      </c>
      <c r="T10" s="40"/>
      <c r="U10" s="41" t="s">
        <v>385</v>
      </c>
      <c r="V10" s="40"/>
      <c r="W10" s="40"/>
      <c r="X10" s="40"/>
      <c r="Y10" s="41" t="s">
        <v>386</v>
      </c>
      <c r="Z10" s="40"/>
      <c r="AA10" s="41" t="s">
        <v>535</v>
      </c>
      <c r="AB10" s="15"/>
      <c r="AC10" s="41" t="s">
        <v>388</v>
      </c>
      <c r="AD10" s="15"/>
      <c r="AE10" s="41" t="s">
        <v>28</v>
      </c>
      <c r="AF10" s="40"/>
      <c r="AG10" s="41" t="s">
        <v>389</v>
      </c>
      <c r="AH10" s="40"/>
      <c r="AI10" s="41" t="s">
        <v>390</v>
      </c>
      <c r="AJ10" s="40"/>
      <c r="AK10" s="41" t="s">
        <v>32</v>
      </c>
    </row>
    <row r="11" spans="1:37" s="4" customFormat="1" ht="12">
      <c r="A11" s="29" t="s">
        <v>8</v>
      </c>
      <c r="B11" s="42"/>
      <c r="C11" s="23" t="s">
        <v>6</v>
      </c>
      <c r="D11" s="42"/>
      <c r="E11" s="43" t="s">
        <v>537</v>
      </c>
      <c r="F11" s="42"/>
      <c r="G11" s="44" t="s">
        <v>29</v>
      </c>
      <c r="H11" s="42"/>
      <c r="I11" s="44" t="s">
        <v>378</v>
      </c>
      <c r="J11" s="42"/>
      <c r="K11" s="44" t="s">
        <v>374</v>
      </c>
      <c r="L11" s="42"/>
      <c r="M11" s="44" t="s">
        <v>391</v>
      </c>
      <c r="N11" s="42"/>
      <c r="O11" s="44" t="s">
        <v>392</v>
      </c>
      <c r="P11" s="42"/>
      <c r="Q11" s="44" t="s">
        <v>498</v>
      </c>
      <c r="R11" s="42"/>
      <c r="S11" s="44" t="s">
        <v>377</v>
      </c>
      <c r="T11" s="42"/>
      <c r="U11" s="44" t="s">
        <v>393</v>
      </c>
      <c r="V11" s="42"/>
      <c r="W11" s="44" t="s">
        <v>0</v>
      </c>
      <c r="X11" s="42"/>
      <c r="Y11" s="44" t="s">
        <v>394</v>
      </c>
      <c r="Z11" s="42"/>
      <c r="AA11" s="44" t="s">
        <v>536</v>
      </c>
      <c r="AB11" s="42"/>
      <c r="AC11" s="44" t="s">
        <v>395</v>
      </c>
      <c r="AD11" s="42"/>
      <c r="AE11" s="44" t="s">
        <v>506</v>
      </c>
      <c r="AF11" s="42"/>
      <c r="AG11" s="44" t="s">
        <v>32</v>
      </c>
      <c r="AH11" s="42"/>
      <c r="AI11" s="44" t="s">
        <v>396</v>
      </c>
      <c r="AJ11" s="42"/>
      <c r="AK11" s="44" t="s">
        <v>397</v>
      </c>
    </row>
    <row r="12" spans="1:37" ht="12" hidden="1" customHeight="1">
      <c r="A12" s="10" t="s">
        <v>406</v>
      </c>
      <c r="B12" s="10"/>
      <c r="C12" s="13" t="s">
        <v>96</v>
      </c>
      <c r="D12" s="10"/>
      <c r="E12" s="15"/>
      <c r="F12" s="10"/>
      <c r="G12" s="15"/>
      <c r="H12" s="10"/>
      <c r="I12" s="15"/>
      <c r="J12" s="10"/>
      <c r="K12" s="15"/>
      <c r="L12" s="10"/>
      <c r="M12" s="15"/>
      <c r="N12" s="10"/>
      <c r="O12" s="15"/>
      <c r="P12" s="10"/>
      <c r="Q12" s="15"/>
      <c r="R12" s="10"/>
      <c r="S12" s="15"/>
      <c r="T12" s="10"/>
      <c r="U12" s="15"/>
      <c r="V12" s="10"/>
      <c r="W12" s="15"/>
      <c r="X12" s="10"/>
      <c r="Y12" s="15"/>
      <c r="Z12" s="10"/>
      <c r="AA12" s="15"/>
      <c r="AB12" s="10"/>
      <c r="AC12" s="15"/>
      <c r="AD12" s="10"/>
      <c r="AE12" s="15">
        <f t="shared" ref="AE12:AE45" si="0">SUM(O12:AC12)</f>
        <v>0</v>
      </c>
      <c r="AF12" s="10"/>
      <c r="AG12" s="15">
        <f t="shared" ref="AG12:AG45" si="1">+M12-AE12</f>
        <v>0</v>
      </c>
      <c r="AH12" s="10"/>
      <c r="AI12" s="15"/>
      <c r="AJ12" s="10"/>
      <c r="AK12" s="15">
        <f t="shared" ref="AK12:AK45" si="2">+AI12-AG12</f>
        <v>0</v>
      </c>
    </row>
    <row r="13" spans="1:37" ht="12" hidden="1" customHeight="1">
      <c r="A13" s="10" t="s">
        <v>510</v>
      </c>
      <c r="B13" s="10"/>
      <c r="C13" s="10" t="s">
        <v>82</v>
      </c>
      <c r="D13" s="10"/>
      <c r="E13" s="15">
        <v>0</v>
      </c>
      <c r="F13" s="10"/>
      <c r="G13" s="15">
        <v>0</v>
      </c>
      <c r="H13" s="10"/>
      <c r="I13" s="15">
        <v>0</v>
      </c>
      <c r="J13" s="10"/>
      <c r="K13" s="15">
        <v>0</v>
      </c>
      <c r="L13" s="10"/>
      <c r="M13" s="15">
        <f t="shared" ref="M13:M46" si="3">+E13-G13-I13-K13</f>
        <v>0</v>
      </c>
      <c r="N13" s="10"/>
      <c r="O13" s="15">
        <v>0</v>
      </c>
      <c r="P13" s="10"/>
      <c r="Q13" s="15">
        <v>0</v>
      </c>
      <c r="R13" s="10"/>
      <c r="S13" s="15">
        <v>0</v>
      </c>
      <c r="T13" s="10"/>
      <c r="U13" s="15">
        <v>0</v>
      </c>
      <c r="V13" s="10"/>
      <c r="W13" s="15">
        <v>0</v>
      </c>
      <c r="X13" s="10"/>
      <c r="Y13" s="15">
        <v>0</v>
      </c>
      <c r="Z13" s="10"/>
      <c r="AA13" s="15">
        <v>0</v>
      </c>
      <c r="AB13" s="10"/>
      <c r="AC13" s="15">
        <v>0</v>
      </c>
      <c r="AD13" s="10"/>
      <c r="AE13" s="15">
        <f t="shared" si="0"/>
        <v>0</v>
      </c>
      <c r="AF13" s="10"/>
      <c r="AG13" s="15">
        <f t="shared" si="1"/>
        <v>0</v>
      </c>
      <c r="AH13" s="10"/>
      <c r="AI13" s="15">
        <v>0</v>
      </c>
      <c r="AJ13" s="10"/>
      <c r="AK13" s="15">
        <f t="shared" si="2"/>
        <v>0</v>
      </c>
    </row>
    <row r="14" spans="1:37" s="45" customFormat="1" ht="12" customHeight="1">
      <c r="A14" s="25" t="s">
        <v>349</v>
      </c>
      <c r="B14" s="25"/>
      <c r="C14" s="25" t="s">
        <v>39</v>
      </c>
      <c r="D14" s="25"/>
      <c r="E14" s="25">
        <v>962768</v>
      </c>
      <c r="F14" s="25"/>
      <c r="G14" s="25">
        <v>33359</v>
      </c>
      <c r="H14" s="25"/>
      <c r="I14" s="25">
        <v>0</v>
      </c>
      <c r="J14" s="25"/>
      <c r="K14" s="25">
        <v>0</v>
      </c>
      <c r="L14" s="25"/>
      <c r="M14" s="26">
        <f t="shared" si="3"/>
        <v>929409</v>
      </c>
      <c r="N14" s="25"/>
      <c r="O14" s="25">
        <v>0</v>
      </c>
      <c r="P14" s="25"/>
      <c r="Q14" s="25">
        <v>836304</v>
      </c>
      <c r="R14" s="25"/>
      <c r="S14" s="25">
        <v>0</v>
      </c>
      <c r="T14" s="25"/>
      <c r="U14" s="25">
        <v>32169</v>
      </c>
      <c r="V14" s="25"/>
      <c r="W14" s="25">
        <v>441</v>
      </c>
      <c r="X14" s="25"/>
      <c r="Y14" s="25">
        <v>0</v>
      </c>
      <c r="Z14" s="25"/>
      <c r="AA14" s="25">
        <v>0</v>
      </c>
      <c r="AB14" s="25"/>
      <c r="AC14" s="25">
        <v>0</v>
      </c>
      <c r="AD14" s="25"/>
      <c r="AE14" s="26">
        <f t="shared" si="0"/>
        <v>868914</v>
      </c>
      <c r="AF14" s="25"/>
      <c r="AG14" s="26">
        <f t="shared" si="1"/>
        <v>60495</v>
      </c>
      <c r="AH14" s="25"/>
      <c r="AI14" s="25">
        <v>1623242</v>
      </c>
      <c r="AJ14" s="25"/>
      <c r="AK14" s="26">
        <f t="shared" si="2"/>
        <v>1562747</v>
      </c>
    </row>
    <row r="15" spans="1:37" ht="12" customHeight="1">
      <c r="A15" s="5" t="s">
        <v>405</v>
      </c>
      <c r="B15" s="25"/>
      <c r="C15" s="5" t="s">
        <v>22</v>
      </c>
      <c r="D15" s="25"/>
      <c r="E15" s="14">
        <v>32944150</v>
      </c>
      <c r="F15" s="15"/>
      <c r="G15" s="14">
        <v>603379</v>
      </c>
      <c r="H15" s="15"/>
      <c r="I15" s="14">
        <v>201104</v>
      </c>
      <c r="J15" s="15"/>
      <c r="K15" s="14">
        <v>0</v>
      </c>
      <c r="L15" s="15"/>
      <c r="M15" s="14">
        <f t="shared" si="3"/>
        <v>32139667</v>
      </c>
      <c r="N15" s="15"/>
      <c r="O15" s="14">
        <f>9188484+4994697</f>
        <v>14183181</v>
      </c>
      <c r="P15" s="15"/>
      <c r="Q15" s="14">
        <v>11675812</v>
      </c>
      <c r="R15" s="15"/>
      <c r="S15" s="14">
        <v>807</v>
      </c>
      <c r="T15" s="15"/>
      <c r="U15" s="14">
        <v>107155</v>
      </c>
      <c r="V15" s="15"/>
      <c r="W15" s="14">
        <f>2958504+722061</f>
        <v>3680565</v>
      </c>
      <c r="X15" s="15"/>
      <c r="Y15" s="14">
        <v>0</v>
      </c>
      <c r="Z15" s="15"/>
      <c r="AA15" s="14">
        <v>0</v>
      </c>
      <c r="AB15" s="15"/>
      <c r="AC15" s="14">
        <v>0</v>
      </c>
      <c r="AD15" s="15"/>
      <c r="AE15" s="15">
        <f t="shared" si="0"/>
        <v>29647520</v>
      </c>
      <c r="AF15" s="15"/>
      <c r="AG15" s="15">
        <f>+M15-AE15</f>
        <v>2492147</v>
      </c>
      <c r="AH15" s="15"/>
      <c r="AI15" s="14">
        <v>7771243</v>
      </c>
      <c r="AJ15" s="15"/>
      <c r="AK15" s="15">
        <f t="shared" si="2"/>
        <v>5279096</v>
      </c>
    </row>
    <row r="16" spans="1:37" ht="12" customHeight="1">
      <c r="A16" s="13" t="s">
        <v>70</v>
      </c>
      <c r="B16" s="4"/>
      <c r="C16" s="13" t="s">
        <v>40</v>
      </c>
      <c r="D16" s="4"/>
      <c r="E16" s="13">
        <v>351919.47</v>
      </c>
      <c r="F16" s="4"/>
      <c r="G16" s="13">
        <v>0</v>
      </c>
      <c r="H16" s="4"/>
      <c r="I16" s="13">
        <v>0</v>
      </c>
      <c r="J16" s="4"/>
      <c r="K16" s="13">
        <v>0</v>
      </c>
      <c r="L16" s="4"/>
      <c r="M16" s="15">
        <f t="shared" si="3"/>
        <v>351919.47</v>
      </c>
      <c r="N16" s="4"/>
      <c r="O16" s="13">
        <v>0</v>
      </c>
      <c r="P16" s="4"/>
      <c r="Q16" s="4">
        <v>257463.92</v>
      </c>
      <c r="R16" s="4"/>
      <c r="S16" s="13">
        <v>0</v>
      </c>
      <c r="T16" s="4"/>
      <c r="U16" s="13">
        <v>12722.51</v>
      </c>
      <c r="V16" s="4"/>
      <c r="W16" s="13">
        <v>8114.19</v>
      </c>
      <c r="X16" s="4"/>
      <c r="Y16" s="13">
        <v>0</v>
      </c>
      <c r="Z16" s="4"/>
      <c r="AA16" s="13">
        <v>0</v>
      </c>
      <c r="AB16" s="4"/>
      <c r="AC16" s="13">
        <v>0</v>
      </c>
      <c r="AD16" s="4"/>
      <c r="AE16" s="15">
        <f t="shared" si="0"/>
        <v>278300.62</v>
      </c>
      <c r="AF16" s="4"/>
      <c r="AG16" s="15">
        <f t="shared" si="1"/>
        <v>73618.849999999977</v>
      </c>
      <c r="AH16" s="4"/>
      <c r="AI16" s="13">
        <v>780014.7</v>
      </c>
      <c r="AJ16" s="4"/>
      <c r="AK16" s="15">
        <f t="shared" si="2"/>
        <v>706395.85</v>
      </c>
    </row>
    <row r="17" spans="1:37" ht="12" customHeight="1">
      <c r="A17" s="13" t="s">
        <v>75</v>
      </c>
      <c r="B17" s="13"/>
      <c r="C17" s="13" t="s">
        <v>56</v>
      </c>
      <c r="D17" s="13"/>
      <c r="E17" s="15">
        <v>1525717.61</v>
      </c>
      <c r="F17" s="15"/>
      <c r="G17" s="15">
        <v>32082.12</v>
      </c>
      <c r="H17" s="15"/>
      <c r="I17" s="15">
        <v>73486.009999999995</v>
      </c>
      <c r="J17" s="15"/>
      <c r="K17" s="15">
        <v>0</v>
      </c>
      <c r="L17" s="15"/>
      <c r="M17" s="15">
        <f t="shared" si="3"/>
        <v>1420149.48</v>
      </c>
      <c r="N17" s="15"/>
      <c r="O17" s="15">
        <v>269234.78999999998</v>
      </c>
      <c r="P17" s="15"/>
      <c r="Q17" s="15">
        <v>741267.78</v>
      </c>
      <c r="R17" s="15"/>
      <c r="S17" s="15">
        <v>0</v>
      </c>
      <c r="T17" s="15"/>
      <c r="U17" s="15">
        <v>6862.45</v>
      </c>
      <c r="V17" s="15"/>
      <c r="W17" s="15">
        <v>6019.86</v>
      </c>
      <c r="X17" s="15"/>
      <c r="Y17" s="15">
        <v>0</v>
      </c>
      <c r="Z17" s="15"/>
      <c r="AA17" s="15">
        <v>0</v>
      </c>
      <c r="AB17" s="15"/>
      <c r="AC17" s="15">
        <v>608.91</v>
      </c>
      <c r="AD17" s="15"/>
      <c r="AE17" s="15">
        <f t="shared" si="0"/>
        <v>1023993.79</v>
      </c>
      <c r="AF17" s="15"/>
      <c r="AG17" s="15">
        <f t="shared" si="1"/>
        <v>396155.68999999994</v>
      </c>
      <c r="AH17" s="15"/>
      <c r="AI17" s="15">
        <v>2326195.84</v>
      </c>
      <c r="AJ17" s="15"/>
      <c r="AK17" s="15">
        <f t="shared" si="2"/>
        <v>1930040.15</v>
      </c>
    </row>
    <row r="18" spans="1:37" ht="12" customHeight="1">
      <c r="A18" s="3" t="s">
        <v>81</v>
      </c>
      <c r="B18" s="10"/>
      <c r="C18" s="3" t="s">
        <v>82</v>
      </c>
      <c r="D18" s="13"/>
      <c r="E18" s="14">
        <v>1393743</v>
      </c>
      <c r="F18" s="15"/>
      <c r="G18" s="14">
        <v>55975</v>
      </c>
      <c r="H18" s="15"/>
      <c r="I18" s="14">
        <v>1896</v>
      </c>
      <c r="J18" s="15"/>
      <c r="K18" s="14">
        <v>0</v>
      </c>
      <c r="L18" s="15"/>
      <c r="M18" s="15">
        <f t="shared" si="3"/>
        <v>1335872</v>
      </c>
      <c r="N18" s="15"/>
      <c r="O18" s="14">
        <v>2624</v>
      </c>
      <c r="P18" s="15"/>
      <c r="Q18" s="15">
        <f>1015307</f>
        <v>1015307</v>
      </c>
      <c r="R18" s="15"/>
      <c r="S18" s="14">
        <v>2381</v>
      </c>
      <c r="T18" s="15"/>
      <c r="U18" s="14">
        <v>41678</v>
      </c>
      <c r="V18" s="15"/>
      <c r="W18" s="14">
        <v>6042</v>
      </c>
      <c r="X18" s="15"/>
      <c r="Y18" s="14">
        <v>0</v>
      </c>
      <c r="Z18" s="15"/>
      <c r="AA18" s="14">
        <v>0</v>
      </c>
      <c r="AB18" s="15"/>
      <c r="AC18" s="14">
        <v>0</v>
      </c>
      <c r="AD18" s="15"/>
      <c r="AE18" s="15">
        <f t="shared" si="0"/>
        <v>1068032</v>
      </c>
      <c r="AF18" s="15"/>
      <c r="AG18" s="15">
        <f t="shared" si="1"/>
        <v>267840</v>
      </c>
      <c r="AH18" s="15"/>
      <c r="AI18" s="14">
        <v>2230828</v>
      </c>
      <c r="AJ18" s="15"/>
      <c r="AK18" s="15">
        <f t="shared" si="2"/>
        <v>1962988</v>
      </c>
    </row>
    <row r="19" spans="1:37" s="46" customFormat="1" ht="12" customHeight="1">
      <c r="A19" s="13" t="s">
        <v>482</v>
      </c>
      <c r="B19" s="4"/>
      <c r="C19" s="13" t="s">
        <v>42</v>
      </c>
      <c r="D19" s="4"/>
      <c r="E19" s="13">
        <v>1560927</v>
      </c>
      <c r="F19" s="4"/>
      <c r="G19" s="13">
        <v>40057</v>
      </c>
      <c r="H19" s="4"/>
      <c r="I19" s="13">
        <v>30883</v>
      </c>
      <c r="J19" s="4"/>
      <c r="K19" s="13">
        <v>0</v>
      </c>
      <c r="L19" s="4"/>
      <c r="M19" s="15">
        <f t="shared" si="3"/>
        <v>1489987</v>
      </c>
      <c r="N19" s="4"/>
      <c r="O19" s="13">
        <v>1274310</v>
      </c>
      <c r="P19" s="4"/>
      <c r="Q19" s="4">
        <v>6488</v>
      </c>
      <c r="R19" s="4"/>
      <c r="S19" s="13">
        <v>0</v>
      </c>
      <c r="T19" s="4"/>
      <c r="U19" s="13">
        <v>94354</v>
      </c>
      <c r="V19" s="4"/>
      <c r="W19" s="13">
        <v>62274</v>
      </c>
      <c r="X19" s="4"/>
      <c r="Y19" s="13">
        <v>0</v>
      </c>
      <c r="Z19" s="4"/>
      <c r="AA19" s="13">
        <v>0</v>
      </c>
      <c r="AB19" s="4"/>
      <c r="AC19" s="13">
        <v>0</v>
      </c>
      <c r="AD19" s="4"/>
      <c r="AE19" s="15">
        <f t="shared" si="0"/>
        <v>1437426</v>
      </c>
      <c r="AF19" s="4"/>
      <c r="AG19" s="15">
        <f t="shared" si="1"/>
        <v>52561</v>
      </c>
      <c r="AH19" s="4"/>
      <c r="AI19" s="13">
        <v>2863894</v>
      </c>
      <c r="AJ19" s="4"/>
      <c r="AK19" s="15">
        <f>+AI19-AG19</f>
        <v>2811333</v>
      </c>
    </row>
    <row r="20" spans="1:37" ht="12" customHeight="1">
      <c r="A20" s="4" t="s">
        <v>350</v>
      </c>
      <c r="B20" s="4"/>
      <c r="C20" s="4" t="s">
        <v>43</v>
      </c>
      <c r="D20" s="4"/>
      <c r="E20" s="4">
        <v>1030144</v>
      </c>
      <c r="F20" s="4"/>
      <c r="G20" s="4">
        <v>19698</v>
      </c>
      <c r="H20" s="4"/>
      <c r="I20" s="4">
        <v>21569</v>
      </c>
      <c r="J20" s="4"/>
      <c r="K20" s="4">
        <v>0</v>
      </c>
      <c r="L20" s="4"/>
      <c r="M20" s="15">
        <f t="shared" si="3"/>
        <v>988877</v>
      </c>
      <c r="N20" s="4"/>
      <c r="O20" s="4">
        <v>0</v>
      </c>
      <c r="P20" s="4"/>
      <c r="Q20" s="4">
        <v>1004442</v>
      </c>
      <c r="R20" s="4"/>
      <c r="S20" s="4">
        <v>0</v>
      </c>
      <c r="T20" s="4"/>
      <c r="U20" s="4">
        <v>58906</v>
      </c>
      <c r="V20" s="4"/>
      <c r="W20" s="4">
        <v>5244</v>
      </c>
      <c r="X20" s="4"/>
      <c r="Y20" s="4">
        <v>0</v>
      </c>
      <c r="Z20" s="4"/>
      <c r="AA20" s="4">
        <v>0</v>
      </c>
      <c r="AB20" s="4"/>
      <c r="AC20" s="4">
        <v>0</v>
      </c>
      <c r="AD20" s="4"/>
      <c r="AE20" s="15">
        <f t="shared" si="0"/>
        <v>1068592</v>
      </c>
      <c r="AF20" s="4"/>
      <c r="AG20" s="15">
        <f t="shared" si="1"/>
        <v>-79715</v>
      </c>
      <c r="AH20" s="4"/>
      <c r="AI20" s="4">
        <v>3250347</v>
      </c>
      <c r="AJ20" s="4"/>
      <c r="AK20" s="15">
        <f t="shared" si="2"/>
        <v>3330062</v>
      </c>
    </row>
    <row r="21" spans="1:37" ht="12" customHeight="1">
      <c r="A21" s="3" t="s">
        <v>83</v>
      </c>
      <c r="B21" s="10"/>
      <c r="C21" s="4" t="s">
        <v>56</v>
      </c>
      <c r="D21" s="13"/>
      <c r="E21" s="14">
        <v>2221440</v>
      </c>
      <c r="F21" s="15"/>
      <c r="G21" s="14">
        <v>65103</v>
      </c>
      <c r="H21" s="15"/>
      <c r="I21" s="14">
        <v>0</v>
      </c>
      <c r="J21" s="15"/>
      <c r="K21" s="14">
        <v>0</v>
      </c>
      <c r="L21" s="15"/>
      <c r="M21" s="15">
        <f t="shared" si="3"/>
        <v>2156337</v>
      </c>
      <c r="N21" s="15"/>
      <c r="O21" s="14">
        <v>1325792</v>
      </c>
      <c r="P21" s="15"/>
      <c r="Q21" s="15">
        <v>803835</v>
      </c>
      <c r="R21" s="15"/>
      <c r="S21" s="14">
        <v>925</v>
      </c>
      <c r="T21" s="15"/>
      <c r="U21" s="14">
        <v>1872</v>
      </c>
      <c r="V21" s="15"/>
      <c r="W21" s="14">
        <v>14461</v>
      </c>
      <c r="X21" s="15"/>
      <c r="Y21" s="14">
        <v>0</v>
      </c>
      <c r="Z21" s="15"/>
      <c r="AA21" s="14">
        <v>0</v>
      </c>
      <c r="AB21" s="15"/>
      <c r="AC21" s="14">
        <v>0</v>
      </c>
      <c r="AD21" s="15"/>
      <c r="AE21" s="15">
        <f t="shared" si="0"/>
        <v>2146885</v>
      </c>
      <c r="AF21" s="15"/>
      <c r="AG21" s="15">
        <f t="shared" si="1"/>
        <v>9452</v>
      </c>
      <c r="AH21" s="15"/>
      <c r="AI21" s="14">
        <v>654374</v>
      </c>
      <c r="AJ21" s="15"/>
      <c r="AK21" s="15">
        <f t="shared" si="2"/>
        <v>644922</v>
      </c>
    </row>
    <row r="22" spans="1:37" ht="12" customHeight="1">
      <c r="A22" s="13" t="s">
        <v>351</v>
      </c>
      <c r="B22" s="4"/>
      <c r="C22" s="13" t="s">
        <v>22</v>
      </c>
      <c r="D22" s="4"/>
      <c r="E22" s="13">
        <v>1463865.65</v>
      </c>
      <c r="F22" s="4"/>
      <c r="G22" s="13">
        <v>26908.080000000002</v>
      </c>
      <c r="H22" s="4"/>
      <c r="I22" s="13">
        <v>71885</v>
      </c>
      <c r="J22" s="4"/>
      <c r="K22" s="13">
        <v>0</v>
      </c>
      <c r="L22" s="4"/>
      <c r="M22" s="15">
        <f t="shared" si="3"/>
        <v>1365072.5699999998</v>
      </c>
      <c r="N22" s="4"/>
      <c r="O22" s="13">
        <v>426134.67</v>
      </c>
      <c r="P22" s="4"/>
      <c r="Q22" s="4">
        <v>836918.43</v>
      </c>
      <c r="R22" s="4"/>
      <c r="S22" s="13">
        <v>0</v>
      </c>
      <c r="T22" s="4"/>
      <c r="U22" s="13">
        <v>26032.06</v>
      </c>
      <c r="V22" s="4"/>
      <c r="W22" s="13">
        <v>2581.77</v>
      </c>
      <c r="X22" s="4"/>
      <c r="Y22" s="13">
        <v>0</v>
      </c>
      <c r="Z22" s="4"/>
      <c r="AA22" s="13">
        <v>0</v>
      </c>
      <c r="AB22" s="4"/>
      <c r="AC22" s="13">
        <v>0</v>
      </c>
      <c r="AD22" s="4"/>
      <c r="AE22" s="15">
        <f t="shared" si="0"/>
        <v>1291666.9300000002</v>
      </c>
      <c r="AF22" s="4"/>
      <c r="AG22" s="15">
        <f t="shared" si="1"/>
        <v>73405.639999999665</v>
      </c>
      <c r="AH22" s="4"/>
      <c r="AI22" s="13">
        <v>1401896.54</v>
      </c>
      <c r="AJ22" s="4"/>
      <c r="AK22" s="15">
        <f t="shared" si="2"/>
        <v>1328490.9000000004</v>
      </c>
    </row>
    <row r="23" spans="1:37" ht="12" customHeight="1">
      <c r="A23" s="3" t="s">
        <v>21</v>
      </c>
      <c r="B23" s="10"/>
      <c r="C23" s="3" t="s">
        <v>13</v>
      </c>
      <c r="D23" s="13"/>
      <c r="E23" s="14">
        <v>630841</v>
      </c>
      <c r="F23" s="15"/>
      <c r="G23" s="14">
        <v>19240</v>
      </c>
      <c r="H23" s="15"/>
      <c r="I23" s="14">
        <v>0</v>
      </c>
      <c r="J23" s="15"/>
      <c r="K23" s="14">
        <v>0</v>
      </c>
      <c r="L23" s="15"/>
      <c r="M23" s="15">
        <f t="shared" si="3"/>
        <v>611601</v>
      </c>
      <c r="N23" s="15"/>
      <c r="O23" s="13">
        <v>0</v>
      </c>
      <c r="P23" s="15"/>
      <c r="Q23" s="15">
        <v>415401</v>
      </c>
      <c r="R23" s="15"/>
      <c r="S23" s="14">
        <v>11115</v>
      </c>
      <c r="T23" s="15"/>
      <c r="U23" s="14">
        <v>17529</v>
      </c>
      <c r="V23" s="15"/>
      <c r="W23" s="14">
        <v>2656</v>
      </c>
      <c r="X23" s="15"/>
      <c r="Y23" s="14">
        <v>0</v>
      </c>
      <c r="Z23" s="15"/>
      <c r="AA23" s="14">
        <v>0</v>
      </c>
      <c r="AB23" s="15"/>
      <c r="AC23" s="14">
        <v>0</v>
      </c>
      <c r="AD23" s="15"/>
      <c r="AE23" s="15">
        <f t="shared" si="0"/>
        <v>446701</v>
      </c>
      <c r="AF23" s="15"/>
      <c r="AG23" s="15">
        <f t="shared" si="1"/>
        <v>164900</v>
      </c>
      <c r="AH23" s="15"/>
      <c r="AI23" s="14">
        <v>785345</v>
      </c>
      <c r="AJ23" s="15"/>
      <c r="AK23" s="15">
        <f t="shared" si="2"/>
        <v>620445</v>
      </c>
    </row>
    <row r="24" spans="1:37" ht="12" customHeight="1">
      <c r="A24" s="13" t="s">
        <v>352</v>
      </c>
      <c r="B24" s="4"/>
      <c r="C24" s="13" t="s">
        <v>13</v>
      </c>
      <c r="D24" s="4"/>
      <c r="E24" s="13">
        <v>504347</v>
      </c>
      <c r="F24" s="4"/>
      <c r="G24" s="13">
        <v>9691</v>
      </c>
      <c r="H24" s="4"/>
      <c r="I24" s="13">
        <v>0</v>
      </c>
      <c r="J24" s="4"/>
      <c r="K24" s="13">
        <v>0</v>
      </c>
      <c r="L24" s="4"/>
      <c r="M24" s="15">
        <f t="shared" si="3"/>
        <v>494656</v>
      </c>
      <c r="N24" s="4"/>
      <c r="O24" s="13">
        <v>0</v>
      </c>
      <c r="P24" s="4"/>
      <c r="Q24" s="4">
        <v>419774</v>
      </c>
      <c r="R24" s="4"/>
      <c r="S24" s="13">
        <v>0</v>
      </c>
      <c r="T24" s="4"/>
      <c r="U24" s="13">
        <v>10051</v>
      </c>
      <c r="V24" s="4"/>
      <c r="W24" s="13">
        <v>1469</v>
      </c>
      <c r="X24" s="4"/>
      <c r="Y24" s="13">
        <v>0</v>
      </c>
      <c r="Z24" s="4"/>
      <c r="AA24" s="13">
        <v>0</v>
      </c>
      <c r="AB24" s="4"/>
      <c r="AC24" s="13">
        <v>0</v>
      </c>
      <c r="AD24" s="4"/>
      <c r="AE24" s="15">
        <f t="shared" si="0"/>
        <v>431294</v>
      </c>
      <c r="AF24" s="4"/>
      <c r="AG24" s="15">
        <f t="shared" si="1"/>
        <v>63362</v>
      </c>
      <c r="AH24" s="4"/>
      <c r="AI24" s="13">
        <v>1038040</v>
      </c>
      <c r="AJ24" s="4"/>
      <c r="AK24" s="15">
        <f t="shared" si="2"/>
        <v>974678</v>
      </c>
    </row>
    <row r="25" spans="1:37" ht="12" customHeight="1">
      <c r="A25" s="3" t="s">
        <v>87</v>
      </c>
      <c r="B25" s="13"/>
      <c r="C25" s="4" t="s">
        <v>88</v>
      </c>
      <c r="D25" s="13"/>
      <c r="E25" s="14">
        <v>929756</v>
      </c>
      <c r="F25" s="15"/>
      <c r="G25" s="14">
        <v>24863</v>
      </c>
      <c r="H25" s="15"/>
      <c r="I25" s="14">
        <v>5895</v>
      </c>
      <c r="J25" s="15"/>
      <c r="K25" s="14">
        <v>0</v>
      </c>
      <c r="L25" s="15"/>
      <c r="M25" s="15">
        <f t="shared" si="3"/>
        <v>898998</v>
      </c>
      <c r="N25" s="15"/>
      <c r="O25" s="14">
        <v>281968</v>
      </c>
      <c r="P25" s="15"/>
      <c r="Q25" s="15">
        <v>562790</v>
      </c>
      <c r="R25" s="15"/>
      <c r="S25" s="14">
        <v>0</v>
      </c>
      <c r="T25" s="15"/>
      <c r="U25" s="14">
        <v>2300</v>
      </c>
      <c r="V25" s="15"/>
      <c r="W25" s="14">
        <v>156</v>
      </c>
      <c r="X25" s="15"/>
      <c r="Y25" s="14">
        <v>0</v>
      </c>
      <c r="Z25" s="15"/>
      <c r="AA25" s="14">
        <v>0</v>
      </c>
      <c r="AB25" s="15"/>
      <c r="AC25" s="14">
        <v>6500</v>
      </c>
      <c r="AD25" s="15"/>
      <c r="AE25" s="15">
        <f t="shared" si="0"/>
        <v>853714</v>
      </c>
      <c r="AF25" s="15"/>
      <c r="AG25" s="15">
        <f t="shared" si="1"/>
        <v>45284</v>
      </c>
      <c r="AH25" s="15"/>
      <c r="AI25" s="14">
        <v>913575</v>
      </c>
      <c r="AJ25" s="15"/>
      <c r="AK25" s="15">
        <f t="shared" si="2"/>
        <v>868291</v>
      </c>
    </row>
    <row r="26" spans="1:37" ht="12" customHeight="1">
      <c r="A26" s="4" t="s">
        <v>94</v>
      </c>
      <c r="B26" s="4"/>
      <c r="C26" s="4" t="s">
        <v>68</v>
      </c>
      <c r="D26" s="4"/>
      <c r="E26" s="4">
        <v>593595</v>
      </c>
      <c r="F26" s="4"/>
      <c r="G26" s="4">
        <v>11699</v>
      </c>
      <c r="H26" s="4"/>
      <c r="I26" s="4">
        <v>0</v>
      </c>
      <c r="J26" s="4"/>
      <c r="K26" s="4">
        <v>0</v>
      </c>
      <c r="L26" s="4"/>
      <c r="M26" s="15">
        <f t="shared" si="3"/>
        <v>581896</v>
      </c>
      <c r="N26" s="4"/>
      <c r="O26" s="4">
        <v>133595</v>
      </c>
      <c r="P26" s="4"/>
      <c r="Q26" s="4">
        <v>403164</v>
      </c>
      <c r="R26" s="4"/>
      <c r="S26" s="4">
        <v>1621</v>
      </c>
      <c r="T26" s="4"/>
      <c r="U26" s="4">
        <v>1360</v>
      </c>
      <c r="V26" s="4"/>
      <c r="W26" s="4">
        <v>0</v>
      </c>
      <c r="X26" s="4"/>
      <c r="Y26" s="4">
        <v>0</v>
      </c>
      <c r="Z26" s="4"/>
      <c r="AA26" s="4">
        <v>0</v>
      </c>
      <c r="AB26" s="4"/>
      <c r="AC26" s="4">
        <v>0</v>
      </c>
      <c r="AD26" s="4"/>
      <c r="AE26" s="15">
        <f t="shared" si="0"/>
        <v>539740</v>
      </c>
      <c r="AF26" s="4"/>
      <c r="AG26" s="15">
        <f t="shared" si="1"/>
        <v>42156</v>
      </c>
      <c r="AH26" s="4"/>
      <c r="AI26" s="4">
        <v>294000</v>
      </c>
      <c r="AJ26" s="4"/>
      <c r="AK26" s="15">
        <f t="shared" si="2"/>
        <v>251844</v>
      </c>
    </row>
    <row r="27" spans="1:37" ht="12" customHeight="1">
      <c r="A27" s="10" t="s">
        <v>99</v>
      </c>
      <c r="B27" s="13"/>
      <c r="C27" s="13" t="s">
        <v>55</v>
      </c>
      <c r="D27" s="13"/>
      <c r="E27" s="15">
        <v>445942</v>
      </c>
      <c r="F27" s="15"/>
      <c r="G27" s="15">
        <v>19238</v>
      </c>
      <c r="H27" s="15"/>
      <c r="I27" s="15">
        <v>0</v>
      </c>
      <c r="J27" s="15"/>
      <c r="K27" s="15">
        <v>0</v>
      </c>
      <c r="L27" s="15"/>
      <c r="M27" s="15">
        <f t="shared" si="3"/>
        <v>426704</v>
      </c>
      <c r="N27" s="15"/>
      <c r="O27" s="15">
        <v>0</v>
      </c>
      <c r="P27" s="15"/>
      <c r="Q27" s="15">
        <v>360584</v>
      </c>
      <c r="R27" s="15"/>
      <c r="S27" s="15">
        <v>0</v>
      </c>
      <c r="T27" s="15"/>
      <c r="U27" s="15">
        <v>29138</v>
      </c>
      <c r="V27" s="15"/>
      <c r="W27" s="15">
        <v>2334</v>
      </c>
      <c r="X27" s="15"/>
      <c r="Y27" s="15">
        <v>0</v>
      </c>
      <c r="Z27" s="15"/>
      <c r="AA27" s="15">
        <v>0</v>
      </c>
      <c r="AB27" s="15"/>
      <c r="AC27" s="15">
        <v>0</v>
      </c>
      <c r="AD27" s="15"/>
      <c r="AE27" s="15">
        <f t="shared" si="0"/>
        <v>392056</v>
      </c>
      <c r="AF27" s="15"/>
      <c r="AG27" s="15">
        <f t="shared" si="1"/>
        <v>34648</v>
      </c>
      <c r="AH27" s="15"/>
      <c r="AI27" s="15">
        <v>898612</v>
      </c>
      <c r="AJ27" s="15"/>
      <c r="AK27" s="15">
        <f t="shared" si="2"/>
        <v>863964</v>
      </c>
    </row>
    <row r="28" spans="1:37" ht="12" customHeight="1">
      <c r="A28" s="10" t="s">
        <v>108</v>
      </c>
      <c r="B28" s="10"/>
      <c r="C28" s="10" t="s">
        <v>109</v>
      </c>
      <c r="D28" s="13"/>
      <c r="E28" s="15">
        <v>921384</v>
      </c>
      <c r="F28" s="15"/>
      <c r="G28" s="15">
        <v>22795</v>
      </c>
      <c r="H28" s="15"/>
      <c r="I28" s="15">
        <v>1508</v>
      </c>
      <c r="J28" s="15"/>
      <c r="K28" s="15">
        <v>0</v>
      </c>
      <c r="L28" s="15"/>
      <c r="M28" s="15">
        <f t="shared" si="3"/>
        <v>897081</v>
      </c>
      <c r="N28" s="15"/>
      <c r="O28" s="15">
        <v>0</v>
      </c>
      <c r="P28" s="15"/>
      <c r="Q28" s="15">
        <v>849111</v>
      </c>
      <c r="R28" s="15"/>
      <c r="S28" s="15">
        <v>122</v>
      </c>
      <c r="T28" s="15"/>
      <c r="U28" s="15">
        <v>20399</v>
      </c>
      <c r="V28" s="15"/>
      <c r="W28" s="15">
        <f>2567+15000</f>
        <v>17567</v>
      </c>
      <c r="X28" s="15"/>
      <c r="Y28" s="15">
        <v>0</v>
      </c>
      <c r="Z28" s="15"/>
      <c r="AA28" s="15">
        <v>0</v>
      </c>
      <c r="AB28" s="15"/>
      <c r="AC28" s="15">
        <v>0</v>
      </c>
      <c r="AD28" s="15"/>
      <c r="AE28" s="15">
        <f t="shared" si="0"/>
        <v>887199</v>
      </c>
      <c r="AF28" s="15"/>
      <c r="AG28" s="15">
        <f>+M28-AE28</f>
        <v>9882</v>
      </c>
      <c r="AH28" s="15"/>
      <c r="AI28" s="15">
        <v>1267513</v>
      </c>
      <c r="AJ28" s="15"/>
      <c r="AK28" s="15">
        <f t="shared" si="2"/>
        <v>1257631</v>
      </c>
    </row>
    <row r="29" spans="1:37" ht="12" customHeight="1">
      <c r="A29" s="13" t="s">
        <v>353</v>
      </c>
      <c r="B29" s="4"/>
      <c r="C29" s="13" t="s">
        <v>47</v>
      </c>
      <c r="D29" s="4"/>
      <c r="E29" s="13">
        <v>711452</v>
      </c>
      <c r="F29" s="4"/>
      <c r="G29" s="13">
        <v>31628</v>
      </c>
      <c r="H29" s="4"/>
      <c r="I29" s="13">
        <v>0</v>
      </c>
      <c r="J29" s="4"/>
      <c r="K29" s="13">
        <v>0</v>
      </c>
      <c r="L29" s="4"/>
      <c r="M29" s="15">
        <f t="shared" si="3"/>
        <v>679824</v>
      </c>
      <c r="N29" s="4"/>
      <c r="O29" s="13">
        <v>0</v>
      </c>
      <c r="P29" s="4"/>
      <c r="Q29" s="4">
        <v>592880</v>
      </c>
      <c r="R29" s="4"/>
      <c r="S29" s="13">
        <v>0</v>
      </c>
      <c r="T29" s="4"/>
      <c r="U29" s="13">
        <v>5508</v>
      </c>
      <c r="V29" s="4"/>
      <c r="W29" s="13">
        <v>2727</v>
      </c>
      <c r="X29" s="4"/>
      <c r="Y29" s="13">
        <v>0</v>
      </c>
      <c r="Z29" s="4"/>
      <c r="AA29" s="13">
        <v>0</v>
      </c>
      <c r="AB29" s="4"/>
      <c r="AC29" s="13">
        <v>0</v>
      </c>
      <c r="AD29" s="4"/>
      <c r="AE29" s="15">
        <f t="shared" si="0"/>
        <v>601115</v>
      </c>
      <c r="AF29" s="4"/>
      <c r="AG29" s="15">
        <f t="shared" si="1"/>
        <v>78709</v>
      </c>
      <c r="AH29" s="4"/>
      <c r="AI29" s="13">
        <v>792789</v>
      </c>
      <c r="AJ29" s="4"/>
      <c r="AK29" s="15">
        <f t="shared" si="2"/>
        <v>714080</v>
      </c>
    </row>
    <row r="30" spans="1:37" ht="12" customHeight="1">
      <c r="A30" s="13" t="s">
        <v>517</v>
      </c>
      <c r="B30" s="4"/>
      <c r="C30" s="13" t="s">
        <v>48</v>
      </c>
      <c r="D30" s="4"/>
      <c r="E30" s="13">
        <v>2281457.37</v>
      </c>
      <c r="F30" s="4"/>
      <c r="G30" s="13">
        <v>67231.490000000005</v>
      </c>
      <c r="H30" s="4"/>
      <c r="I30" s="13">
        <v>8471.44</v>
      </c>
      <c r="J30" s="4"/>
      <c r="K30" s="13">
        <v>50</v>
      </c>
      <c r="L30" s="4"/>
      <c r="M30" s="15">
        <f t="shared" si="3"/>
        <v>2205704.44</v>
      </c>
      <c r="N30" s="4"/>
      <c r="O30" s="13">
        <v>0</v>
      </c>
      <c r="P30" s="4"/>
      <c r="Q30" s="4">
        <v>2210947.7599999998</v>
      </c>
      <c r="R30" s="4"/>
      <c r="S30" s="13">
        <v>0</v>
      </c>
      <c r="T30" s="4"/>
      <c r="U30" s="13">
        <v>3934.24</v>
      </c>
      <c r="V30" s="4"/>
      <c r="W30" s="13">
        <v>7767.04</v>
      </c>
      <c r="X30" s="4"/>
      <c r="Y30" s="13">
        <v>0</v>
      </c>
      <c r="Z30" s="4"/>
      <c r="AA30" s="13">
        <v>0</v>
      </c>
      <c r="AB30" s="4"/>
      <c r="AC30" s="13">
        <v>0</v>
      </c>
      <c r="AD30" s="4"/>
      <c r="AE30" s="15">
        <f t="shared" si="0"/>
        <v>2222649.04</v>
      </c>
      <c r="AF30" s="4"/>
      <c r="AG30" s="15">
        <f t="shared" si="1"/>
        <v>-16944.600000000093</v>
      </c>
      <c r="AH30" s="4"/>
      <c r="AI30" s="13">
        <v>566378.18999999994</v>
      </c>
      <c r="AJ30" s="4"/>
      <c r="AK30" s="15">
        <f t="shared" si="2"/>
        <v>583322.79</v>
      </c>
    </row>
    <row r="31" spans="1:37" ht="12" customHeight="1">
      <c r="A31" s="13" t="s">
        <v>578</v>
      </c>
      <c r="B31" s="4"/>
      <c r="C31" s="13" t="s">
        <v>527</v>
      </c>
      <c r="D31" s="4"/>
      <c r="E31" s="13">
        <v>56133325</v>
      </c>
      <c r="F31" s="4"/>
      <c r="G31" s="13">
        <v>1986173</v>
      </c>
      <c r="H31" s="4"/>
      <c r="I31" s="13">
        <v>633404</v>
      </c>
      <c r="J31" s="4"/>
      <c r="K31" s="13">
        <v>0</v>
      </c>
      <c r="L31" s="4"/>
      <c r="M31" s="15">
        <f t="shared" ref="M31" si="4">+E31-G31-I31-K31</f>
        <v>53513748</v>
      </c>
      <c r="N31" s="4"/>
      <c r="O31" s="13">
        <v>0</v>
      </c>
      <c r="P31" s="4"/>
      <c r="Q31" s="4">
        <v>35472245</v>
      </c>
      <c r="R31" s="4"/>
      <c r="S31" s="13">
        <v>3669</v>
      </c>
      <c r="T31" s="4"/>
      <c r="U31" s="13">
        <v>88420</v>
      </c>
      <c r="V31" s="4"/>
      <c r="W31" s="13">
        <v>658480</v>
      </c>
      <c r="X31" s="4"/>
      <c r="Y31" s="13">
        <v>0</v>
      </c>
      <c r="Z31" s="4"/>
      <c r="AA31" s="13">
        <v>0</v>
      </c>
      <c r="AB31" s="4"/>
      <c r="AC31" s="13">
        <v>0</v>
      </c>
      <c r="AD31" s="4"/>
      <c r="AE31" s="15">
        <f t="shared" ref="AE31" si="5">SUM(O31:AC31)</f>
        <v>36222814</v>
      </c>
      <c r="AF31" s="4"/>
      <c r="AG31" s="15">
        <f t="shared" ref="AG31" si="6">+M31-AE31</f>
        <v>17290934</v>
      </c>
      <c r="AH31" s="4"/>
      <c r="AI31" s="13">
        <v>137642955</v>
      </c>
      <c r="AJ31" s="4"/>
      <c r="AK31" s="15">
        <f t="shared" ref="AK31" si="7">+AI31-AG31</f>
        <v>120352021</v>
      </c>
    </row>
    <row r="32" spans="1:37" ht="12" customHeight="1">
      <c r="A32" s="4" t="s">
        <v>114</v>
      </c>
      <c r="B32" s="4"/>
      <c r="C32" s="4" t="s">
        <v>115</v>
      </c>
      <c r="D32" s="4"/>
      <c r="E32" s="4">
        <v>7820812</v>
      </c>
      <c r="F32" s="4"/>
      <c r="G32" s="4">
        <v>235384</v>
      </c>
      <c r="H32" s="4"/>
      <c r="I32" s="4">
        <v>0</v>
      </c>
      <c r="J32" s="4"/>
      <c r="K32" s="4">
        <v>0</v>
      </c>
      <c r="L32" s="4"/>
      <c r="M32" s="15">
        <f t="shared" si="3"/>
        <v>7585428</v>
      </c>
      <c r="N32" s="4"/>
      <c r="O32" s="4">
        <v>3404192</v>
      </c>
      <c r="P32" s="4"/>
      <c r="Q32" s="4">
        <v>4844932</v>
      </c>
      <c r="R32" s="4"/>
      <c r="S32" s="4">
        <v>39795</v>
      </c>
      <c r="T32" s="4"/>
      <c r="U32" s="4">
        <v>20410</v>
      </c>
      <c r="V32" s="4"/>
      <c r="W32" s="4">
        <v>27502</v>
      </c>
      <c r="X32" s="4"/>
      <c r="Y32" s="4">
        <v>0</v>
      </c>
      <c r="Z32" s="4"/>
      <c r="AA32" s="4">
        <v>0</v>
      </c>
      <c r="AB32" s="4"/>
      <c r="AC32" s="4">
        <v>0</v>
      </c>
      <c r="AD32" s="4"/>
      <c r="AE32" s="15">
        <f t="shared" si="0"/>
        <v>8336831</v>
      </c>
      <c r="AF32" s="4"/>
      <c r="AG32" s="15">
        <f t="shared" si="1"/>
        <v>-751403</v>
      </c>
      <c r="AH32" s="4"/>
      <c r="AI32" s="4">
        <v>6896870</v>
      </c>
      <c r="AJ32" s="4"/>
      <c r="AK32" s="15">
        <f t="shared" si="2"/>
        <v>7648273</v>
      </c>
    </row>
    <row r="33" spans="1:37" ht="12" customHeight="1">
      <c r="A33" s="10" t="s">
        <v>575</v>
      </c>
      <c r="B33" s="13"/>
      <c r="C33" s="13" t="s">
        <v>19</v>
      </c>
      <c r="D33" s="13"/>
      <c r="E33" s="15">
        <v>7967549</v>
      </c>
      <c r="F33" s="15"/>
      <c r="G33" s="15">
        <v>132987</v>
      </c>
      <c r="H33" s="15"/>
      <c r="I33" s="15">
        <v>44440</v>
      </c>
      <c r="J33" s="15"/>
      <c r="K33" s="15">
        <v>3000</v>
      </c>
      <c r="L33" s="15"/>
      <c r="M33" s="15">
        <f t="shared" si="3"/>
        <v>7787122</v>
      </c>
      <c r="N33" s="15"/>
      <c r="O33" s="15">
        <v>6242776</v>
      </c>
      <c r="P33" s="15"/>
      <c r="Q33" s="15">
        <v>3437579</v>
      </c>
      <c r="R33" s="15"/>
      <c r="S33" s="15">
        <v>0</v>
      </c>
      <c r="T33" s="15"/>
      <c r="U33" s="15">
        <v>30077</v>
      </c>
      <c r="V33" s="15"/>
      <c r="W33" s="15">
        <v>37755</v>
      </c>
      <c r="X33" s="15"/>
      <c r="Y33" s="15">
        <v>0</v>
      </c>
      <c r="Z33" s="15"/>
      <c r="AA33" s="15">
        <v>0</v>
      </c>
      <c r="AB33" s="15"/>
      <c r="AC33" s="15">
        <v>0</v>
      </c>
      <c r="AD33" s="15"/>
      <c r="AE33" s="15">
        <f t="shared" si="0"/>
        <v>9748187</v>
      </c>
      <c r="AF33" s="15"/>
      <c r="AG33" s="15">
        <f t="shared" si="1"/>
        <v>-1961065</v>
      </c>
      <c r="AH33" s="15"/>
      <c r="AI33" s="15">
        <v>19612221</v>
      </c>
      <c r="AJ33" s="15"/>
      <c r="AK33" s="15">
        <f t="shared" si="2"/>
        <v>21573286</v>
      </c>
    </row>
    <row r="34" spans="1:37" ht="12" customHeight="1">
      <c r="A34" s="10" t="s">
        <v>576</v>
      </c>
      <c r="B34" s="10"/>
      <c r="C34" s="10" t="s">
        <v>19</v>
      </c>
      <c r="D34" s="13"/>
      <c r="E34" s="15">
        <v>67105136</v>
      </c>
      <c r="F34" s="15"/>
      <c r="G34" s="15">
        <v>3262870</v>
      </c>
      <c r="H34" s="15"/>
      <c r="I34" s="15">
        <v>3563628</v>
      </c>
      <c r="J34" s="15"/>
      <c r="K34" s="15">
        <v>0</v>
      </c>
      <c r="L34" s="15"/>
      <c r="M34" s="15">
        <f t="shared" si="3"/>
        <v>60278638</v>
      </c>
      <c r="N34" s="15"/>
      <c r="O34" s="15">
        <v>37070244</v>
      </c>
      <c r="P34" s="15"/>
      <c r="Q34" s="15">
        <v>28424440</v>
      </c>
      <c r="R34" s="15"/>
      <c r="S34" s="15">
        <v>0</v>
      </c>
      <c r="T34" s="15"/>
      <c r="U34" s="15">
        <v>514757</v>
      </c>
      <c r="V34" s="15"/>
      <c r="W34" s="15">
        <v>546529</v>
      </c>
      <c r="X34" s="15"/>
      <c r="Y34" s="15">
        <v>0</v>
      </c>
      <c r="Z34" s="15"/>
      <c r="AA34" s="15">
        <v>0</v>
      </c>
      <c r="AB34" s="15"/>
      <c r="AC34" s="15">
        <v>0</v>
      </c>
      <c r="AD34" s="15"/>
      <c r="AE34" s="15">
        <f t="shared" si="0"/>
        <v>66555970</v>
      </c>
      <c r="AF34" s="15"/>
      <c r="AG34" s="15">
        <f t="shared" si="1"/>
        <v>-6277332</v>
      </c>
      <c r="AH34" s="15"/>
      <c r="AI34" s="15">
        <v>169677487</v>
      </c>
      <c r="AJ34" s="15"/>
      <c r="AK34" s="15">
        <f t="shared" si="2"/>
        <v>175954819</v>
      </c>
    </row>
    <row r="35" spans="1:37" ht="12" customHeight="1">
      <c r="A35" s="4" t="s">
        <v>71</v>
      </c>
      <c r="B35" s="4"/>
      <c r="C35" s="4" t="s">
        <v>49</v>
      </c>
      <c r="D35" s="4"/>
      <c r="E35" s="4">
        <v>194110.26</v>
      </c>
      <c r="F35" s="4"/>
      <c r="G35" s="4">
        <v>6945.32</v>
      </c>
      <c r="H35" s="4"/>
      <c r="I35" s="4">
        <v>0</v>
      </c>
      <c r="J35" s="4"/>
      <c r="K35" s="4">
        <v>0</v>
      </c>
      <c r="L35" s="4"/>
      <c r="M35" s="15">
        <f t="shared" si="3"/>
        <v>187164.94</v>
      </c>
      <c r="N35" s="4"/>
      <c r="O35" s="4">
        <v>0</v>
      </c>
      <c r="P35" s="4"/>
      <c r="Q35" s="4">
        <v>208998.23</v>
      </c>
      <c r="R35" s="4"/>
      <c r="S35" s="4">
        <v>0</v>
      </c>
      <c r="T35" s="4"/>
      <c r="U35" s="4">
        <v>760.36</v>
      </c>
      <c r="V35" s="4"/>
      <c r="W35" s="4">
        <v>1391</v>
      </c>
      <c r="X35" s="4"/>
      <c r="Y35" s="4">
        <v>0</v>
      </c>
      <c r="Z35" s="4"/>
      <c r="AA35" s="4">
        <v>0</v>
      </c>
      <c r="AB35" s="4"/>
      <c r="AC35" s="4">
        <v>0</v>
      </c>
      <c r="AD35" s="4"/>
      <c r="AE35" s="15">
        <f t="shared" si="0"/>
        <v>211149.59</v>
      </c>
      <c r="AF35" s="4"/>
      <c r="AG35" s="15">
        <f t="shared" si="1"/>
        <v>-23984.649999999994</v>
      </c>
      <c r="AH35" s="4"/>
      <c r="AI35" s="4">
        <v>80788.98</v>
      </c>
      <c r="AJ35" s="4"/>
      <c r="AK35" s="15">
        <f t="shared" si="2"/>
        <v>104773.62999999999</v>
      </c>
    </row>
    <row r="36" spans="1:37" ht="12" customHeight="1">
      <c r="A36" s="4" t="s">
        <v>577</v>
      </c>
      <c r="B36" s="4"/>
      <c r="C36" s="4" t="s">
        <v>91</v>
      </c>
      <c r="D36" s="4"/>
      <c r="E36" s="4">
        <v>51445472</v>
      </c>
      <c r="F36" s="4"/>
      <c r="G36" s="4">
        <v>3557492</v>
      </c>
      <c r="H36" s="4"/>
      <c r="I36" s="4">
        <v>583625</v>
      </c>
      <c r="J36" s="4"/>
      <c r="K36" s="4">
        <v>64059</v>
      </c>
      <c r="L36" s="4"/>
      <c r="M36" s="15">
        <f t="shared" ref="M36" si="8">+E36-G36-I36-K36</f>
        <v>47240296</v>
      </c>
      <c r="N36" s="4"/>
      <c r="O36" s="4">
        <v>15808287</v>
      </c>
      <c r="P36" s="4"/>
      <c r="Q36" s="4">
        <v>24799451</v>
      </c>
      <c r="R36" s="4"/>
      <c r="S36" s="4">
        <v>0</v>
      </c>
      <c r="T36" s="4"/>
      <c r="U36" s="4">
        <v>260402</v>
      </c>
      <c r="V36" s="4"/>
      <c r="W36" s="4">
        <v>0</v>
      </c>
      <c r="X36" s="4"/>
      <c r="Y36" s="4">
        <v>0</v>
      </c>
      <c r="Z36" s="4"/>
      <c r="AA36" s="4">
        <v>0</v>
      </c>
      <c r="AB36" s="4"/>
      <c r="AC36" s="4">
        <v>0</v>
      </c>
      <c r="AD36" s="4"/>
      <c r="AE36" s="15">
        <f t="shared" ref="AE36" si="9">SUM(O36:AC36)</f>
        <v>40868140</v>
      </c>
      <c r="AF36" s="4"/>
      <c r="AG36" s="15">
        <f t="shared" ref="AG36" si="10">+M36-AE36</f>
        <v>6372156</v>
      </c>
      <c r="AH36" s="4"/>
      <c r="AI36" s="4">
        <f>89877638+132813</f>
        <v>90010451</v>
      </c>
      <c r="AJ36" s="4"/>
      <c r="AK36" s="15">
        <f t="shared" ref="AK36" si="11">+AI36-AG36</f>
        <v>83638295</v>
      </c>
    </row>
    <row r="37" spans="1:37" ht="12" customHeight="1">
      <c r="A37" s="13" t="s">
        <v>354</v>
      </c>
      <c r="B37" s="13"/>
      <c r="C37" s="13" t="s">
        <v>69</v>
      </c>
      <c r="D37" s="13"/>
      <c r="E37" s="15">
        <v>665779</v>
      </c>
      <c r="F37" s="15"/>
      <c r="G37" s="15">
        <v>20404</v>
      </c>
      <c r="H37" s="15"/>
      <c r="I37" s="15">
        <v>15388</v>
      </c>
      <c r="J37" s="15"/>
      <c r="K37" s="15">
        <v>0</v>
      </c>
      <c r="L37" s="15"/>
      <c r="M37" s="15">
        <f t="shared" si="3"/>
        <v>629987</v>
      </c>
      <c r="N37" s="15"/>
      <c r="O37" s="15">
        <v>0</v>
      </c>
      <c r="P37" s="15"/>
      <c r="Q37" s="15">
        <v>542275</v>
      </c>
      <c r="R37" s="15"/>
      <c r="S37" s="15">
        <v>0</v>
      </c>
      <c r="T37" s="15"/>
      <c r="U37" s="15">
        <v>5856</v>
      </c>
      <c r="V37" s="15"/>
      <c r="W37" s="15">
        <v>0</v>
      </c>
      <c r="X37" s="15"/>
      <c r="Y37" s="15">
        <v>0</v>
      </c>
      <c r="Z37" s="15"/>
      <c r="AA37" s="15">
        <v>0</v>
      </c>
      <c r="AB37" s="15"/>
      <c r="AC37" s="15">
        <v>0</v>
      </c>
      <c r="AD37" s="15"/>
      <c r="AE37" s="15">
        <f t="shared" si="0"/>
        <v>548131</v>
      </c>
      <c r="AF37" s="15"/>
      <c r="AG37" s="15">
        <f t="shared" si="1"/>
        <v>81856</v>
      </c>
      <c r="AH37" s="15"/>
      <c r="AI37" s="15">
        <v>484972</v>
      </c>
      <c r="AJ37" s="15"/>
      <c r="AK37" s="15">
        <f t="shared" si="2"/>
        <v>403116</v>
      </c>
    </row>
    <row r="38" spans="1:37" ht="12" hidden="1" customHeight="1">
      <c r="A38" s="10" t="s">
        <v>355</v>
      </c>
      <c r="B38" s="13"/>
      <c r="C38" s="13" t="s">
        <v>51</v>
      </c>
      <c r="D38" s="13"/>
      <c r="E38" s="15"/>
      <c r="F38" s="15"/>
      <c r="G38" s="15"/>
      <c r="H38" s="15"/>
      <c r="I38" s="15"/>
      <c r="J38" s="15"/>
      <c r="K38" s="15"/>
      <c r="L38" s="15"/>
      <c r="M38" s="15">
        <f t="shared" si="3"/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>
        <f t="shared" si="0"/>
        <v>0</v>
      </c>
      <c r="AF38" s="15"/>
      <c r="AG38" s="15">
        <f t="shared" si="1"/>
        <v>0</v>
      </c>
      <c r="AH38" s="15"/>
      <c r="AI38" s="15"/>
      <c r="AJ38" s="15"/>
      <c r="AK38" s="15">
        <f t="shared" si="2"/>
        <v>0</v>
      </c>
    </row>
    <row r="39" spans="1:37" ht="12" customHeight="1">
      <c r="A39" s="10" t="s">
        <v>581</v>
      </c>
      <c r="B39" s="13"/>
      <c r="C39" s="13" t="s">
        <v>19</v>
      </c>
      <c r="D39" s="13"/>
      <c r="E39" s="15">
        <v>66314961</v>
      </c>
      <c r="F39" s="15"/>
      <c r="G39" s="15">
        <v>1149051</v>
      </c>
      <c r="H39" s="15"/>
      <c r="I39" s="15">
        <v>780638</v>
      </c>
      <c r="J39" s="15"/>
      <c r="K39" s="15">
        <v>0</v>
      </c>
      <c r="L39" s="15"/>
      <c r="M39" s="15">
        <f t="shared" si="3"/>
        <v>64385272</v>
      </c>
      <c r="N39" s="15"/>
      <c r="O39" s="15">
        <v>43966467</v>
      </c>
      <c r="P39" s="15"/>
      <c r="Q39" s="15">
        <v>27230984</v>
      </c>
      <c r="R39" s="15"/>
      <c r="S39" s="15">
        <v>0</v>
      </c>
      <c r="T39" s="15"/>
      <c r="U39" s="15">
        <v>303543</v>
      </c>
      <c r="V39" s="15"/>
      <c r="W39" s="15">
        <v>26837</v>
      </c>
      <c r="X39" s="15"/>
      <c r="Y39" s="15">
        <v>853</v>
      </c>
      <c r="Z39" s="15"/>
      <c r="AA39" s="15">
        <v>0</v>
      </c>
      <c r="AB39" s="15"/>
      <c r="AC39" s="15">
        <v>0</v>
      </c>
      <c r="AD39" s="15"/>
      <c r="AE39" s="15">
        <f t="shared" si="0"/>
        <v>71528684</v>
      </c>
      <c r="AF39" s="15"/>
      <c r="AG39" s="15">
        <f t="shared" si="1"/>
        <v>-7143412</v>
      </c>
      <c r="AH39" s="15"/>
      <c r="AI39" s="15">
        <v>82278886</v>
      </c>
      <c r="AJ39" s="15"/>
      <c r="AK39" s="15">
        <f t="shared" si="2"/>
        <v>89422298</v>
      </c>
    </row>
    <row r="40" spans="1:37" ht="12" customHeight="1">
      <c r="A40" s="3" t="s">
        <v>122</v>
      </c>
      <c r="B40" s="10"/>
      <c r="C40" s="3" t="s">
        <v>54</v>
      </c>
      <c r="D40" s="13"/>
      <c r="E40" s="14">
        <v>27258089</v>
      </c>
      <c r="F40" s="15"/>
      <c r="G40" s="14">
        <v>740288</v>
      </c>
      <c r="H40" s="15"/>
      <c r="I40" s="14">
        <v>29344</v>
      </c>
      <c r="J40" s="15"/>
      <c r="K40" s="14">
        <v>0</v>
      </c>
      <c r="L40" s="15"/>
      <c r="M40" s="15">
        <f t="shared" si="3"/>
        <v>26488457</v>
      </c>
      <c r="N40" s="15"/>
      <c r="O40" s="14">
        <v>7850485</v>
      </c>
      <c r="P40" s="15"/>
      <c r="Q40" s="15">
        <v>17672232</v>
      </c>
      <c r="R40" s="15"/>
      <c r="S40" s="14">
        <v>42830</v>
      </c>
      <c r="T40" s="15"/>
      <c r="U40" s="14">
        <v>135556</v>
      </c>
      <c r="V40" s="15"/>
      <c r="W40" s="14">
        <v>65595</v>
      </c>
      <c r="X40" s="15"/>
      <c r="Y40" s="14">
        <v>0</v>
      </c>
      <c r="Z40" s="15"/>
      <c r="AA40" s="14">
        <v>0</v>
      </c>
      <c r="AB40" s="15"/>
      <c r="AC40" s="14">
        <v>0</v>
      </c>
      <c r="AD40" s="15"/>
      <c r="AE40" s="15">
        <f t="shared" si="0"/>
        <v>25766698</v>
      </c>
      <c r="AF40" s="15"/>
      <c r="AG40" s="15">
        <f t="shared" si="1"/>
        <v>721759</v>
      </c>
      <c r="AH40" s="15"/>
      <c r="AI40" s="14">
        <v>22210687</v>
      </c>
      <c r="AJ40" s="15"/>
      <c r="AK40" s="15">
        <f t="shared" si="2"/>
        <v>21488928</v>
      </c>
    </row>
    <row r="41" spans="1:37" ht="12" customHeight="1">
      <c r="A41" s="10" t="s">
        <v>125</v>
      </c>
      <c r="B41" s="10"/>
      <c r="C41" s="10" t="s">
        <v>69</v>
      </c>
      <c r="D41" s="13"/>
      <c r="E41" s="15">
        <v>3584995</v>
      </c>
      <c r="F41" s="15"/>
      <c r="G41" s="15">
        <v>59175</v>
      </c>
      <c r="H41" s="15"/>
      <c r="I41" s="15">
        <v>22511</v>
      </c>
      <c r="J41" s="15"/>
      <c r="K41" s="15">
        <v>0</v>
      </c>
      <c r="L41" s="15"/>
      <c r="M41" s="15">
        <f t="shared" si="3"/>
        <v>3503309</v>
      </c>
      <c r="N41" s="15"/>
      <c r="O41" s="15">
        <v>167196</v>
      </c>
      <c r="P41" s="15"/>
      <c r="Q41" s="15">
        <v>1666758</v>
      </c>
      <c r="R41" s="15"/>
      <c r="S41" s="15">
        <v>410135</v>
      </c>
      <c r="T41" s="15"/>
      <c r="U41" s="15">
        <v>6642</v>
      </c>
      <c r="V41" s="15"/>
      <c r="W41" s="15">
        <v>20303</v>
      </c>
      <c r="X41" s="15"/>
      <c r="Y41" s="15">
        <v>8500000</v>
      </c>
      <c r="Z41" s="15"/>
      <c r="AA41" s="15">
        <v>0</v>
      </c>
      <c r="AB41" s="15"/>
      <c r="AC41" s="15">
        <v>0</v>
      </c>
      <c r="AD41" s="15"/>
      <c r="AE41" s="15">
        <f t="shared" si="0"/>
        <v>10771034</v>
      </c>
      <c r="AF41" s="15"/>
      <c r="AG41" s="15">
        <f t="shared" si="1"/>
        <v>-7267725</v>
      </c>
      <c r="AH41" s="15"/>
      <c r="AI41" s="15">
        <v>1972568</v>
      </c>
      <c r="AJ41" s="15"/>
      <c r="AK41" s="15">
        <f t="shared" si="2"/>
        <v>9240293</v>
      </c>
    </row>
    <row r="42" spans="1:37" ht="12" hidden="1" customHeight="1">
      <c r="A42" s="13" t="s">
        <v>483</v>
      </c>
      <c r="B42" s="4"/>
      <c r="C42" s="13" t="s">
        <v>19</v>
      </c>
      <c r="D42" s="4"/>
      <c r="E42" s="13"/>
      <c r="F42" s="4"/>
      <c r="G42" s="13"/>
      <c r="H42" s="4"/>
      <c r="I42" s="13"/>
      <c r="J42" s="4"/>
      <c r="K42" s="13"/>
      <c r="L42" s="4"/>
      <c r="M42" s="15">
        <f t="shared" si="3"/>
        <v>0</v>
      </c>
      <c r="N42" s="4"/>
      <c r="O42" s="13"/>
      <c r="P42" s="4"/>
      <c r="Q42" s="4"/>
      <c r="R42" s="4"/>
      <c r="S42" s="13"/>
      <c r="T42" s="4"/>
      <c r="U42" s="13"/>
      <c r="V42" s="4"/>
      <c r="W42" s="13"/>
      <c r="X42" s="4"/>
      <c r="Y42" s="13"/>
      <c r="Z42" s="4"/>
      <c r="AA42" s="13"/>
      <c r="AB42" s="4"/>
      <c r="AC42" s="13"/>
      <c r="AD42" s="4"/>
      <c r="AE42" s="15">
        <f t="shared" si="0"/>
        <v>0</v>
      </c>
      <c r="AF42" s="4"/>
      <c r="AG42" s="15">
        <f t="shared" si="1"/>
        <v>0</v>
      </c>
      <c r="AH42" s="4"/>
      <c r="AI42" s="13"/>
      <c r="AJ42" s="4"/>
      <c r="AK42" s="15">
        <f t="shared" si="2"/>
        <v>0</v>
      </c>
    </row>
    <row r="43" spans="1:37" ht="12" customHeight="1">
      <c r="A43" s="10" t="s">
        <v>400</v>
      </c>
      <c r="B43" s="10"/>
      <c r="C43" s="10" t="s">
        <v>20</v>
      </c>
      <c r="D43" s="13"/>
      <c r="E43" s="15">
        <v>2297536</v>
      </c>
      <c r="F43" s="15"/>
      <c r="G43" s="15">
        <v>67803</v>
      </c>
      <c r="H43" s="15"/>
      <c r="I43" s="15">
        <v>9835</v>
      </c>
      <c r="J43" s="15"/>
      <c r="K43" s="15">
        <v>0</v>
      </c>
      <c r="L43" s="15"/>
      <c r="M43" s="15">
        <f t="shared" si="3"/>
        <v>2219898</v>
      </c>
      <c r="N43" s="15"/>
      <c r="O43" s="15">
        <f>871309+938014</f>
        <v>1809323</v>
      </c>
      <c r="P43" s="15"/>
      <c r="Q43" s="15">
        <v>142567</v>
      </c>
      <c r="R43" s="15"/>
      <c r="S43" s="15">
        <v>10673</v>
      </c>
      <c r="T43" s="15"/>
      <c r="U43" s="15">
        <v>43640</v>
      </c>
      <c r="V43" s="15"/>
      <c r="W43" s="15">
        <v>2695</v>
      </c>
      <c r="X43" s="15"/>
      <c r="Y43" s="15">
        <v>0</v>
      </c>
      <c r="Z43" s="15"/>
      <c r="AA43" s="15">
        <v>0</v>
      </c>
      <c r="AB43" s="15"/>
      <c r="AC43" s="15">
        <v>0</v>
      </c>
      <c r="AD43" s="15"/>
      <c r="AE43" s="15">
        <f t="shared" si="0"/>
        <v>2008898</v>
      </c>
      <c r="AF43" s="15"/>
      <c r="AG43" s="15">
        <f t="shared" si="1"/>
        <v>211000</v>
      </c>
      <c r="AH43" s="15"/>
      <c r="AI43" s="15">
        <v>2020086</v>
      </c>
      <c r="AJ43" s="15"/>
      <c r="AK43" s="15">
        <f t="shared" si="2"/>
        <v>1809086</v>
      </c>
    </row>
    <row r="44" spans="1:37" s="4" customFormat="1" ht="12">
      <c r="A44" s="10" t="s">
        <v>18</v>
      </c>
      <c r="B44" s="10"/>
      <c r="C44" s="10" t="s">
        <v>19</v>
      </c>
      <c r="D44" s="13"/>
      <c r="E44" s="15">
        <v>5082820</v>
      </c>
      <c r="F44" s="15"/>
      <c r="G44" s="15">
        <v>112813</v>
      </c>
      <c r="H44" s="15"/>
      <c r="I44" s="15">
        <v>0</v>
      </c>
      <c r="J44" s="15"/>
      <c r="K44" s="15">
        <v>0</v>
      </c>
      <c r="L44" s="15"/>
      <c r="M44" s="15">
        <f t="shared" si="3"/>
        <v>4970007</v>
      </c>
      <c r="N44" s="15"/>
      <c r="O44" s="15">
        <v>2298462</v>
      </c>
      <c r="P44" s="15"/>
      <c r="Q44" s="15">
        <f>577325+1745397+1250</f>
        <v>2323972</v>
      </c>
      <c r="R44" s="15"/>
      <c r="S44" s="15">
        <v>900</v>
      </c>
      <c r="T44" s="15"/>
      <c r="U44" s="15">
        <v>76942</v>
      </c>
      <c r="V44" s="15"/>
      <c r="W44" s="15">
        <v>17770</v>
      </c>
      <c r="X44" s="15"/>
      <c r="Y44" s="15">
        <v>0</v>
      </c>
      <c r="Z44" s="15"/>
      <c r="AA44" s="15">
        <v>0</v>
      </c>
      <c r="AB44" s="15"/>
      <c r="AC44" s="15">
        <v>0</v>
      </c>
      <c r="AD44" s="15"/>
      <c r="AE44" s="15">
        <f t="shared" si="0"/>
        <v>4718046</v>
      </c>
      <c r="AF44" s="15"/>
      <c r="AG44" s="15">
        <f t="shared" si="1"/>
        <v>251961</v>
      </c>
      <c r="AH44" s="15"/>
      <c r="AI44" s="15">
        <v>3216586</v>
      </c>
      <c r="AJ44" s="15"/>
      <c r="AK44" s="15">
        <f t="shared" si="2"/>
        <v>2964625</v>
      </c>
    </row>
    <row r="45" spans="1:37" s="4" customFormat="1" ht="12">
      <c r="A45" s="4" t="s">
        <v>136</v>
      </c>
      <c r="C45" s="4" t="s">
        <v>137</v>
      </c>
      <c r="E45" s="4">
        <v>2840540</v>
      </c>
      <c r="G45" s="4">
        <v>80519</v>
      </c>
      <c r="I45" s="4">
        <v>0</v>
      </c>
      <c r="K45" s="4">
        <v>0</v>
      </c>
      <c r="M45" s="15">
        <f t="shared" si="3"/>
        <v>2760021</v>
      </c>
      <c r="O45" s="4">
        <v>0</v>
      </c>
      <c r="Q45" s="4">
        <v>0</v>
      </c>
      <c r="S45" s="4">
        <f>30239+2246+2032539</f>
        <v>2065024</v>
      </c>
      <c r="U45" s="4">
        <v>20502</v>
      </c>
      <c r="W45" s="4">
        <v>168119</v>
      </c>
      <c r="Y45" s="4">
        <v>0</v>
      </c>
      <c r="AA45" s="4">
        <v>0</v>
      </c>
      <c r="AC45" s="4">
        <v>1025498</v>
      </c>
      <c r="AE45" s="15">
        <f t="shared" si="0"/>
        <v>3279143</v>
      </c>
      <c r="AG45" s="15">
        <f t="shared" si="1"/>
        <v>-519122</v>
      </c>
      <c r="AI45" s="4">
        <v>1596135</v>
      </c>
      <c r="AK45" s="15">
        <f t="shared" si="2"/>
        <v>2115257</v>
      </c>
    </row>
    <row r="46" spans="1:37" s="4" customFormat="1" ht="12">
      <c r="A46" s="10" t="s">
        <v>357</v>
      </c>
      <c r="B46" s="13"/>
      <c r="C46" s="13" t="s">
        <v>53</v>
      </c>
      <c r="D46" s="13"/>
      <c r="E46" s="15">
        <v>1229451.6299999999</v>
      </c>
      <c r="F46" s="15"/>
      <c r="G46" s="15">
        <v>43436.39</v>
      </c>
      <c r="H46" s="15"/>
      <c r="I46" s="15">
        <v>5091.21</v>
      </c>
      <c r="J46" s="15"/>
      <c r="K46" s="15">
        <v>0</v>
      </c>
      <c r="L46" s="15"/>
      <c r="M46" s="15">
        <f t="shared" si="3"/>
        <v>1180924.03</v>
      </c>
      <c r="N46" s="15"/>
      <c r="O46" s="15">
        <v>0</v>
      </c>
      <c r="P46" s="15"/>
      <c r="Q46" s="15">
        <v>1102468.33</v>
      </c>
      <c r="R46" s="15"/>
      <c r="S46" s="15">
        <v>0</v>
      </c>
      <c r="T46" s="15"/>
      <c r="U46" s="15">
        <v>4594.21</v>
      </c>
      <c r="V46" s="15"/>
      <c r="W46" s="15">
        <v>404.99</v>
      </c>
      <c r="X46" s="15"/>
      <c r="Y46" s="15">
        <v>0</v>
      </c>
      <c r="Z46" s="15"/>
      <c r="AA46" s="15">
        <v>0</v>
      </c>
      <c r="AB46" s="15"/>
      <c r="AC46" s="15">
        <v>0</v>
      </c>
      <c r="AD46" s="15"/>
      <c r="AE46" s="15">
        <f t="shared" ref="AE46:AE77" si="12">SUM(O46:AC46)</f>
        <v>1107467.53</v>
      </c>
      <c r="AF46" s="15"/>
      <c r="AG46" s="15">
        <f t="shared" ref="AG46:AG77" si="13">+M46-AE46</f>
        <v>73456.5</v>
      </c>
      <c r="AH46" s="15"/>
      <c r="AI46" s="15">
        <v>1727154.03</v>
      </c>
      <c r="AJ46" s="15"/>
      <c r="AK46" s="15">
        <f t="shared" ref="AK46:AK77" si="14">+AI46-AG46</f>
        <v>1653697.53</v>
      </c>
    </row>
    <row r="47" spans="1:37" s="4" customFormat="1" ht="12">
      <c r="A47" s="10" t="s">
        <v>358</v>
      </c>
      <c r="B47" s="13"/>
      <c r="C47" s="13" t="s">
        <v>54</v>
      </c>
      <c r="D47" s="13"/>
      <c r="E47" s="15">
        <v>787494.79</v>
      </c>
      <c r="F47" s="15"/>
      <c r="G47" s="15">
        <v>16144.93</v>
      </c>
      <c r="H47" s="15"/>
      <c r="I47" s="15">
        <v>601964.43999999994</v>
      </c>
      <c r="J47" s="15"/>
      <c r="K47" s="15">
        <v>0</v>
      </c>
      <c r="L47" s="15"/>
      <c r="M47" s="15">
        <f t="shared" ref="M47:M78" si="15">+E47-G47-I47-K47</f>
        <v>169385.42000000004</v>
      </c>
      <c r="N47" s="15"/>
      <c r="O47" s="15">
        <v>0</v>
      </c>
      <c r="P47" s="15"/>
      <c r="Q47" s="15">
        <v>91401.7</v>
      </c>
      <c r="R47" s="15"/>
      <c r="S47" s="15">
        <v>0</v>
      </c>
      <c r="T47" s="15"/>
      <c r="U47" s="15">
        <v>10141.120000000001</v>
      </c>
      <c r="V47" s="15"/>
      <c r="W47" s="15">
        <v>4448.6099999999997</v>
      </c>
      <c r="X47" s="15"/>
      <c r="Y47" s="15">
        <v>0</v>
      </c>
      <c r="Z47" s="15"/>
      <c r="AA47" s="15">
        <v>0</v>
      </c>
      <c r="AB47" s="15"/>
      <c r="AC47" s="15">
        <v>0</v>
      </c>
      <c r="AD47" s="15"/>
      <c r="AE47" s="15">
        <f t="shared" si="12"/>
        <v>105991.43</v>
      </c>
      <c r="AF47" s="15"/>
      <c r="AG47" s="15">
        <f t="shared" si="13"/>
        <v>63393.990000000049</v>
      </c>
      <c r="AH47" s="15"/>
      <c r="AI47" s="15">
        <v>510593.96</v>
      </c>
      <c r="AJ47" s="15"/>
      <c r="AK47" s="15">
        <f t="shared" si="14"/>
        <v>447199.97</v>
      </c>
    </row>
    <row r="48" spans="1:37" s="4" customFormat="1" ht="12" hidden="1">
      <c r="A48" s="4" t="s">
        <v>33</v>
      </c>
      <c r="B48" s="13"/>
      <c r="C48" s="4" t="s">
        <v>55</v>
      </c>
      <c r="D48" s="13"/>
      <c r="E48" s="14"/>
      <c r="F48" s="15"/>
      <c r="G48" s="14"/>
      <c r="H48" s="15"/>
      <c r="I48" s="14"/>
      <c r="J48" s="15"/>
      <c r="K48" s="14"/>
      <c r="L48" s="15"/>
      <c r="M48" s="15">
        <f t="shared" si="15"/>
        <v>0</v>
      </c>
      <c r="N48" s="15"/>
      <c r="O48" s="14"/>
      <c r="P48" s="15"/>
      <c r="Q48" s="15"/>
      <c r="R48" s="15"/>
      <c r="S48" s="14"/>
      <c r="T48" s="15"/>
      <c r="U48" s="14"/>
      <c r="V48" s="15"/>
      <c r="W48" s="14"/>
      <c r="X48" s="15"/>
      <c r="Y48" s="14"/>
      <c r="Z48" s="15"/>
      <c r="AA48" s="14"/>
      <c r="AB48" s="15"/>
      <c r="AC48" s="14"/>
      <c r="AD48" s="15"/>
      <c r="AE48" s="15">
        <f t="shared" si="12"/>
        <v>0</v>
      </c>
      <c r="AF48" s="15"/>
      <c r="AG48" s="15">
        <f t="shared" si="13"/>
        <v>0</v>
      </c>
      <c r="AH48" s="15"/>
      <c r="AI48" s="14"/>
      <c r="AJ48" s="15"/>
      <c r="AK48" s="15">
        <f t="shared" si="14"/>
        <v>0</v>
      </c>
    </row>
    <row r="49" spans="1:37" s="4" customFormat="1" ht="12">
      <c r="A49" s="4" t="s">
        <v>533</v>
      </c>
      <c r="C49" s="13" t="s">
        <v>42</v>
      </c>
      <c r="E49" s="4">
        <v>195998</v>
      </c>
      <c r="G49" s="4">
        <v>15389</v>
      </c>
      <c r="I49" s="4">
        <v>0</v>
      </c>
      <c r="K49" s="4">
        <v>1928</v>
      </c>
      <c r="M49" s="15">
        <f t="shared" si="15"/>
        <v>178681</v>
      </c>
      <c r="O49" s="4">
        <v>0</v>
      </c>
      <c r="Q49" s="4">
        <v>0</v>
      </c>
      <c r="S49" s="4">
        <v>150746</v>
      </c>
      <c r="U49" s="4">
        <v>10892</v>
      </c>
      <c r="W49" s="4">
        <v>941</v>
      </c>
      <c r="Y49" s="4">
        <v>0</v>
      </c>
      <c r="AA49" s="4">
        <v>0</v>
      </c>
      <c r="AC49" s="4">
        <v>0</v>
      </c>
      <c r="AE49" s="15">
        <f t="shared" si="12"/>
        <v>162579</v>
      </c>
      <c r="AG49" s="15">
        <f t="shared" si="13"/>
        <v>16102</v>
      </c>
      <c r="AI49" s="4">
        <v>384365</v>
      </c>
      <c r="AK49" s="15">
        <f t="shared" si="14"/>
        <v>368263</v>
      </c>
    </row>
    <row r="50" spans="1:37" s="4" customFormat="1" ht="12">
      <c r="A50" s="10" t="s">
        <v>149</v>
      </c>
      <c r="B50" s="10"/>
      <c r="C50" s="10" t="s">
        <v>150</v>
      </c>
      <c r="D50" s="13"/>
      <c r="E50" s="15">
        <v>8938154</v>
      </c>
      <c r="F50" s="15"/>
      <c r="G50" s="15">
        <v>190824</v>
      </c>
      <c r="H50" s="15"/>
      <c r="I50" s="4">
        <v>0</v>
      </c>
      <c r="J50" s="15"/>
      <c r="K50" s="15">
        <v>0</v>
      </c>
      <c r="L50" s="15"/>
      <c r="M50" s="15">
        <f t="shared" si="15"/>
        <v>8747330</v>
      </c>
      <c r="N50" s="15"/>
      <c r="O50" s="15">
        <v>3352168</v>
      </c>
      <c r="P50" s="15"/>
      <c r="Q50" s="15">
        <v>4346407</v>
      </c>
      <c r="R50" s="15"/>
      <c r="S50" s="4">
        <v>0</v>
      </c>
      <c r="T50" s="15"/>
      <c r="U50" s="15">
        <v>255028</v>
      </c>
      <c r="V50" s="15"/>
      <c r="W50" s="15">
        <v>47281</v>
      </c>
      <c r="X50" s="15"/>
      <c r="Y50" s="15">
        <v>0</v>
      </c>
      <c r="Z50" s="15"/>
      <c r="AA50" s="15">
        <v>100000</v>
      </c>
      <c r="AB50" s="15"/>
      <c r="AC50" s="15">
        <v>0</v>
      </c>
      <c r="AD50" s="15"/>
      <c r="AE50" s="15">
        <f t="shared" si="12"/>
        <v>8100884</v>
      </c>
      <c r="AF50" s="15"/>
      <c r="AG50" s="15">
        <f t="shared" si="13"/>
        <v>646446</v>
      </c>
      <c r="AH50" s="15"/>
      <c r="AI50" s="15">
        <v>9867044</v>
      </c>
      <c r="AJ50" s="15"/>
      <c r="AK50" s="15">
        <f t="shared" si="14"/>
        <v>9220598</v>
      </c>
    </row>
    <row r="51" spans="1:37" s="4" customFormat="1" ht="12">
      <c r="A51" s="3" t="s">
        <v>35</v>
      </c>
      <c r="B51" s="13"/>
      <c r="C51" s="4" t="s">
        <v>56</v>
      </c>
      <c r="D51" s="13"/>
      <c r="E51" s="14">
        <v>521344.18</v>
      </c>
      <c r="F51" s="15"/>
      <c r="G51" s="14">
        <v>12982.27</v>
      </c>
      <c r="H51" s="15"/>
      <c r="I51" s="14">
        <v>0</v>
      </c>
      <c r="J51" s="15"/>
      <c r="K51" s="14">
        <v>0</v>
      </c>
      <c r="L51" s="15"/>
      <c r="M51" s="15">
        <f t="shared" si="15"/>
        <v>508361.91</v>
      </c>
      <c r="N51" s="15"/>
      <c r="O51" s="14">
        <v>176984.34</v>
      </c>
      <c r="P51" s="15"/>
      <c r="Q51" s="15">
        <v>318717.06</v>
      </c>
      <c r="R51" s="15"/>
      <c r="S51" s="14">
        <v>0</v>
      </c>
      <c r="T51" s="15"/>
      <c r="U51" s="14">
        <v>8805.49</v>
      </c>
      <c r="V51" s="15"/>
      <c r="W51" s="14">
        <v>465.62</v>
      </c>
      <c r="X51" s="15"/>
      <c r="Y51" s="14">
        <v>0</v>
      </c>
      <c r="Z51" s="15"/>
      <c r="AA51" s="14">
        <v>0</v>
      </c>
      <c r="AB51" s="15"/>
      <c r="AC51" s="14">
        <v>0</v>
      </c>
      <c r="AD51" s="15"/>
      <c r="AE51" s="15">
        <f t="shared" si="12"/>
        <v>504972.51</v>
      </c>
      <c r="AF51" s="15"/>
      <c r="AG51" s="15">
        <f t="shared" si="13"/>
        <v>3389.3999999999651</v>
      </c>
      <c r="AH51" s="15"/>
      <c r="AI51" s="14">
        <v>1291435.6599999999</v>
      </c>
      <c r="AJ51" s="15"/>
      <c r="AK51" s="15">
        <f t="shared" si="14"/>
        <v>1288046.26</v>
      </c>
    </row>
    <row r="52" spans="1:37" s="4" customFormat="1" ht="12">
      <c r="A52" s="4" t="s">
        <v>484</v>
      </c>
      <c r="C52" s="4" t="s">
        <v>57</v>
      </c>
      <c r="E52" s="4">
        <v>1264944.99</v>
      </c>
      <c r="G52" s="4">
        <v>62515.360000000001</v>
      </c>
      <c r="I52" s="4">
        <v>107433.54</v>
      </c>
      <c r="K52" s="4">
        <v>0</v>
      </c>
      <c r="M52" s="15">
        <f t="shared" si="15"/>
        <v>1094996.0899999999</v>
      </c>
      <c r="O52" s="4">
        <v>1142690.28</v>
      </c>
      <c r="Q52" s="4">
        <v>30046.66</v>
      </c>
      <c r="S52" s="4">
        <v>0</v>
      </c>
      <c r="U52" s="4">
        <v>0</v>
      </c>
      <c r="W52" s="4">
        <v>10828.68</v>
      </c>
      <c r="Y52" s="4">
        <v>0</v>
      </c>
      <c r="AA52" s="4">
        <v>0</v>
      </c>
      <c r="AC52" s="4">
        <v>0</v>
      </c>
      <c r="AE52" s="15">
        <f t="shared" si="12"/>
        <v>1183565.6199999999</v>
      </c>
      <c r="AG52" s="15">
        <f t="shared" si="13"/>
        <v>-88569.530000000028</v>
      </c>
      <c r="AI52" s="4">
        <v>2876855.81</v>
      </c>
      <c r="AK52" s="15">
        <f t="shared" si="14"/>
        <v>2965425.34</v>
      </c>
    </row>
    <row r="53" spans="1:37" s="4" customFormat="1" ht="12">
      <c r="A53" s="4" t="s">
        <v>162</v>
      </c>
      <c r="B53" s="13"/>
      <c r="C53" s="4" t="s">
        <v>55</v>
      </c>
      <c r="D53" s="13"/>
      <c r="E53" s="14">
        <v>749549.86</v>
      </c>
      <c r="F53" s="15"/>
      <c r="G53" s="14">
        <v>19200.830000000002</v>
      </c>
      <c r="H53" s="15"/>
      <c r="I53" s="14">
        <v>0</v>
      </c>
      <c r="J53" s="15"/>
      <c r="K53" s="14">
        <v>0</v>
      </c>
      <c r="L53" s="15"/>
      <c r="M53" s="15">
        <f t="shared" si="15"/>
        <v>730349.03</v>
      </c>
      <c r="N53" s="15"/>
      <c r="O53" s="14">
        <v>668202</v>
      </c>
      <c r="P53" s="15"/>
      <c r="Q53" s="15">
        <v>33550.620000000003</v>
      </c>
      <c r="R53" s="15"/>
      <c r="S53" s="14">
        <v>0</v>
      </c>
      <c r="T53" s="15"/>
      <c r="U53" s="14">
        <v>9337.81</v>
      </c>
      <c r="V53" s="15"/>
      <c r="W53" s="14">
        <v>870.08</v>
      </c>
      <c r="X53" s="15"/>
      <c r="Y53" s="14">
        <v>0</v>
      </c>
      <c r="Z53" s="15"/>
      <c r="AA53" s="14">
        <v>0</v>
      </c>
      <c r="AB53" s="15"/>
      <c r="AC53" s="14">
        <v>0</v>
      </c>
      <c r="AD53" s="15"/>
      <c r="AE53" s="15">
        <f t="shared" si="12"/>
        <v>711960.51</v>
      </c>
      <c r="AF53" s="15"/>
      <c r="AG53" s="15">
        <f t="shared" si="13"/>
        <v>18388.520000000019</v>
      </c>
      <c r="AH53" s="15"/>
      <c r="AI53" s="14">
        <v>543537.46</v>
      </c>
      <c r="AJ53" s="15"/>
      <c r="AK53" s="15">
        <f t="shared" si="14"/>
        <v>525148.93999999994</v>
      </c>
    </row>
    <row r="54" spans="1:37" s="4" customFormat="1" ht="12">
      <c r="A54" s="10" t="s">
        <v>36</v>
      </c>
      <c r="B54" s="13"/>
      <c r="C54" s="13" t="s">
        <v>12</v>
      </c>
      <c r="D54" s="13"/>
      <c r="E54" s="15">
        <v>394655.79</v>
      </c>
      <c r="F54" s="15"/>
      <c r="G54" s="15">
        <v>11211.3</v>
      </c>
      <c r="H54" s="15"/>
      <c r="I54" s="15">
        <v>18910</v>
      </c>
      <c r="J54" s="15"/>
      <c r="K54" s="15">
        <v>0</v>
      </c>
      <c r="L54" s="15"/>
      <c r="M54" s="15">
        <f t="shared" si="15"/>
        <v>364534.49</v>
      </c>
      <c r="N54" s="15"/>
      <c r="O54" s="15">
        <v>0</v>
      </c>
      <c r="P54" s="15"/>
      <c r="Q54" s="15">
        <v>312676.51</v>
      </c>
      <c r="R54" s="15"/>
      <c r="S54" s="15">
        <v>0</v>
      </c>
      <c r="T54" s="15"/>
      <c r="U54" s="15">
        <v>192.25</v>
      </c>
      <c r="V54" s="15"/>
      <c r="W54" s="15">
        <v>2100</v>
      </c>
      <c r="X54" s="15"/>
      <c r="Y54" s="15">
        <v>0</v>
      </c>
      <c r="Z54" s="15"/>
      <c r="AA54" s="15">
        <v>0</v>
      </c>
      <c r="AB54" s="15"/>
      <c r="AC54" s="15">
        <v>0</v>
      </c>
      <c r="AD54" s="15"/>
      <c r="AE54" s="15">
        <f t="shared" si="12"/>
        <v>314968.76</v>
      </c>
      <c r="AF54" s="15"/>
      <c r="AG54" s="15">
        <f t="shared" si="13"/>
        <v>49565.729999999981</v>
      </c>
      <c r="AH54" s="15"/>
      <c r="AI54" s="15">
        <v>133643.4</v>
      </c>
      <c r="AJ54" s="15"/>
      <c r="AK54" s="15">
        <f t="shared" si="14"/>
        <v>84077.670000000013</v>
      </c>
    </row>
    <row r="55" spans="1:37" s="4" customFormat="1" ht="12">
      <c r="A55" s="10" t="s">
        <v>516</v>
      </c>
      <c r="B55" s="13"/>
      <c r="C55" s="13" t="s">
        <v>58</v>
      </c>
      <c r="D55" s="13"/>
      <c r="E55" s="15">
        <v>557572.36</v>
      </c>
      <c r="F55" s="15"/>
      <c r="G55" s="15">
        <v>17367.78</v>
      </c>
      <c r="H55" s="15"/>
      <c r="I55" s="15">
        <v>0</v>
      </c>
      <c r="J55" s="15"/>
      <c r="K55" s="15">
        <v>0</v>
      </c>
      <c r="L55" s="15"/>
      <c r="M55" s="15">
        <f t="shared" si="15"/>
        <v>540204.57999999996</v>
      </c>
      <c r="N55" s="15"/>
      <c r="O55" s="15">
        <v>0</v>
      </c>
      <c r="P55" s="15"/>
      <c r="Q55" s="15">
        <v>429787.57</v>
      </c>
      <c r="R55" s="15"/>
      <c r="S55" s="15">
        <v>0</v>
      </c>
      <c r="T55" s="15"/>
      <c r="U55" s="15">
        <v>18065.02</v>
      </c>
      <c r="V55" s="15"/>
      <c r="W55" s="15">
        <v>33155.96</v>
      </c>
      <c r="X55" s="15"/>
      <c r="Y55" s="15">
        <v>0</v>
      </c>
      <c r="Z55" s="15"/>
      <c r="AA55" s="15">
        <v>0</v>
      </c>
      <c r="AB55" s="15"/>
      <c r="AC55" s="15">
        <v>0</v>
      </c>
      <c r="AD55" s="15"/>
      <c r="AE55" s="15">
        <f t="shared" si="12"/>
        <v>481008.55000000005</v>
      </c>
      <c r="AF55" s="15"/>
      <c r="AG55" s="15">
        <f t="shared" si="13"/>
        <v>59196.029999999912</v>
      </c>
      <c r="AH55" s="15"/>
      <c r="AI55" s="15">
        <v>408329.43</v>
      </c>
      <c r="AJ55" s="15"/>
      <c r="AK55" s="15">
        <f t="shared" si="14"/>
        <v>349133.40000000008</v>
      </c>
    </row>
    <row r="56" spans="1:37" s="4" customFormat="1" ht="12">
      <c r="A56" s="3" t="s">
        <v>409</v>
      </c>
      <c r="B56" s="13"/>
      <c r="C56" s="4" t="s">
        <v>19</v>
      </c>
      <c r="D56" s="13"/>
      <c r="E56" s="14">
        <v>4431552</v>
      </c>
      <c r="F56" s="15"/>
      <c r="G56" s="14">
        <v>111096</v>
      </c>
      <c r="H56" s="15"/>
      <c r="I56" s="14">
        <v>0</v>
      </c>
      <c r="J56" s="15"/>
      <c r="K56" s="14">
        <v>0</v>
      </c>
      <c r="L56" s="15"/>
      <c r="M56" s="15">
        <f t="shared" si="15"/>
        <v>4320456</v>
      </c>
      <c r="N56" s="15"/>
      <c r="O56" s="14">
        <v>2030340</v>
      </c>
      <c r="P56" s="15"/>
      <c r="Q56" s="15">
        <v>2166244</v>
      </c>
      <c r="R56" s="15"/>
      <c r="S56" s="14">
        <v>59172</v>
      </c>
      <c r="T56" s="15"/>
      <c r="U56" s="14">
        <v>14694</v>
      </c>
      <c r="V56" s="15"/>
      <c r="W56" s="14">
        <v>0</v>
      </c>
      <c r="X56" s="15"/>
      <c r="Y56" s="14">
        <v>0</v>
      </c>
      <c r="Z56" s="15"/>
      <c r="AA56" s="14">
        <v>0</v>
      </c>
      <c r="AB56" s="15"/>
      <c r="AC56" s="14">
        <v>0</v>
      </c>
      <c r="AD56" s="15"/>
      <c r="AE56" s="15">
        <f t="shared" si="12"/>
        <v>4270450</v>
      </c>
      <c r="AF56" s="15"/>
      <c r="AG56" s="15">
        <f t="shared" si="13"/>
        <v>50006</v>
      </c>
      <c r="AH56" s="15"/>
      <c r="AI56" s="14">
        <v>4964945</v>
      </c>
      <c r="AJ56" s="15"/>
      <c r="AK56" s="15">
        <f t="shared" si="14"/>
        <v>4914939</v>
      </c>
    </row>
    <row r="57" spans="1:37" ht="12" customHeight="1">
      <c r="A57" s="3" t="s">
        <v>9</v>
      </c>
      <c r="B57" s="13"/>
      <c r="C57" s="4" t="s">
        <v>10</v>
      </c>
      <c r="D57" s="13"/>
      <c r="E57" s="14">
        <v>5576123</v>
      </c>
      <c r="F57" s="15"/>
      <c r="G57" s="14">
        <v>244535</v>
      </c>
      <c r="H57" s="15"/>
      <c r="I57" s="14">
        <v>88676</v>
      </c>
      <c r="J57" s="15"/>
      <c r="K57" s="14">
        <v>40950</v>
      </c>
      <c r="L57" s="15"/>
      <c r="M57" s="15">
        <f t="shared" si="15"/>
        <v>5201962</v>
      </c>
      <c r="N57" s="15"/>
      <c r="O57" s="14">
        <v>0</v>
      </c>
      <c r="P57" s="15"/>
      <c r="Q57" s="15">
        <v>4853549</v>
      </c>
      <c r="R57" s="15"/>
      <c r="S57" s="14">
        <v>22821</v>
      </c>
      <c r="T57" s="15"/>
      <c r="U57" s="14">
        <v>163028</v>
      </c>
      <c r="V57" s="15"/>
      <c r="W57" s="14">
        <v>44088</v>
      </c>
      <c r="X57" s="15"/>
      <c r="Y57" s="14">
        <v>196</v>
      </c>
      <c r="Z57" s="15"/>
      <c r="AA57" s="14">
        <v>0</v>
      </c>
      <c r="AB57" s="15"/>
      <c r="AC57" s="14">
        <v>0</v>
      </c>
      <c r="AD57" s="15"/>
      <c r="AE57" s="15">
        <f t="shared" si="12"/>
        <v>5083682</v>
      </c>
      <c r="AF57" s="15"/>
      <c r="AG57" s="15">
        <f t="shared" si="13"/>
        <v>118280</v>
      </c>
      <c r="AH57" s="15"/>
      <c r="AI57" s="14">
        <v>7570421</v>
      </c>
      <c r="AJ57" s="15"/>
      <c r="AK57" s="15">
        <f t="shared" si="14"/>
        <v>7452141</v>
      </c>
    </row>
    <row r="58" spans="1:37" s="4" customFormat="1" ht="12">
      <c r="A58" s="13" t="s">
        <v>359</v>
      </c>
      <c r="C58" s="13" t="s">
        <v>53</v>
      </c>
      <c r="E58" s="13">
        <v>1147191.03</v>
      </c>
      <c r="G58" s="13">
        <v>37645.15</v>
      </c>
      <c r="I58" s="13">
        <v>0</v>
      </c>
      <c r="K58" s="13">
        <v>0</v>
      </c>
      <c r="M58" s="15">
        <f t="shared" si="15"/>
        <v>1109545.8800000001</v>
      </c>
      <c r="O58" s="13">
        <v>0</v>
      </c>
      <c r="Q58" s="4">
        <v>684467.43</v>
      </c>
      <c r="S58" s="13">
        <v>0</v>
      </c>
      <c r="U58" s="13">
        <v>36709.71</v>
      </c>
      <c r="W58" s="13">
        <v>3177.61</v>
      </c>
      <c r="Y58" s="13">
        <v>0</v>
      </c>
      <c r="AA58" s="13">
        <v>0</v>
      </c>
      <c r="AC58" s="13">
        <v>24740.31</v>
      </c>
      <c r="AE58" s="15">
        <f t="shared" si="12"/>
        <v>749095.06</v>
      </c>
      <c r="AG58" s="15">
        <f t="shared" si="13"/>
        <v>360450.82000000007</v>
      </c>
      <c r="AI58" s="13">
        <v>1903054.89</v>
      </c>
      <c r="AK58" s="15">
        <f t="shared" si="14"/>
        <v>1542604.0699999998</v>
      </c>
    </row>
    <row r="59" spans="1:37" s="4" customFormat="1" ht="12">
      <c r="A59" s="4" t="s">
        <v>485</v>
      </c>
      <c r="C59" s="4" t="s">
        <v>50</v>
      </c>
      <c r="E59" s="4">
        <v>2807062</v>
      </c>
      <c r="G59" s="4">
        <v>5941</v>
      </c>
      <c r="I59" s="4">
        <v>0</v>
      </c>
      <c r="K59" s="4">
        <v>111</v>
      </c>
      <c r="M59" s="15">
        <f t="shared" si="15"/>
        <v>2801010</v>
      </c>
      <c r="O59" s="4">
        <v>0</v>
      </c>
      <c r="Q59" s="4">
        <v>285441</v>
      </c>
      <c r="S59" s="4">
        <v>0</v>
      </c>
      <c r="U59" s="4">
        <v>14647</v>
      </c>
      <c r="W59" s="4">
        <v>801246</v>
      </c>
      <c r="Y59" s="4">
        <v>0</v>
      </c>
      <c r="AA59" s="4">
        <v>0</v>
      </c>
      <c r="AC59" s="4">
        <v>0</v>
      </c>
      <c r="AE59" s="15">
        <f t="shared" si="12"/>
        <v>1101334</v>
      </c>
      <c r="AG59" s="15">
        <f t="shared" si="13"/>
        <v>1699676</v>
      </c>
      <c r="AI59" s="4">
        <v>1915884</v>
      </c>
      <c r="AK59" s="15">
        <f t="shared" si="14"/>
        <v>216208</v>
      </c>
    </row>
    <row r="60" spans="1:37" s="4" customFormat="1" ht="12">
      <c r="A60" s="10" t="s">
        <v>11</v>
      </c>
      <c r="B60" s="10"/>
      <c r="C60" s="10" t="s">
        <v>12</v>
      </c>
      <c r="D60" s="13"/>
      <c r="E60" s="15">
        <v>780595</v>
      </c>
      <c r="F60" s="15"/>
      <c r="G60" s="15">
        <v>22631</v>
      </c>
      <c r="H60" s="15"/>
      <c r="I60" s="4">
        <v>0</v>
      </c>
      <c r="J60" s="15"/>
      <c r="K60" s="15">
        <v>0</v>
      </c>
      <c r="L60" s="15"/>
      <c r="M60" s="15">
        <f t="shared" si="15"/>
        <v>757964</v>
      </c>
      <c r="N60" s="15"/>
      <c r="O60" s="15">
        <v>335606</v>
      </c>
      <c r="P60" s="15"/>
      <c r="Q60" s="15">
        <v>532194</v>
      </c>
      <c r="R60" s="15"/>
      <c r="S60" s="15">
        <v>3719</v>
      </c>
      <c r="T60" s="15"/>
      <c r="U60" s="15">
        <v>16672</v>
      </c>
      <c r="V60" s="15"/>
      <c r="W60" s="15">
        <v>329</v>
      </c>
      <c r="X60" s="15"/>
      <c r="Y60" s="15">
        <v>0</v>
      </c>
      <c r="Z60" s="15"/>
      <c r="AA60" s="15">
        <v>0</v>
      </c>
      <c r="AB60" s="15"/>
      <c r="AC60" s="15">
        <v>0</v>
      </c>
      <c r="AD60" s="15"/>
      <c r="AE60" s="15">
        <f t="shared" si="12"/>
        <v>888520</v>
      </c>
      <c r="AF60" s="15"/>
      <c r="AG60" s="15">
        <f t="shared" si="13"/>
        <v>-130556</v>
      </c>
      <c r="AH60" s="15"/>
      <c r="AI60" s="15">
        <v>1072023</v>
      </c>
      <c r="AJ60" s="15"/>
      <c r="AK60" s="15">
        <f t="shared" si="14"/>
        <v>1202579</v>
      </c>
    </row>
    <row r="61" spans="1:37" ht="12" customHeight="1">
      <c r="A61" s="13" t="s">
        <v>180</v>
      </c>
      <c r="B61" s="13"/>
      <c r="C61" s="13" t="s">
        <v>56</v>
      </c>
      <c r="D61" s="13"/>
      <c r="E61" s="15">
        <v>12788155</v>
      </c>
      <c r="F61" s="15"/>
      <c r="G61" s="15">
        <v>0</v>
      </c>
      <c r="H61" s="15"/>
      <c r="I61" s="15">
        <v>3000</v>
      </c>
      <c r="J61" s="15"/>
      <c r="K61" s="15">
        <v>0</v>
      </c>
      <c r="L61" s="15"/>
      <c r="M61" s="15">
        <f t="shared" si="15"/>
        <v>12785155</v>
      </c>
      <c r="N61" s="15"/>
      <c r="O61" s="15">
        <v>4056448</v>
      </c>
      <c r="P61" s="15"/>
      <c r="Q61" s="15">
        <f>4656061+127341</f>
        <v>4783402</v>
      </c>
      <c r="R61" s="15"/>
      <c r="S61" s="15">
        <f>351+41697</f>
        <v>42048</v>
      </c>
      <c r="T61" s="15"/>
      <c r="U61" s="15">
        <v>91295</v>
      </c>
      <c r="V61" s="15"/>
      <c r="W61" s="15">
        <v>21788</v>
      </c>
      <c r="X61" s="15"/>
      <c r="Y61" s="15">
        <v>359</v>
      </c>
      <c r="Z61" s="15"/>
      <c r="AA61" s="15">
        <v>-2841114</v>
      </c>
      <c r="AB61" s="15"/>
      <c r="AC61" s="15">
        <v>0</v>
      </c>
      <c r="AD61" s="15"/>
      <c r="AE61" s="15">
        <f t="shared" si="12"/>
        <v>6154226</v>
      </c>
      <c r="AF61" s="15"/>
      <c r="AG61" s="15">
        <f t="shared" si="13"/>
        <v>6630929</v>
      </c>
      <c r="AH61" s="15"/>
      <c r="AI61" s="15">
        <v>9409542</v>
      </c>
      <c r="AJ61" s="15"/>
      <c r="AK61" s="15">
        <f t="shared" si="14"/>
        <v>2778613</v>
      </c>
    </row>
    <row r="62" spans="1:37" ht="12" customHeight="1">
      <c r="A62" s="4" t="s">
        <v>488</v>
      </c>
      <c r="B62" s="4"/>
      <c r="C62" s="4" t="s">
        <v>25</v>
      </c>
      <c r="D62" s="4"/>
      <c r="E62" s="4">
        <v>658652.04</v>
      </c>
      <c r="F62" s="4"/>
      <c r="G62" s="4">
        <v>33712.51</v>
      </c>
      <c r="H62" s="4"/>
      <c r="I62" s="4">
        <v>0</v>
      </c>
      <c r="J62" s="4"/>
      <c r="K62" s="4">
        <v>0</v>
      </c>
      <c r="L62" s="4"/>
      <c r="M62" s="15">
        <f t="shared" si="15"/>
        <v>624939.53</v>
      </c>
      <c r="N62" s="4"/>
      <c r="O62" s="4">
        <v>528743.93000000005</v>
      </c>
      <c r="P62" s="4"/>
      <c r="Q62" s="4">
        <v>14450.42</v>
      </c>
      <c r="R62" s="4"/>
      <c r="S62" s="4">
        <v>0</v>
      </c>
      <c r="T62" s="4"/>
      <c r="U62" s="4">
        <v>1198.6400000000001</v>
      </c>
      <c r="V62" s="4"/>
      <c r="W62" s="4">
        <v>6243.34</v>
      </c>
      <c r="X62" s="4"/>
      <c r="Y62" s="4">
        <v>0</v>
      </c>
      <c r="Z62" s="4"/>
      <c r="AA62" s="4">
        <v>0</v>
      </c>
      <c r="AB62" s="4"/>
      <c r="AC62" s="4">
        <v>0</v>
      </c>
      <c r="AD62" s="4"/>
      <c r="AE62" s="15">
        <f t="shared" si="12"/>
        <v>550636.33000000007</v>
      </c>
      <c r="AF62" s="4"/>
      <c r="AG62" s="15">
        <f t="shared" si="13"/>
        <v>74303.199999999953</v>
      </c>
      <c r="AH62" s="4"/>
      <c r="AI62" s="4">
        <v>626151.98</v>
      </c>
      <c r="AJ62" s="4"/>
      <c r="AK62" s="15">
        <f t="shared" si="14"/>
        <v>551848.78</v>
      </c>
    </row>
    <row r="63" spans="1:37" ht="12" customHeight="1">
      <c r="A63" s="4" t="s">
        <v>410</v>
      </c>
      <c r="B63" s="4"/>
      <c r="C63" s="4" t="s">
        <v>13</v>
      </c>
      <c r="D63" s="4"/>
      <c r="E63" s="4">
        <v>1033453</v>
      </c>
      <c r="F63" s="4"/>
      <c r="G63" s="4">
        <v>51720</v>
      </c>
      <c r="H63" s="4"/>
      <c r="I63" s="4">
        <v>0</v>
      </c>
      <c r="J63" s="4"/>
      <c r="K63" s="4">
        <v>0</v>
      </c>
      <c r="L63" s="4"/>
      <c r="M63" s="15">
        <f t="shared" si="15"/>
        <v>981733</v>
      </c>
      <c r="N63" s="4"/>
      <c r="O63" s="4">
        <v>0</v>
      </c>
      <c r="P63" s="4"/>
      <c r="Q63" s="4">
        <v>985352</v>
      </c>
      <c r="R63" s="4"/>
      <c r="S63" s="4">
        <v>0</v>
      </c>
      <c r="T63" s="4"/>
      <c r="U63" s="4">
        <v>10765</v>
      </c>
      <c r="V63" s="4"/>
      <c r="W63" s="4">
        <v>7460</v>
      </c>
      <c r="X63" s="4"/>
      <c r="Y63" s="4">
        <v>0</v>
      </c>
      <c r="Z63" s="4"/>
      <c r="AA63" s="4">
        <v>0</v>
      </c>
      <c r="AB63" s="4"/>
      <c r="AC63" s="4">
        <v>0</v>
      </c>
      <c r="AD63" s="4"/>
      <c r="AE63" s="15">
        <f t="shared" si="12"/>
        <v>1003577</v>
      </c>
      <c r="AF63" s="4"/>
      <c r="AG63" s="15">
        <f t="shared" si="13"/>
        <v>-21844</v>
      </c>
      <c r="AH63" s="4"/>
      <c r="AI63" s="4">
        <v>617426</v>
      </c>
      <c r="AJ63" s="4"/>
      <c r="AK63" s="15">
        <f t="shared" si="14"/>
        <v>639270</v>
      </c>
    </row>
    <row r="64" spans="1:37" ht="12" hidden="1" customHeight="1">
      <c r="A64" s="13" t="s">
        <v>365</v>
      </c>
      <c r="B64" s="13"/>
      <c r="C64" s="13" t="s">
        <v>183</v>
      </c>
      <c r="D64" s="13"/>
      <c r="E64" s="15"/>
      <c r="F64" s="15"/>
      <c r="G64" s="15"/>
      <c r="H64" s="15"/>
      <c r="I64" s="15"/>
      <c r="J64" s="15"/>
      <c r="K64" s="15"/>
      <c r="L64" s="15"/>
      <c r="M64" s="15">
        <f t="shared" si="15"/>
        <v>0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>
        <f t="shared" si="12"/>
        <v>0</v>
      </c>
      <c r="AF64" s="15"/>
      <c r="AG64" s="15">
        <f t="shared" si="13"/>
        <v>0</v>
      </c>
      <c r="AH64" s="15"/>
      <c r="AI64" s="15"/>
      <c r="AJ64" s="15"/>
      <c r="AK64" s="15">
        <f t="shared" si="14"/>
        <v>0</v>
      </c>
    </row>
    <row r="65" spans="1:37" ht="12" customHeight="1">
      <c r="A65" s="4" t="s">
        <v>360</v>
      </c>
      <c r="B65" s="4"/>
      <c r="C65" s="4" t="s">
        <v>53</v>
      </c>
      <c r="D65" s="4"/>
      <c r="E65" s="4">
        <v>585841.26</v>
      </c>
      <c r="F65" s="4"/>
      <c r="G65" s="4">
        <v>21753.13</v>
      </c>
      <c r="H65" s="4"/>
      <c r="I65" s="4">
        <v>0</v>
      </c>
      <c r="J65" s="4"/>
      <c r="K65" s="4">
        <v>0</v>
      </c>
      <c r="L65" s="4"/>
      <c r="M65" s="15">
        <f t="shared" si="15"/>
        <v>564088.13</v>
      </c>
      <c r="N65" s="4"/>
      <c r="O65" s="4">
        <v>161.74</v>
      </c>
      <c r="P65" s="4"/>
      <c r="Q65" s="4">
        <v>542531.41</v>
      </c>
      <c r="R65" s="4"/>
      <c r="S65" s="4">
        <v>0</v>
      </c>
      <c r="T65" s="4"/>
      <c r="U65" s="4">
        <v>10544.47</v>
      </c>
      <c r="V65" s="4"/>
      <c r="W65" s="4">
        <v>91</v>
      </c>
      <c r="X65" s="4"/>
      <c r="Y65" s="4">
        <v>0</v>
      </c>
      <c r="Z65" s="4"/>
      <c r="AA65" s="4">
        <v>0</v>
      </c>
      <c r="AB65" s="4"/>
      <c r="AC65" s="4">
        <v>2238</v>
      </c>
      <c r="AD65" s="4"/>
      <c r="AE65" s="15">
        <f t="shared" si="12"/>
        <v>555566.62</v>
      </c>
      <c r="AF65" s="4"/>
      <c r="AG65" s="15">
        <f t="shared" si="13"/>
        <v>8521.5100000000093</v>
      </c>
      <c r="AH65" s="4"/>
      <c r="AI65" s="4">
        <v>576280.61</v>
      </c>
      <c r="AJ65" s="4"/>
      <c r="AK65" s="15">
        <f t="shared" si="14"/>
        <v>567759.1</v>
      </c>
    </row>
    <row r="66" spans="1:37" ht="12" customHeight="1">
      <c r="A66" s="4" t="s">
        <v>361</v>
      </c>
      <c r="B66" s="4"/>
      <c r="C66" s="4" t="s">
        <v>53</v>
      </c>
      <c r="D66" s="4"/>
      <c r="E66" s="4">
        <v>1295775.69</v>
      </c>
      <c r="F66" s="4"/>
      <c r="G66" s="4">
        <v>54460.13</v>
      </c>
      <c r="H66" s="4"/>
      <c r="I66" s="4">
        <v>0</v>
      </c>
      <c r="J66" s="4"/>
      <c r="K66" s="4">
        <v>0</v>
      </c>
      <c r="L66" s="4"/>
      <c r="M66" s="15">
        <f t="shared" si="15"/>
        <v>1241315.56</v>
      </c>
      <c r="N66" s="4"/>
      <c r="O66" s="4">
        <v>0</v>
      </c>
      <c r="P66" s="4"/>
      <c r="Q66" s="4">
        <v>1174582.67</v>
      </c>
      <c r="R66" s="4"/>
      <c r="S66" s="4">
        <v>0</v>
      </c>
      <c r="T66" s="4"/>
      <c r="U66" s="4">
        <v>14290.52</v>
      </c>
      <c r="V66" s="4"/>
      <c r="W66" s="4">
        <v>27532.41</v>
      </c>
      <c r="X66" s="4"/>
      <c r="Y66" s="4">
        <v>0</v>
      </c>
      <c r="Z66" s="4"/>
      <c r="AA66" s="4">
        <v>0</v>
      </c>
      <c r="AB66" s="4"/>
      <c r="AC66" s="4">
        <v>0</v>
      </c>
      <c r="AD66" s="4"/>
      <c r="AE66" s="15">
        <f t="shared" si="12"/>
        <v>1216405.5999999999</v>
      </c>
      <c r="AF66" s="4"/>
      <c r="AG66" s="15">
        <f t="shared" si="13"/>
        <v>24909.960000000196</v>
      </c>
      <c r="AH66" s="4"/>
      <c r="AI66" s="4">
        <v>1755783.46</v>
      </c>
      <c r="AJ66" s="4"/>
      <c r="AK66" s="15">
        <f t="shared" si="14"/>
        <v>1730873.4999999998</v>
      </c>
    </row>
    <row r="67" spans="1:37" ht="12" customHeight="1">
      <c r="A67" s="4" t="s">
        <v>193</v>
      </c>
      <c r="B67" s="4"/>
      <c r="C67" s="4" t="s">
        <v>25</v>
      </c>
      <c r="D67" s="4"/>
      <c r="E67" s="4">
        <v>2313828</v>
      </c>
      <c r="F67" s="4"/>
      <c r="G67" s="4">
        <v>51470</v>
      </c>
      <c r="H67" s="4"/>
      <c r="I67" s="4">
        <v>23220</v>
      </c>
      <c r="J67" s="4"/>
      <c r="K67" s="4">
        <v>0</v>
      </c>
      <c r="L67" s="4"/>
      <c r="M67" s="15">
        <f t="shared" si="15"/>
        <v>2239138</v>
      </c>
      <c r="N67" s="4"/>
      <c r="O67" s="4">
        <v>857812</v>
      </c>
      <c r="P67" s="4"/>
      <c r="Q67" s="4">
        <v>1291140</v>
      </c>
      <c r="R67" s="4"/>
      <c r="S67" s="4">
        <v>50000</v>
      </c>
      <c r="T67" s="4"/>
      <c r="U67" s="4">
        <v>1834</v>
      </c>
      <c r="V67" s="4"/>
      <c r="W67" s="4">
        <v>27638</v>
      </c>
      <c r="X67" s="4"/>
      <c r="Y67" s="4">
        <v>5817</v>
      </c>
      <c r="Z67" s="4"/>
      <c r="AA67" s="4">
        <v>0</v>
      </c>
      <c r="AB67" s="4"/>
      <c r="AC67" s="4">
        <v>0</v>
      </c>
      <c r="AD67" s="4"/>
      <c r="AE67" s="15">
        <f t="shared" si="12"/>
        <v>2234241</v>
      </c>
      <c r="AF67" s="4"/>
      <c r="AG67" s="15">
        <f>+M67-AE67</f>
        <v>4897</v>
      </c>
      <c r="AH67" s="4"/>
      <c r="AI67" s="4">
        <v>1088452</v>
      </c>
      <c r="AJ67" s="4"/>
      <c r="AK67" s="15">
        <f t="shared" si="14"/>
        <v>1083555</v>
      </c>
    </row>
    <row r="68" spans="1:37" ht="12" customHeight="1">
      <c r="A68" s="10" t="s">
        <v>14</v>
      </c>
      <c r="B68" s="10"/>
      <c r="C68" s="10" t="s">
        <v>15</v>
      </c>
      <c r="D68" s="13"/>
      <c r="E68" s="15">
        <v>3803378</v>
      </c>
      <c r="F68" s="15"/>
      <c r="G68" s="15">
        <v>105532</v>
      </c>
      <c r="H68" s="15"/>
      <c r="I68" s="15">
        <v>0</v>
      </c>
      <c r="J68" s="15"/>
      <c r="K68" s="15">
        <v>0</v>
      </c>
      <c r="L68" s="15"/>
      <c r="M68" s="15">
        <f t="shared" si="15"/>
        <v>3697846</v>
      </c>
      <c r="N68" s="15"/>
      <c r="O68" s="15">
        <v>2267092</v>
      </c>
      <c r="P68" s="15"/>
      <c r="Q68" s="15">
        <v>1573568</v>
      </c>
      <c r="R68" s="15"/>
      <c r="S68" s="15">
        <v>11109</v>
      </c>
      <c r="T68" s="15"/>
      <c r="U68" s="15">
        <v>225000</v>
      </c>
      <c r="V68" s="15"/>
      <c r="W68" s="15">
        <v>3401</v>
      </c>
      <c r="X68" s="15"/>
      <c r="Y68" s="15">
        <v>6863</v>
      </c>
      <c r="Z68" s="15"/>
      <c r="AA68" s="15">
        <v>0</v>
      </c>
      <c r="AB68" s="15"/>
      <c r="AC68" s="15">
        <v>0</v>
      </c>
      <c r="AD68" s="15"/>
      <c r="AE68" s="15">
        <f t="shared" si="12"/>
        <v>4087033</v>
      </c>
      <c r="AF68" s="15"/>
      <c r="AG68" s="15">
        <f t="shared" si="13"/>
        <v>-389187</v>
      </c>
      <c r="AH68" s="15"/>
      <c r="AI68" s="15">
        <v>1039199</v>
      </c>
      <c r="AJ68" s="15"/>
      <c r="AK68" s="15">
        <f t="shared" si="14"/>
        <v>1428386</v>
      </c>
    </row>
    <row r="69" spans="1:37" ht="12" customHeight="1">
      <c r="A69" s="10" t="s">
        <v>195</v>
      </c>
      <c r="B69" s="10"/>
      <c r="C69" s="10" t="s">
        <v>10</v>
      </c>
      <c r="D69" s="13"/>
      <c r="E69" s="15">
        <v>6231229</v>
      </c>
      <c r="F69" s="15"/>
      <c r="G69" s="15">
        <v>266100</v>
      </c>
      <c r="H69" s="15"/>
      <c r="I69" s="15">
        <v>0</v>
      </c>
      <c r="J69" s="15"/>
      <c r="K69" s="15">
        <v>0</v>
      </c>
      <c r="L69" s="15"/>
      <c r="M69" s="15">
        <f t="shared" si="15"/>
        <v>5965129</v>
      </c>
      <c r="N69" s="15"/>
      <c r="O69" s="15">
        <v>0</v>
      </c>
      <c r="P69" s="15"/>
      <c r="Q69" s="15">
        <v>4498183</v>
      </c>
      <c r="R69" s="15"/>
      <c r="S69" s="15">
        <f>26944+10000</f>
        <v>36944</v>
      </c>
      <c r="T69" s="15"/>
      <c r="U69" s="15">
        <v>62439</v>
      </c>
      <c r="V69" s="15"/>
      <c r="W69" s="15">
        <v>20018</v>
      </c>
      <c r="X69" s="15"/>
      <c r="Y69" s="15">
        <v>0</v>
      </c>
      <c r="Z69" s="15"/>
      <c r="AA69" s="15">
        <v>0</v>
      </c>
      <c r="AB69" s="15"/>
      <c r="AC69" s="15">
        <v>0</v>
      </c>
      <c r="AD69" s="15"/>
      <c r="AE69" s="15">
        <f t="shared" si="12"/>
        <v>4617584</v>
      </c>
      <c r="AF69" s="15"/>
      <c r="AG69" s="15">
        <f t="shared" si="13"/>
        <v>1347545</v>
      </c>
      <c r="AH69" s="15"/>
      <c r="AI69" s="15">
        <v>5867534</v>
      </c>
      <c r="AJ69" s="15"/>
      <c r="AK69" s="15">
        <f t="shared" si="14"/>
        <v>4519989</v>
      </c>
    </row>
    <row r="70" spans="1:37" ht="12" customHeight="1">
      <c r="A70" s="4" t="s">
        <v>362</v>
      </c>
      <c r="B70" s="4"/>
      <c r="C70" s="4" t="s">
        <v>25</v>
      </c>
      <c r="D70" s="4"/>
      <c r="E70" s="4">
        <v>696582.37</v>
      </c>
      <c r="F70" s="4"/>
      <c r="G70" s="4">
        <v>24082.83</v>
      </c>
      <c r="H70" s="4"/>
      <c r="I70" s="4">
        <v>400</v>
      </c>
      <c r="J70" s="4"/>
      <c r="K70" s="4">
        <v>0</v>
      </c>
      <c r="L70" s="4"/>
      <c r="M70" s="15">
        <f t="shared" si="15"/>
        <v>672099.54</v>
      </c>
      <c r="N70" s="4"/>
      <c r="O70" s="4">
        <v>30.2</v>
      </c>
      <c r="P70" s="4"/>
      <c r="Q70" s="4">
        <v>691568.57</v>
      </c>
      <c r="R70" s="4"/>
      <c r="S70" s="4">
        <v>0</v>
      </c>
      <c r="T70" s="4"/>
      <c r="U70" s="4">
        <v>415.87</v>
      </c>
      <c r="V70" s="4"/>
      <c r="W70" s="4">
        <v>1403.28</v>
      </c>
      <c r="X70" s="4"/>
      <c r="Y70" s="4">
        <v>0</v>
      </c>
      <c r="Z70" s="4"/>
      <c r="AA70" s="4">
        <v>0</v>
      </c>
      <c r="AB70" s="4"/>
      <c r="AC70" s="4">
        <v>0</v>
      </c>
      <c r="AD70" s="4"/>
      <c r="AE70" s="15">
        <f t="shared" si="12"/>
        <v>693417.91999999993</v>
      </c>
      <c r="AF70" s="4"/>
      <c r="AG70" s="15">
        <f t="shared" si="13"/>
        <v>-21318.379999999888</v>
      </c>
      <c r="AH70" s="4"/>
      <c r="AI70" s="4">
        <v>216258.87</v>
      </c>
      <c r="AJ70" s="4"/>
      <c r="AK70" s="15">
        <f t="shared" si="14"/>
        <v>237577.24999999988</v>
      </c>
    </row>
    <row r="71" spans="1:37" ht="12" hidden="1" customHeight="1">
      <c r="A71" s="4" t="s">
        <v>487</v>
      </c>
      <c r="B71" s="4"/>
      <c r="C71" s="4" t="s">
        <v>63</v>
      </c>
      <c r="D71" s="4"/>
      <c r="E71" s="4"/>
      <c r="F71" s="4"/>
      <c r="G71" s="4"/>
      <c r="H71" s="4"/>
      <c r="I71" s="4"/>
      <c r="J71" s="4"/>
      <c r="K71" s="4"/>
      <c r="L71" s="4"/>
      <c r="M71" s="15">
        <f t="shared" si="15"/>
        <v>0</v>
      </c>
      <c r="N71" s="4"/>
      <c r="O71" s="4">
        <v>0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15">
        <f t="shared" si="12"/>
        <v>0</v>
      </c>
      <c r="AF71" s="4"/>
      <c r="AG71" s="15">
        <f t="shared" si="13"/>
        <v>0</v>
      </c>
      <c r="AH71" s="4"/>
      <c r="AI71" s="4"/>
      <c r="AJ71" s="4"/>
      <c r="AK71" s="15">
        <f t="shared" si="14"/>
        <v>0</v>
      </c>
    </row>
    <row r="72" spans="1:37" ht="12" customHeight="1">
      <c r="A72" s="10" t="s">
        <v>402</v>
      </c>
      <c r="B72" s="10"/>
      <c r="C72" s="10" t="s">
        <v>16</v>
      </c>
      <c r="D72" s="13"/>
      <c r="E72" s="15">
        <v>1836651</v>
      </c>
      <c r="F72" s="15"/>
      <c r="G72" s="15">
        <v>0</v>
      </c>
      <c r="H72" s="15"/>
      <c r="I72" s="15">
        <v>0</v>
      </c>
      <c r="J72" s="15"/>
      <c r="K72" s="15">
        <v>0</v>
      </c>
      <c r="L72" s="15"/>
      <c r="M72" s="15">
        <f t="shared" si="15"/>
        <v>1836651</v>
      </c>
      <c r="N72" s="15"/>
      <c r="O72" s="15">
        <v>270833</v>
      </c>
      <c r="P72" s="15"/>
      <c r="Q72" s="15">
        <f>1367655+37521</f>
        <v>1405176</v>
      </c>
      <c r="R72" s="15"/>
      <c r="S72" s="15">
        <v>38534</v>
      </c>
      <c r="T72" s="15"/>
      <c r="U72" s="15">
        <v>6254</v>
      </c>
      <c r="V72" s="15"/>
      <c r="W72" s="15">
        <v>8455</v>
      </c>
      <c r="X72" s="15"/>
      <c r="Y72" s="15">
        <v>0</v>
      </c>
      <c r="Z72" s="15"/>
      <c r="AA72" s="15">
        <v>0</v>
      </c>
      <c r="AB72" s="15"/>
      <c r="AC72" s="15">
        <v>0</v>
      </c>
      <c r="AD72" s="15"/>
      <c r="AE72" s="15">
        <f t="shared" si="12"/>
        <v>1729252</v>
      </c>
      <c r="AF72" s="15"/>
      <c r="AG72" s="15">
        <f t="shared" si="13"/>
        <v>107399</v>
      </c>
      <c r="AH72" s="15"/>
      <c r="AI72" s="15">
        <v>761312</v>
      </c>
      <c r="AJ72" s="15"/>
      <c r="AK72" s="15">
        <f t="shared" si="14"/>
        <v>653913</v>
      </c>
    </row>
    <row r="73" spans="1:37" ht="12" customHeight="1">
      <c r="A73" s="13" t="s">
        <v>206</v>
      </c>
      <c r="B73" s="13"/>
      <c r="C73" s="13" t="s">
        <v>207</v>
      </c>
      <c r="D73" s="13"/>
      <c r="E73" s="15">
        <v>3291292</v>
      </c>
      <c r="F73" s="15"/>
      <c r="G73" s="15">
        <v>97399</v>
      </c>
      <c r="H73" s="15"/>
      <c r="I73" s="15">
        <v>47154</v>
      </c>
      <c r="J73" s="15"/>
      <c r="K73" s="15">
        <v>0</v>
      </c>
      <c r="L73" s="15"/>
      <c r="M73" s="15">
        <f t="shared" si="15"/>
        <v>3146739</v>
      </c>
      <c r="N73" s="15"/>
      <c r="O73" s="15">
        <v>0</v>
      </c>
      <c r="P73" s="15"/>
      <c r="Q73" s="15">
        <v>2545825</v>
      </c>
      <c r="R73" s="15"/>
      <c r="S73" s="15">
        <v>0</v>
      </c>
      <c r="T73" s="15"/>
      <c r="U73" s="15">
        <v>81433</v>
      </c>
      <c r="V73" s="15"/>
      <c r="W73" s="15">
        <f>13193+11034</f>
        <v>24227</v>
      </c>
      <c r="X73" s="15"/>
      <c r="Y73" s="15">
        <v>0</v>
      </c>
      <c r="Z73" s="15"/>
      <c r="AA73" s="15">
        <v>0</v>
      </c>
      <c r="AB73" s="15"/>
      <c r="AC73" s="15">
        <v>0</v>
      </c>
      <c r="AD73" s="15"/>
      <c r="AE73" s="15">
        <f t="shared" si="12"/>
        <v>2651485</v>
      </c>
      <c r="AF73" s="15"/>
      <c r="AG73" s="15">
        <f t="shared" si="13"/>
        <v>495254</v>
      </c>
      <c r="AH73" s="15"/>
      <c r="AI73" s="15">
        <v>4165216</v>
      </c>
      <c r="AJ73" s="15"/>
      <c r="AK73" s="15">
        <f t="shared" si="14"/>
        <v>3669962</v>
      </c>
    </row>
    <row r="74" spans="1:37" ht="12" customHeight="1">
      <c r="A74" s="4" t="s">
        <v>363</v>
      </c>
      <c r="B74" s="4"/>
      <c r="C74" s="4" t="s">
        <v>64</v>
      </c>
      <c r="D74" s="4"/>
      <c r="E74" s="4">
        <v>354368.44</v>
      </c>
      <c r="F74" s="4"/>
      <c r="G74" s="4">
        <v>11350.19</v>
      </c>
      <c r="H74" s="4"/>
      <c r="I74" s="4">
        <v>0</v>
      </c>
      <c r="J74" s="4"/>
      <c r="K74" s="4">
        <v>0</v>
      </c>
      <c r="L74" s="4"/>
      <c r="M74" s="15">
        <f t="shared" si="15"/>
        <v>343018.25</v>
      </c>
      <c r="N74" s="4"/>
      <c r="O74" s="4">
        <v>0</v>
      </c>
      <c r="P74" s="4"/>
      <c r="Q74" s="4">
        <v>321090.34999999998</v>
      </c>
      <c r="R74" s="4"/>
      <c r="S74" s="4">
        <v>0</v>
      </c>
      <c r="T74" s="4"/>
      <c r="U74" s="4">
        <v>3719.12</v>
      </c>
      <c r="V74" s="4"/>
      <c r="W74" s="4">
        <v>693.27</v>
      </c>
      <c r="X74" s="4"/>
      <c r="Y74" s="4">
        <v>0</v>
      </c>
      <c r="Z74" s="4"/>
      <c r="AA74" s="4">
        <v>0</v>
      </c>
      <c r="AB74" s="4"/>
      <c r="AC74" s="4">
        <f>600+2450</f>
        <v>3050</v>
      </c>
      <c r="AD74" s="4"/>
      <c r="AE74" s="15">
        <f t="shared" si="12"/>
        <v>328552.74</v>
      </c>
      <c r="AF74" s="4"/>
      <c r="AG74" s="15">
        <f t="shared" si="13"/>
        <v>14465.510000000009</v>
      </c>
      <c r="AH74" s="4"/>
      <c r="AI74" s="4">
        <v>265554.90999999997</v>
      </c>
      <c r="AJ74" s="4"/>
      <c r="AK74" s="15">
        <f t="shared" si="14"/>
        <v>251089.39999999997</v>
      </c>
    </row>
    <row r="75" spans="1:37" ht="12" customHeight="1">
      <c r="A75" s="10" t="s">
        <v>216</v>
      </c>
      <c r="B75" s="13"/>
      <c r="C75" s="13" t="s">
        <v>25</v>
      </c>
      <c r="D75" s="13"/>
      <c r="E75" s="15">
        <v>2436333</v>
      </c>
      <c r="F75" s="15"/>
      <c r="G75" s="15">
        <v>69881</v>
      </c>
      <c r="H75" s="15"/>
      <c r="I75" s="15">
        <v>14333</v>
      </c>
      <c r="J75" s="15"/>
      <c r="K75" s="15">
        <v>66623</v>
      </c>
      <c r="L75" s="15"/>
      <c r="M75" s="15">
        <f t="shared" si="15"/>
        <v>2285496</v>
      </c>
      <c r="N75" s="15"/>
      <c r="O75" s="15">
        <v>169051</v>
      </c>
      <c r="P75" s="15"/>
      <c r="Q75" s="15">
        <v>1291109</v>
      </c>
      <c r="R75" s="15"/>
      <c r="S75" s="15">
        <v>12998</v>
      </c>
      <c r="T75" s="15"/>
      <c r="U75" s="15">
        <v>8743</v>
      </c>
      <c r="V75" s="15"/>
      <c r="W75" s="15">
        <v>2586</v>
      </c>
      <c r="X75" s="15"/>
      <c r="Y75" s="15">
        <v>0</v>
      </c>
      <c r="Z75" s="15"/>
      <c r="AA75" s="15">
        <v>0</v>
      </c>
      <c r="AB75" s="15"/>
      <c r="AC75" s="15">
        <v>0</v>
      </c>
      <c r="AD75" s="15"/>
      <c r="AE75" s="15">
        <f t="shared" si="12"/>
        <v>1484487</v>
      </c>
      <c r="AF75" s="15"/>
      <c r="AG75" s="15">
        <f t="shared" si="13"/>
        <v>801009</v>
      </c>
      <c r="AH75" s="15"/>
      <c r="AI75" s="15">
        <v>1208284</v>
      </c>
      <c r="AJ75" s="15"/>
      <c r="AK75" s="15">
        <f t="shared" si="14"/>
        <v>407275</v>
      </c>
    </row>
    <row r="76" spans="1:37" ht="12" customHeight="1">
      <c r="A76" s="10" t="s">
        <v>222</v>
      </c>
      <c r="B76" s="13"/>
      <c r="C76" s="13" t="s">
        <v>223</v>
      </c>
      <c r="D76" s="13"/>
      <c r="E76" s="15">
        <v>899263</v>
      </c>
      <c r="F76" s="15"/>
      <c r="G76" s="15">
        <v>0</v>
      </c>
      <c r="H76" s="15"/>
      <c r="I76" s="15">
        <v>0</v>
      </c>
      <c r="J76" s="15"/>
      <c r="K76" s="15">
        <v>0</v>
      </c>
      <c r="L76" s="15"/>
      <c r="M76" s="15">
        <f t="shared" si="15"/>
        <v>899263</v>
      </c>
      <c r="N76" s="15"/>
      <c r="O76" s="15">
        <f>124852+33079</f>
        <v>157931</v>
      </c>
      <c r="P76" s="15"/>
      <c r="Q76" s="15">
        <v>544661</v>
      </c>
      <c r="R76" s="15"/>
      <c r="S76" s="15">
        <v>35254</v>
      </c>
      <c r="T76" s="15"/>
      <c r="U76" s="15">
        <v>26742</v>
      </c>
      <c r="V76" s="15"/>
      <c r="W76" s="15">
        <f>41094+988</f>
        <v>42082</v>
      </c>
      <c r="X76" s="15"/>
      <c r="Y76" s="15">
        <v>0</v>
      </c>
      <c r="Z76" s="15"/>
      <c r="AA76" s="15">
        <v>0</v>
      </c>
      <c r="AB76" s="15"/>
      <c r="AC76" s="15">
        <v>0</v>
      </c>
      <c r="AD76" s="15"/>
      <c r="AE76" s="15">
        <f t="shared" si="12"/>
        <v>806670</v>
      </c>
      <c r="AF76" s="15"/>
      <c r="AG76" s="15">
        <f t="shared" si="13"/>
        <v>92593</v>
      </c>
      <c r="AH76" s="15"/>
      <c r="AI76" s="15">
        <v>817892</v>
      </c>
      <c r="AJ76" s="15"/>
      <c r="AK76" s="15">
        <f t="shared" si="14"/>
        <v>725299</v>
      </c>
    </row>
    <row r="77" spans="1:37" ht="12" customHeight="1">
      <c r="A77" s="10" t="s">
        <v>364</v>
      </c>
      <c r="B77" s="13"/>
      <c r="C77" s="13" t="s">
        <v>22</v>
      </c>
      <c r="D77" s="13"/>
      <c r="E77" s="15">
        <v>434481.71</v>
      </c>
      <c r="F77" s="15"/>
      <c r="G77" s="15">
        <v>5917.56</v>
      </c>
      <c r="H77" s="15"/>
      <c r="I77" s="15">
        <v>0</v>
      </c>
      <c r="J77" s="15"/>
      <c r="K77" s="15">
        <v>0</v>
      </c>
      <c r="L77" s="15"/>
      <c r="M77" s="15">
        <f t="shared" si="15"/>
        <v>428564.15</v>
      </c>
      <c r="N77" s="15"/>
      <c r="O77" s="15">
        <v>124199.59</v>
      </c>
      <c r="P77" s="15"/>
      <c r="Q77" s="15">
        <v>313109.31</v>
      </c>
      <c r="R77" s="15"/>
      <c r="S77" s="15">
        <v>0</v>
      </c>
      <c r="T77" s="15"/>
      <c r="U77" s="15">
        <v>114.82</v>
      </c>
      <c r="V77" s="15"/>
      <c r="W77" s="15">
        <v>6972.14</v>
      </c>
      <c r="X77" s="15"/>
      <c r="Y77" s="15">
        <v>0</v>
      </c>
      <c r="Z77" s="15"/>
      <c r="AA77" s="15">
        <v>0</v>
      </c>
      <c r="AB77" s="15"/>
      <c r="AC77" s="15">
        <v>0</v>
      </c>
      <c r="AD77" s="15"/>
      <c r="AE77" s="15">
        <f t="shared" si="12"/>
        <v>444395.86000000004</v>
      </c>
      <c r="AF77" s="15"/>
      <c r="AG77" s="15">
        <f t="shared" si="13"/>
        <v>-15831.710000000021</v>
      </c>
      <c r="AH77" s="15"/>
      <c r="AI77" s="15">
        <v>223515.73</v>
      </c>
      <c r="AJ77" s="15"/>
      <c r="AK77" s="15">
        <f t="shared" si="14"/>
        <v>239347.44000000003</v>
      </c>
    </row>
    <row r="78" spans="1:37" ht="12" customHeight="1">
      <c r="A78" s="4" t="s">
        <v>511</v>
      </c>
      <c r="B78" s="4"/>
      <c r="C78" s="4" t="s">
        <v>65</v>
      </c>
      <c r="D78" s="4"/>
      <c r="E78" s="4">
        <v>970583.89</v>
      </c>
      <c r="F78" s="4"/>
      <c r="G78" s="4">
        <v>33466.76</v>
      </c>
      <c r="H78" s="4"/>
      <c r="I78" s="4">
        <v>150</v>
      </c>
      <c r="J78" s="4"/>
      <c r="K78" s="4">
        <v>0</v>
      </c>
      <c r="L78" s="4"/>
      <c r="M78" s="15">
        <f t="shared" si="15"/>
        <v>936967.13</v>
      </c>
      <c r="N78" s="4"/>
      <c r="O78" s="4">
        <v>112109.05</v>
      </c>
      <c r="P78" s="4"/>
      <c r="Q78" s="4">
        <v>891483.15</v>
      </c>
      <c r="R78" s="4"/>
      <c r="S78" s="4">
        <v>0</v>
      </c>
      <c r="T78" s="4"/>
      <c r="U78" s="4">
        <v>439.45</v>
      </c>
      <c r="V78" s="4"/>
      <c r="W78" s="4">
        <v>49754.77</v>
      </c>
      <c r="X78" s="4"/>
      <c r="Y78" s="4">
        <v>0</v>
      </c>
      <c r="Z78" s="4"/>
      <c r="AA78" s="4">
        <v>0</v>
      </c>
      <c r="AB78" s="4"/>
      <c r="AC78" s="4">
        <v>0</v>
      </c>
      <c r="AD78" s="4"/>
      <c r="AE78" s="15">
        <f t="shared" ref="AE78:AE89" si="16">SUM(O78:AC78)</f>
        <v>1053786.42</v>
      </c>
      <c r="AF78" s="4"/>
      <c r="AG78" s="15">
        <f t="shared" ref="AG78:AG89" si="17">+M78-AE78</f>
        <v>-116819.28999999992</v>
      </c>
      <c r="AH78" s="4"/>
      <c r="AI78" s="4">
        <v>144881.15</v>
      </c>
      <c r="AJ78" s="4"/>
      <c r="AK78" s="15">
        <f t="shared" ref="AK78:AK89" si="18">+AI78-AG78</f>
        <v>261700.43999999992</v>
      </c>
    </row>
    <row r="79" spans="1:37" ht="12" customHeight="1">
      <c r="A79" s="10" t="s">
        <v>415</v>
      </c>
      <c r="B79" s="13"/>
      <c r="C79" s="13" t="s">
        <v>234</v>
      </c>
      <c r="D79" s="13"/>
      <c r="E79" s="15">
        <v>2073776</v>
      </c>
      <c r="F79" s="15"/>
      <c r="G79" s="15">
        <v>64946</v>
      </c>
      <c r="H79" s="15"/>
      <c r="I79" s="15">
        <v>4685</v>
      </c>
      <c r="J79" s="15"/>
      <c r="K79" s="15">
        <v>96892</v>
      </c>
      <c r="L79" s="15"/>
      <c r="M79" s="15">
        <f t="shared" ref="M79:M89" si="19">+E79-G79-I79-K79</f>
        <v>1907253</v>
      </c>
      <c r="N79" s="15"/>
      <c r="O79" s="15">
        <v>0</v>
      </c>
      <c r="P79" s="15"/>
      <c r="Q79" s="15">
        <v>1501639</v>
      </c>
      <c r="R79" s="15"/>
      <c r="S79" s="15">
        <v>1790</v>
      </c>
      <c r="T79" s="15"/>
      <c r="U79" s="15">
        <v>88556</v>
      </c>
      <c r="V79" s="15"/>
      <c r="W79" s="15">
        <v>7212</v>
      </c>
      <c r="X79" s="15"/>
      <c r="Y79" s="15">
        <v>0</v>
      </c>
      <c r="Z79" s="15"/>
      <c r="AA79" s="15">
        <v>0</v>
      </c>
      <c r="AB79" s="15"/>
      <c r="AC79" s="15">
        <v>0</v>
      </c>
      <c r="AD79" s="15"/>
      <c r="AE79" s="15">
        <f t="shared" si="16"/>
        <v>1599197</v>
      </c>
      <c r="AF79" s="15"/>
      <c r="AG79" s="15">
        <f t="shared" si="17"/>
        <v>308056</v>
      </c>
      <c r="AH79" s="15"/>
      <c r="AI79" s="15">
        <v>16280941</v>
      </c>
      <c r="AJ79" s="15"/>
      <c r="AK79" s="15">
        <f t="shared" si="18"/>
        <v>15972885</v>
      </c>
    </row>
    <row r="80" spans="1:37" ht="12" hidden="1" customHeight="1">
      <c r="A80" s="4" t="s">
        <v>532</v>
      </c>
      <c r="B80" s="13"/>
      <c r="C80" s="13" t="s">
        <v>52</v>
      </c>
      <c r="D80" s="13"/>
      <c r="E80" s="15"/>
      <c r="F80" s="15"/>
      <c r="G80" s="15"/>
      <c r="H80" s="15"/>
      <c r="I80" s="15"/>
      <c r="J80" s="15"/>
      <c r="K80" s="15"/>
      <c r="L80" s="15"/>
      <c r="M80" s="15">
        <f t="shared" si="19"/>
        <v>0</v>
      </c>
      <c r="N80" s="15"/>
      <c r="O80" s="15">
        <v>0</v>
      </c>
      <c r="P80" s="15"/>
      <c r="Q80" s="15">
        <v>0</v>
      </c>
      <c r="R80" s="15"/>
      <c r="S80" s="15">
        <v>0</v>
      </c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>
        <f t="shared" si="16"/>
        <v>0</v>
      </c>
      <c r="AF80" s="15"/>
      <c r="AG80" s="15">
        <f t="shared" si="17"/>
        <v>0</v>
      </c>
      <c r="AH80" s="15"/>
      <c r="AI80" s="15"/>
      <c r="AJ80" s="15"/>
      <c r="AK80" s="15">
        <f t="shared" si="18"/>
        <v>0</v>
      </c>
    </row>
    <row r="81" spans="1:37" ht="12" customHeight="1">
      <c r="A81" s="4" t="s">
        <v>569</v>
      </c>
      <c r="B81" s="13"/>
      <c r="C81" s="13" t="s">
        <v>527</v>
      </c>
      <c r="D81" s="13"/>
      <c r="E81" s="15">
        <v>56133325</v>
      </c>
      <c r="F81" s="15"/>
      <c r="G81" s="15">
        <v>1986173</v>
      </c>
      <c r="H81" s="15"/>
      <c r="I81" s="15">
        <v>633404</v>
      </c>
      <c r="J81" s="15"/>
      <c r="K81" s="15">
        <v>0</v>
      </c>
      <c r="L81" s="15"/>
      <c r="M81" s="15">
        <f t="shared" si="19"/>
        <v>53513748</v>
      </c>
      <c r="N81" s="15"/>
      <c r="O81" s="15">
        <v>0</v>
      </c>
      <c r="P81" s="15"/>
      <c r="Q81" s="15">
        <v>35472245</v>
      </c>
      <c r="R81" s="15"/>
      <c r="S81" s="15">
        <v>3669</v>
      </c>
      <c r="T81" s="15"/>
      <c r="U81" s="15">
        <v>88420</v>
      </c>
      <c r="V81" s="15"/>
      <c r="W81" s="15">
        <v>658480</v>
      </c>
      <c r="X81" s="15"/>
      <c r="Y81" s="15">
        <v>0</v>
      </c>
      <c r="Z81" s="15"/>
      <c r="AA81" s="15">
        <v>0</v>
      </c>
      <c r="AB81" s="15"/>
      <c r="AC81" s="15">
        <v>0</v>
      </c>
      <c r="AD81" s="15"/>
      <c r="AE81" s="15">
        <f t="shared" si="16"/>
        <v>36222814</v>
      </c>
      <c r="AF81" s="15"/>
      <c r="AG81" s="15">
        <f>+M81-AE81</f>
        <v>17290934</v>
      </c>
      <c r="AH81" s="15"/>
      <c r="AI81" s="15">
        <v>137642955</v>
      </c>
      <c r="AJ81" s="15"/>
      <c r="AK81" s="15">
        <f t="shared" si="18"/>
        <v>120352021</v>
      </c>
    </row>
    <row r="82" spans="1:37" ht="12" customHeight="1">
      <c r="A82" s="4" t="s">
        <v>366</v>
      </c>
      <c r="B82" s="4"/>
      <c r="C82" s="4" t="s">
        <v>45</v>
      </c>
      <c r="D82" s="4"/>
      <c r="E82" s="4">
        <v>520923.5</v>
      </c>
      <c r="F82" s="4"/>
      <c r="G82" s="4">
        <v>22564.53</v>
      </c>
      <c r="H82" s="4"/>
      <c r="I82" s="4">
        <v>0</v>
      </c>
      <c r="J82" s="4"/>
      <c r="K82" s="4">
        <v>0</v>
      </c>
      <c r="L82" s="4"/>
      <c r="M82" s="15">
        <f t="shared" si="19"/>
        <v>498358.97</v>
      </c>
      <c r="N82" s="4"/>
      <c r="O82" s="4">
        <v>0</v>
      </c>
      <c r="P82" s="4"/>
      <c r="Q82" s="4">
        <v>461464.95</v>
      </c>
      <c r="R82" s="4"/>
      <c r="S82" s="4">
        <v>0</v>
      </c>
      <c r="T82" s="4"/>
      <c r="U82" s="4">
        <v>2632.94</v>
      </c>
      <c r="V82" s="4"/>
      <c r="W82" s="4">
        <v>8148.75</v>
      </c>
      <c r="X82" s="4"/>
      <c r="Y82" s="4">
        <v>0</v>
      </c>
      <c r="Z82" s="4"/>
      <c r="AA82" s="4">
        <v>0</v>
      </c>
      <c r="AB82" s="4"/>
      <c r="AC82" s="4">
        <v>0</v>
      </c>
      <c r="AD82" s="4"/>
      <c r="AE82" s="15">
        <f t="shared" si="16"/>
        <v>472246.64</v>
      </c>
      <c r="AF82" s="4"/>
      <c r="AG82" s="15">
        <f t="shared" si="17"/>
        <v>26112.329999999958</v>
      </c>
      <c r="AH82" s="4"/>
      <c r="AI82" s="4">
        <v>203471.22</v>
      </c>
      <c r="AJ82" s="4"/>
      <c r="AK82" s="15">
        <f t="shared" si="18"/>
        <v>177358.89000000004</v>
      </c>
    </row>
    <row r="83" spans="1:37" ht="12" customHeight="1">
      <c r="A83" s="4" t="s">
        <v>367</v>
      </c>
      <c r="B83" s="4"/>
      <c r="C83" s="4" t="s">
        <v>60</v>
      </c>
      <c r="D83" s="4"/>
      <c r="E83" s="4">
        <v>111808.16</v>
      </c>
      <c r="F83" s="4"/>
      <c r="G83" s="4">
        <v>2418.0100000000002</v>
      </c>
      <c r="H83" s="4"/>
      <c r="I83" s="4">
        <v>0</v>
      </c>
      <c r="J83" s="4"/>
      <c r="K83" s="4">
        <v>0</v>
      </c>
      <c r="L83" s="4"/>
      <c r="M83" s="15">
        <f t="shared" si="19"/>
        <v>109390.15000000001</v>
      </c>
      <c r="N83" s="4"/>
      <c r="O83" s="4">
        <v>17752.48</v>
      </c>
      <c r="P83" s="4"/>
      <c r="Q83" s="4">
        <v>91423.13</v>
      </c>
      <c r="R83" s="4"/>
      <c r="S83" s="4">
        <v>0</v>
      </c>
      <c r="T83" s="4"/>
      <c r="U83" s="4">
        <v>767.2</v>
      </c>
      <c r="V83" s="4"/>
      <c r="W83" s="4">
        <v>1320.2</v>
      </c>
      <c r="X83" s="4"/>
      <c r="Y83" s="4">
        <v>0</v>
      </c>
      <c r="Z83" s="4"/>
      <c r="AA83" s="4">
        <v>0</v>
      </c>
      <c r="AB83" s="4"/>
      <c r="AC83" s="4">
        <v>0</v>
      </c>
      <c r="AD83" s="4"/>
      <c r="AE83" s="15">
        <f t="shared" si="16"/>
        <v>111263.01</v>
      </c>
      <c r="AF83" s="4"/>
      <c r="AG83" s="15">
        <f t="shared" si="17"/>
        <v>-1872.859999999986</v>
      </c>
      <c r="AH83" s="4"/>
      <c r="AI83" s="4">
        <v>74939.070000000007</v>
      </c>
      <c r="AJ83" s="4"/>
      <c r="AK83" s="15">
        <f t="shared" si="18"/>
        <v>76811.929999999993</v>
      </c>
    </row>
    <row r="84" spans="1:37" ht="12" customHeight="1">
      <c r="A84" s="4" t="s">
        <v>240</v>
      </c>
      <c r="B84" s="4"/>
      <c r="C84" s="4" t="s">
        <v>165</v>
      </c>
      <c r="D84" s="4"/>
      <c r="E84" s="4">
        <v>4277237.37</v>
      </c>
      <c r="F84" s="4"/>
      <c r="G84" s="4">
        <v>33715.65</v>
      </c>
      <c r="H84" s="4"/>
      <c r="I84" s="4">
        <v>0</v>
      </c>
      <c r="J84" s="4"/>
      <c r="K84" s="4">
        <v>1950</v>
      </c>
      <c r="L84" s="4"/>
      <c r="M84" s="15">
        <f t="shared" si="19"/>
        <v>4241571.72</v>
      </c>
      <c r="N84" s="4"/>
      <c r="O84" s="4">
        <v>530442.57999999996</v>
      </c>
      <c r="P84" s="4"/>
      <c r="Q84" s="4">
        <v>522598.49</v>
      </c>
      <c r="R84" s="4"/>
      <c r="S84" s="4">
        <v>0</v>
      </c>
      <c r="T84" s="4"/>
      <c r="U84" s="4">
        <v>177859.83</v>
      </c>
      <c r="V84" s="4"/>
      <c r="W84" s="4">
        <v>8535.24</v>
      </c>
      <c r="X84" s="4"/>
      <c r="Y84" s="4">
        <v>0</v>
      </c>
      <c r="Z84" s="4"/>
      <c r="AA84" s="4">
        <v>0</v>
      </c>
      <c r="AB84" s="4"/>
      <c r="AC84" s="4">
        <v>10000</v>
      </c>
      <c r="AD84" s="4"/>
      <c r="AE84" s="15">
        <f t="shared" si="16"/>
        <v>1249436.1399999999</v>
      </c>
      <c r="AF84" s="4"/>
      <c r="AG84" s="15">
        <f t="shared" si="17"/>
        <v>2992135.58</v>
      </c>
      <c r="AH84" s="4"/>
      <c r="AI84" s="4">
        <v>6015759.1299999999</v>
      </c>
      <c r="AJ84" s="4"/>
      <c r="AK84" s="15">
        <f t="shared" si="18"/>
        <v>3023623.55</v>
      </c>
    </row>
    <row r="85" spans="1:37" ht="12" hidden="1" customHeight="1">
      <c r="A85" s="4" t="s">
        <v>368</v>
      </c>
      <c r="B85" s="4"/>
      <c r="C85" s="13" t="s">
        <v>42</v>
      </c>
      <c r="D85" s="4"/>
      <c r="E85" s="4"/>
      <c r="F85" s="4"/>
      <c r="G85" s="4"/>
      <c r="H85" s="4"/>
      <c r="I85" s="4"/>
      <c r="J85" s="4"/>
      <c r="K85" s="4"/>
      <c r="L85" s="4"/>
      <c r="M85" s="15">
        <f t="shared" si="19"/>
        <v>0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15">
        <f t="shared" si="16"/>
        <v>0</v>
      </c>
      <c r="AF85" s="4"/>
      <c r="AG85" s="15">
        <f t="shared" si="17"/>
        <v>0</v>
      </c>
      <c r="AH85" s="4"/>
      <c r="AI85" s="4"/>
      <c r="AJ85" s="4"/>
      <c r="AK85" s="15">
        <f t="shared" si="18"/>
        <v>0</v>
      </c>
    </row>
    <row r="86" spans="1:37" ht="12" customHeight="1">
      <c r="A86" s="5" t="s">
        <v>486</v>
      </c>
      <c r="B86" s="5"/>
      <c r="C86" s="5" t="s">
        <v>49</v>
      </c>
      <c r="D86" s="5"/>
      <c r="E86" s="4">
        <v>169074.62</v>
      </c>
      <c r="F86" s="4"/>
      <c r="G86" s="4">
        <v>2036.5</v>
      </c>
      <c r="H86" s="4"/>
      <c r="I86" s="4">
        <v>8550</v>
      </c>
      <c r="J86" s="4"/>
      <c r="K86" s="4">
        <v>0</v>
      </c>
      <c r="L86" s="4"/>
      <c r="M86" s="15">
        <f t="shared" si="19"/>
        <v>158488.12</v>
      </c>
      <c r="N86" s="4"/>
      <c r="O86" s="4">
        <v>0</v>
      </c>
      <c r="P86" s="4"/>
      <c r="Q86" s="4">
        <v>154333.76000000001</v>
      </c>
      <c r="R86" s="4"/>
      <c r="S86" s="4">
        <v>0</v>
      </c>
      <c r="T86" s="4"/>
      <c r="U86" s="4">
        <v>1552.17</v>
      </c>
      <c r="V86" s="4"/>
      <c r="W86" s="4">
        <v>819.91</v>
      </c>
      <c r="X86" s="4"/>
      <c r="Y86" s="4">
        <v>0</v>
      </c>
      <c r="Z86" s="4"/>
      <c r="AA86" s="4">
        <v>0</v>
      </c>
      <c r="AB86" s="4"/>
      <c r="AC86" s="4">
        <v>0</v>
      </c>
      <c r="AD86" s="4"/>
      <c r="AE86" s="15">
        <f t="shared" si="16"/>
        <v>156705.84000000003</v>
      </c>
      <c r="AF86" s="4"/>
      <c r="AG86" s="15">
        <f t="shared" si="17"/>
        <v>1782.2799999999697</v>
      </c>
      <c r="AH86" s="4"/>
      <c r="AI86" s="4">
        <v>26067.41</v>
      </c>
      <c r="AJ86" s="4"/>
      <c r="AK86" s="15">
        <f t="shared" si="18"/>
        <v>24285.13000000003</v>
      </c>
    </row>
    <row r="87" spans="1:37" s="4" customFormat="1" ht="12" hidden="1">
      <c r="A87" s="4" t="s">
        <v>242</v>
      </c>
      <c r="C87" s="4" t="s">
        <v>19</v>
      </c>
      <c r="M87" s="15">
        <f t="shared" si="19"/>
        <v>0</v>
      </c>
      <c r="AE87" s="15">
        <f t="shared" si="16"/>
        <v>0</v>
      </c>
      <c r="AG87" s="15">
        <f t="shared" si="17"/>
        <v>0</v>
      </c>
      <c r="AK87" s="15">
        <f t="shared" si="18"/>
        <v>0</v>
      </c>
    </row>
    <row r="88" spans="1:37" s="4" customFormat="1" ht="12" hidden="1">
      <c r="A88" s="4" t="s">
        <v>489</v>
      </c>
      <c r="C88" s="4" t="s">
        <v>61</v>
      </c>
      <c r="M88" s="15">
        <f t="shared" si="19"/>
        <v>0</v>
      </c>
      <c r="AE88" s="15">
        <f t="shared" si="16"/>
        <v>0</v>
      </c>
      <c r="AG88" s="15">
        <f t="shared" si="17"/>
        <v>0</v>
      </c>
      <c r="AK88" s="15">
        <f t="shared" si="18"/>
        <v>0</v>
      </c>
    </row>
    <row r="89" spans="1:37" s="4" customFormat="1" ht="12">
      <c r="A89" s="4" t="s">
        <v>369</v>
      </c>
      <c r="C89" s="4" t="s">
        <v>43</v>
      </c>
      <c r="E89" s="4">
        <v>584736</v>
      </c>
      <c r="G89" s="4">
        <v>10641</v>
      </c>
      <c r="I89" s="4">
        <v>19978</v>
      </c>
      <c r="K89" s="4">
        <v>0</v>
      </c>
      <c r="M89" s="15">
        <f t="shared" si="19"/>
        <v>554117</v>
      </c>
      <c r="O89" s="4">
        <v>0</v>
      </c>
      <c r="Q89" s="4">
        <v>436043</v>
      </c>
      <c r="S89" s="4">
        <v>0</v>
      </c>
      <c r="U89" s="4">
        <v>245</v>
      </c>
      <c r="W89" s="4">
        <v>7321</v>
      </c>
      <c r="Y89" s="4">
        <v>93570</v>
      </c>
      <c r="AA89" s="4">
        <v>0</v>
      </c>
      <c r="AC89" s="4">
        <v>0</v>
      </c>
      <c r="AE89" s="15">
        <f t="shared" si="16"/>
        <v>537179</v>
      </c>
      <c r="AG89" s="15">
        <f t="shared" si="17"/>
        <v>16938</v>
      </c>
      <c r="AI89" s="4">
        <v>102654</v>
      </c>
      <c r="AK89" s="15">
        <f t="shared" si="18"/>
        <v>85716</v>
      </c>
    </row>
    <row r="90" spans="1:37" s="4" customFormat="1" ht="12">
      <c r="A90" s="10"/>
      <c r="B90" s="13"/>
      <c r="C90" s="13"/>
      <c r="D90" s="13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</row>
    <row r="91" spans="1:37" s="4" customFormat="1" ht="12">
      <c r="A91" s="10"/>
      <c r="B91" s="13"/>
      <c r="C91" s="13"/>
      <c r="D91" s="13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27" t="s">
        <v>538</v>
      </c>
    </row>
    <row r="92" spans="1:37" ht="12" customHeight="1">
      <c r="A92" s="50" t="s">
        <v>495</v>
      </c>
      <c r="B92" s="50"/>
      <c r="C92" s="50"/>
      <c r="D92" s="50"/>
      <c r="E92" s="50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</row>
    <row r="93" spans="1:37" ht="12" customHeight="1">
      <c r="A93" s="13" t="s">
        <v>371</v>
      </c>
      <c r="B93" s="13"/>
      <c r="C93" s="13"/>
      <c r="D93" s="13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</row>
    <row r="94" spans="1:37" ht="12" customHeight="1">
      <c r="A94" s="13" t="s">
        <v>565</v>
      </c>
      <c r="B94" s="13"/>
      <c r="C94" s="13"/>
      <c r="D94" s="13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</row>
    <row r="95" spans="1:37" ht="12" customHeight="1">
      <c r="A95" s="13" t="s">
        <v>7</v>
      </c>
      <c r="B95" s="13"/>
      <c r="C95" s="13"/>
      <c r="D95" s="13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</row>
    <row r="96" spans="1:37" ht="12" customHeight="1">
      <c r="B96" s="13"/>
      <c r="C96" s="13"/>
      <c r="D96" s="13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</row>
    <row r="97" spans="1:37" ht="12" customHeight="1">
      <c r="A97" s="10" t="s">
        <v>372</v>
      </c>
      <c r="B97" s="13"/>
      <c r="C97" s="13"/>
      <c r="D97" s="13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</row>
    <row r="98" spans="1:37" ht="12" customHeight="1">
      <c r="A98" s="13"/>
      <c r="B98" s="13"/>
      <c r="C98" s="13"/>
      <c r="D98" s="13"/>
      <c r="E98" s="40"/>
      <c r="F98" s="40"/>
      <c r="G98" s="51" t="s">
        <v>347</v>
      </c>
      <c r="H98" s="51"/>
      <c r="I98" s="51"/>
      <c r="J98" s="51"/>
      <c r="K98" s="51"/>
      <c r="L98" s="15"/>
      <c r="M98" s="15"/>
      <c r="N98" s="15"/>
      <c r="O98" s="51" t="s">
        <v>348</v>
      </c>
      <c r="P98" s="51"/>
      <c r="Q98" s="51"/>
      <c r="R98" s="51"/>
      <c r="S98" s="51"/>
      <c r="T98" s="51"/>
      <c r="U98" s="51"/>
      <c r="V98" s="51"/>
      <c r="W98" s="51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</row>
    <row r="99" spans="1:37" ht="12" customHeight="1">
      <c r="A99" s="13"/>
      <c r="B99" s="13"/>
      <c r="C99" s="13"/>
      <c r="D99" s="13"/>
      <c r="E99" s="40"/>
      <c r="F99" s="40"/>
      <c r="G99" s="40"/>
      <c r="H99" s="40"/>
      <c r="I99" s="41" t="s">
        <v>373</v>
      </c>
      <c r="J99" s="40"/>
      <c r="K99" s="40"/>
      <c r="L99" s="15"/>
      <c r="M99" s="15"/>
      <c r="N99" s="15"/>
      <c r="O99" s="15"/>
      <c r="P99" s="15"/>
      <c r="Q99" s="16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</row>
    <row r="100" spans="1:37" ht="12" customHeight="1">
      <c r="D100" s="13"/>
      <c r="E100" s="40"/>
      <c r="F100" s="40"/>
      <c r="G100" s="40"/>
      <c r="H100" s="40"/>
      <c r="I100" s="41" t="s">
        <v>374</v>
      </c>
      <c r="J100" s="40"/>
      <c r="K100" s="40"/>
      <c r="L100" s="15"/>
      <c r="M100" s="41" t="s">
        <v>379</v>
      </c>
      <c r="N100" s="40"/>
      <c r="O100" s="41" t="s">
        <v>31</v>
      </c>
      <c r="P100" s="40"/>
      <c r="Q100" s="41" t="s">
        <v>374</v>
      </c>
      <c r="R100" s="40"/>
      <c r="S100" s="41" t="s">
        <v>384</v>
      </c>
      <c r="T100" s="40"/>
      <c r="U100" s="40"/>
      <c r="V100" s="40"/>
      <c r="W100" s="40"/>
      <c r="X100" s="40"/>
      <c r="Y100" s="40"/>
      <c r="Z100" s="40"/>
      <c r="AA100" s="41" t="s">
        <v>387</v>
      </c>
      <c r="AB100" s="15"/>
      <c r="AC100" s="41" t="s">
        <v>380</v>
      </c>
      <c r="AD100" s="15"/>
      <c r="AE100" s="41"/>
      <c r="AF100" s="40"/>
      <c r="AG100" s="41" t="s">
        <v>381</v>
      </c>
      <c r="AH100" s="40"/>
      <c r="AI100" s="41" t="s">
        <v>382</v>
      </c>
      <c r="AJ100" s="40"/>
      <c r="AK100" s="41" t="s">
        <v>379</v>
      </c>
    </row>
    <row r="101" spans="1:37" ht="12" customHeight="1">
      <c r="A101" s="42"/>
      <c r="B101" s="42"/>
      <c r="C101" s="13"/>
      <c r="D101" s="13"/>
      <c r="E101" s="41" t="s">
        <v>375</v>
      </c>
      <c r="F101" s="40"/>
      <c r="G101" s="41" t="s">
        <v>376</v>
      </c>
      <c r="H101" s="40"/>
      <c r="I101" s="41" t="s">
        <v>377</v>
      </c>
      <c r="J101" s="40"/>
      <c r="K101" s="41" t="s">
        <v>30</v>
      </c>
      <c r="L101" s="15"/>
      <c r="M101" s="41" t="s">
        <v>490</v>
      </c>
      <c r="N101" s="40"/>
      <c r="O101" s="41" t="s">
        <v>383</v>
      </c>
      <c r="P101" s="40"/>
      <c r="Q101" s="41" t="s">
        <v>497</v>
      </c>
      <c r="R101" s="40"/>
      <c r="S101" s="41" t="s">
        <v>496</v>
      </c>
      <c r="T101" s="40"/>
      <c r="U101" s="41" t="s">
        <v>385</v>
      </c>
      <c r="V101" s="40"/>
      <c r="W101" s="40"/>
      <c r="X101" s="40"/>
      <c r="Y101" s="41" t="s">
        <v>386</v>
      </c>
      <c r="Z101" s="40"/>
      <c r="AA101" s="41" t="s">
        <v>535</v>
      </c>
      <c r="AB101" s="15"/>
      <c r="AC101" s="41" t="s">
        <v>388</v>
      </c>
      <c r="AD101" s="15"/>
      <c r="AE101" s="41" t="s">
        <v>28</v>
      </c>
      <c r="AF101" s="40"/>
      <c r="AG101" s="41" t="s">
        <v>389</v>
      </c>
      <c r="AH101" s="40"/>
      <c r="AI101" s="41" t="s">
        <v>390</v>
      </c>
      <c r="AJ101" s="40"/>
      <c r="AK101" s="41" t="s">
        <v>32</v>
      </c>
    </row>
    <row r="102" spans="1:37" s="4" customFormat="1" ht="12">
      <c r="A102" s="29" t="s">
        <v>8</v>
      </c>
      <c r="B102" s="42"/>
      <c r="C102" s="23" t="s">
        <v>6</v>
      </c>
      <c r="D102" s="42"/>
      <c r="E102" s="43" t="s">
        <v>537</v>
      </c>
      <c r="F102" s="42"/>
      <c r="G102" s="44" t="s">
        <v>29</v>
      </c>
      <c r="H102" s="42"/>
      <c r="I102" s="44" t="s">
        <v>378</v>
      </c>
      <c r="J102" s="42"/>
      <c r="K102" s="44" t="s">
        <v>374</v>
      </c>
      <c r="L102" s="42"/>
      <c r="M102" s="44" t="s">
        <v>391</v>
      </c>
      <c r="N102" s="42"/>
      <c r="O102" s="44" t="s">
        <v>392</v>
      </c>
      <c r="P102" s="42"/>
      <c r="Q102" s="44" t="s">
        <v>498</v>
      </c>
      <c r="R102" s="42"/>
      <c r="S102" s="44" t="s">
        <v>377</v>
      </c>
      <c r="T102" s="42"/>
      <c r="U102" s="44" t="s">
        <v>393</v>
      </c>
      <c r="V102" s="42"/>
      <c r="W102" s="44" t="s">
        <v>0</v>
      </c>
      <c r="X102" s="42"/>
      <c r="Y102" s="44" t="s">
        <v>394</v>
      </c>
      <c r="Z102" s="42"/>
      <c r="AA102" s="44" t="s">
        <v>536</v>
      </c>
      <c r="AB102" s="42"/>
      <c r="AC102" s="44" t="s">
        <v>395</v>
      </c>
      <c r="AD102" s="42"/>
      <c r="AE102" s="44" t="s">
        <v>506</v>
      </c>
      <c r="AF102" s="42"/>
      <c r="AG102" s="44" t="s">
        <v>32</v>
      </c>
      <c r="AH102" s="42"/>
      <c r="AI102" s="44" t="s">
        <v>396</v>
      </c>
      <c r="AJ102" s="42"/>
      <c r="AK102" s="44" t="s">
        <v>397</v>
      </c>
    </row>
    <row r="103" spans="1:37" s="45" customFormat="1" ht="12" customHeight="1">
      <c r="A103" s="25" t="s">
        <v>512</v>
      </c>
      <c r="B103" s="25"/>
      <c r="C103" s="25" t="s">
        <v>13</v>
      </c>
      <c r="D103" s="25"/>
      <c r="E103" s="25">
        <v>468402</v>
      </c>
      <c r="F103" s="25"/>
      <c r="G103" s="25">
        <v>12203</v>
      </c>
      <c r="H103" s="25"/>
      <c r="I103" s="25">
        <v>5689</v>
      </c>
      <c r="J103" s="25"/>
      <c r="K103" s="25">
        <v>0</v>
      </c>
      <c r="L103" s="25"/>
      <c r="M103" s="26">
        <f t="shared" ref="M103:M119" si="20">+E103-G103-I103-K103</f>
        <v>450510</v>
      </c>
      <c r="N103" s="25"/>
      <c r="O103" s="25">
        <v>0</v>
      </c>
      <c r="P103" s="25"/>
      <c r="Q103" s="25">
        <v>423329</v>
      </c>
      <c r="R103" s="25"/>
      <c r="S103" s="25">
        <v>0</v>
      </c>
      <c r="T103" s="25"/>
      <c r="U103" s="25">
        <v>1695</v>
      </c>
      <c r="V103" s="25"/>
      <c r="W103" s="25">
        <v>8328</v>
      </c>
      <c r="X103" s="25"/>
      <c r="Y103" s="25">
        <v>0</v>
      </c>
      <c r="Z103" s="25"/>
      <c r="AA103" s="25">
        <v>0</v>
      </c>
      <c r="AB103" s="25"/>
      <c r="AC103" s="25">
        <v>0</v>
      </c>
      <c r="AD103" s="25"/>
      <c r="AE103" s="26">
        <f t="shared" ref="AE103:AE119" si="21">SUM(O103:AC103)</f>
        <v>433352</v>
      </c>
      <c r="AF103" s="25"/>
      <c r="AG103" s="26">
        <f t="shared" ref="AG103:AG119" si="22">+M103-AE103</f>
        <v>17158</v>
      </c>
      <c r="AH103" s="25"/>
      <c r="AI103" s="25">
        <v>708362</v>
      </c>
      <c r="AJ103" s="25"/>
      <c r="AK103" s="26">
        <f t="shared" ref="AK103:AK119" si="23">+AI103-AG103</f>
        <v>691204</v>
      </c>
    </row>
    <row r="104" spans="1:37" s="4" customFormat="1" ht="12">
      <c r="A104" s="10" t="s">
        <v>253</v>
      </c>
      <c r="B104" s="13"/>
      <c r="C104" s="13" t="s">
        <v>25</v>
      </c>
      <c r="D104" s="13"/>
      <c r="E104" s="15">
        <v>13013730</v>
      </c>
      <c r="F104" s="15"/>
      <c r="G104" s="15">
        <v>311254</v>
      </c>
      <c r="H104" s="15"/>
      <c r="I104" s="15">
        <v>59182</v>
      </c>
      <c r="J104" s="15"/>
      <c r="K104" s="15">
        <v>265813</v>
      </c>
      <c r="L104" s="15"/>
      <c r="M104" s="15">
        <f t="shared" si="20"/>
        <v>12377481</v>
      </c>
      <c r="N104" s="15"/>
      <c r="O104" s="15">
        <v>4316629</v>
      </c>
      <c r="P104" s="15"/>
      <c r="Q104" s="15">
        <f>6796324+1086518</f>
        <v>7882842</v>
      </c>
      <c r="R104" s="15"/>
      <c r="S104" s="15">
        <v>26</v>
      </c>
      <c r="T104" s="15"/>
      <c r="U104" s="15">
        <v>12702</v>
      </c>
      <c r="V104" s="15"/>
      <c r="W104" s="15">
        <v>84687</v>
      </c>
      <c r="X104" s="15"/>
      <c r="Y104" s="15">
        <v>0</v>
      </c>
      <c r="Z104" s="15"/>
      <c r="AA104" s="15">
        <v>0</v>
      </c>
      <c r="AB104" s="15"/>
      <c r="AC104" s="15">
        <v>0</v>
      </c>
      <c r="AD104" s="15"/>
      <c r="AE104" s="15">
        <f t="shared" si="21"/>
        <v>12296886</v>
      </c>
      <c r="AF104" s="15"/>
      <c r="AG104" s="15">
        <f t="shared" si="22"/>
        <v>80595</v>
      </c>
      <c r="AH104" s="15"/>
      <c r="AI104" s="15">
        <v>2287931</v>
      </c>
      <c r="AJ104" s="15"/>
      <c r="AK104" s="15">
        <f t="shared" si="23"/>
        <v>2207336</v>
      </c>
    </row>
    <row r="105" spans="1:37" s="4" customFormat="1" ht="12">
      <c r="A105" s="10" t="s">
        <v>256</v>
      </c>
      <c r="B105" s="10"/>
      <c r="C105" s="10" t="s">
        <v>22</v>
      </c>
      <c r="D105" s="13"/>
      <c r="E105" s="15">
        <v>2157840</v>
      </c>
      <c r="F105" s="15"/>
      <c r="G105" s="15">
        <v>82702</v>
      </c>
      <c r="H105" s="15"/>
      <c r="I105" s="15">
        <v>0</v>
      </c>
      <c r="J105" s="15"/>
      <c r="K105" s="15">
        <v>0</v>
      </c>
      <c r="L105" s="15"/>
      <c r="M105" s="15">
        <f t="shared" si="20"/>
        <v>2075138</v>
      </c>
      <c r="N105" s="15"/>
      <c r="O105" s="15">
        <v>792646</v>
      </c>
      <c r="P105" s="15"/>
      <c r="Q105" s="15">
        <v>1177595</v>
      </c>
      <c r="R105" s="15"/>
      <c r="S105" s="15">
        <v>5363</v>
      </c>
      <c r="T105" s="15"/>
      <c r="U105" s="15">
        <v>1681</v>
      </c>
      <c r="V105" s="15"/>
      <c r="W105" s="15">
        <v>8053</v>
      </c>
      <c r="X105" s="15"/>
      <c r="Y105" s="15">
        <v>0</v>
      </c>
      <c r="Z105" s="15"/>
      <c r="AA105" s="15">
        <v>0</v>
      </c>
      <c r="AB105" s="15"/>
      <c r="AC105" s="15">
        <v>0</v>
      </c>
      <c r="AD105" s="15"/>
      <c r="AE105" s="15">
        <f t="shared" si="21"/>
        <v>1985338</v>
      </c>
      <c r="AF105" s="15"/>
      <c r="AG105" s="15">
        <f t="shared" si="22"/>
        <v>89800</v>
      </c>
      <c r="AH105" s="15"/>
      <c r="AI105" s="15">
        <v>836701</v>
      </c>
      <c r="AJ105" s="15"/>
      <c r="AK105" s="15">
        <f t="shared" si="23"/>
        <v>746901</v>
      </c>
    </row>
    <row r="106" spans="1:37" s="4" customFormat="1" ht="12" hidden="1">
      <c r="A106" s="4" t="s">
        <v>526</v>
      </c>
      <c r="C106" s="4" t="s">
        <v>527</v>
      </c>
      <c r="M106" s="15">
        <f t="shared" si="20"/>
        <v>0</v>
      </c>
      <c r="AC106" s="15"/>
      <c r="AE106" s="15">
        <f t="shared" si="21"/>
        <v>0</v>
      </c>
      <c r="AG106" s="15">
        <f t="shared" si="22"/>
        <v>0</v>
      </c>
      <c r="AK106" s="15">
        <f t="shared" si="23"/>
        <v>0</v>
      </c>
    </row>
    <row r="107" spans="1:37" s="4" customFormat="1" ht="12">
      <c r="A107" s="10" t="s">
        <v>418</v>
      </c>
      <c r="B107" s="10"/>
      <c r="C107" s="10" t="s">
        <v>52</v>
      </c>
      <c r="D107" s="13"/>
      <c r="E107" s="15">
        <v>705273</v>
      </c>
      <c r="F107" s="15"/>
      <c r="G107" s="15">
        <v>16156</v>
      </c>
      <c r="H107" s="15"/>
      <c r="I107" s="15">
        <v>21258</v>
      </c>
      <c r="J107" s="15"/>
      <c r="K107" s="15">
        <v>0</v>
      </c>
      <c r="L107" s="15"/>
      <c r="M107" s="15">
        <f t="shared" si="20"/>
        <v>667859</v>
      </c>
      <c r="N107" s="15"/>
      <c r="O107" s="15">
        <v>0</v>
      </c>
      <c r="P107" s="15"/>
      <c r="Q107" s="15">
        <v>570791</v>
      </c>
      <c r="R107" s="15"/>
      <c r="S107" s="15">
        <v>7860</v>
      </c>
      <c r="T107" s="15"/>
      <c r="U107" s="15">
        <v>17296</v>
      </c>
      <c r="V107" s="15"/>
      <c r="W107" s="15">
        <v>10441</v>
      </c>
      <c r="X107" s="15"/>
      <c r="Y107" s="15">
        <v>0</v>
      </c>
      <c r="Z107" s="15"/>
      <c r="AA107" s="15">
        <v>0</v>
      </c>
      <c r="AB107" s="15"/>
      <c r="AC107" s="15">
        <v>0</v>
      </c>
      <c r="AD107" s="15"/>
      <c r="AE107" s="15">
        <f t="shared" si="21"/>
        <v>606388</v>
      </c>
      <c r="AF107" s="15"/>
      <c r="AG107" s="15">
        <f t="shared" si="22"/>
        <v>61471</v>
      </c>
      <c r="AH107" s="15"/>
      <c r="AI107" s="15">
        <v>528561</v>
      </c>
      <c r="AJ107" s="15"/>
      <c r="AK107" s="15">
        <f t="shared" si="23"/>
        <v>467090</v>
      </c>
    </row>
    <row r="108" spans="1:37" s="4" customFormat="1" ht="12">
      <c r="A108" s="10" t="s">
        <v>579</v>
      </c>
      <c r="B108" s="10"/>
      <c r="C108" s="10" t="s">
        <v>315</v>
      </c>
      <c r="D108" s="13"/>
      <c r="E108" s="15">
        <v>35220967</v>
      </c>
      <c r="F108" s="15"/>
      <c r="G108" s="15">
        <v>950980</v>
      </c>
      <c r="H108" s="15"/>
      <c r="I108" s="15">
        <v>17426</v>
      </c>
      <c r="J108" s="15"/>
      <c r="K108" s="15">
        <v>0</v>
      </c>
      <c r="L108" s="15"/>
      <c r="M108" s="15">
        <f t="shared" si="20"/>
        <v>34252561</v>
      </c>
      <c r="N108" s="15"/>
      <c r="O108" s="15">
        <v>15444762</v>
      </c>
      <c r="P108" s="15"/>
      <c r="Q108" s="15">
        <v>16838400</v>
      </c>
      <c r="R108" s="15"/>
      <c r="S108" s="15">
        <v>30327</v>
      </c>
      <c r="T108" s="15"/>
      <c r="U108" s="15">
        <v>61653</v>
      </c>
      <c r="V108" s="15"/>
      <c r="W108" s="15">
        <v>237699</v>
      </c>
      <c r="X108" s="15"/>
      <c r="Y108" s="15">
        <v>0</v>
      </c>
      <c r="Z108" s="15"/>
      <c r="AA108" s="15">
        <v>0</v>
      </c>
      <c r="AB108" s="15"/>
      <c r="AC108" s="15">
        <v>0</v>
      </c>
      <c r="AD108" s="15"/>
      <c r="AE108" s="15">
        <f t="shared" si="21"/>
        <v>32612841</v>
      </c>
      <c r="AF108" s="15"/>
      <c r="AG108" s="15">
        <f t="shared" si="22"/>
        <v>1639720</v>
      </c>
      <c r="AH108" s="15"/>
      <c r="AI108" s="15">
        <v>95155295</v>
      </c>
      <c r="AJ108" s="15"/>
      <c r="AK108" s="15">
        <f t="shared" si="23"/>
        <v>93515575</v>
      </c>
    </row>
    <row r="109" spans="1:37" s="4" customFormat="1" ht="12" hidden="1">
      <c r="A109" s="10" t="s">
        <v>419</v>
      </c>
      <c r="B109" s="10"/>
      <c r="C109" s="10" t="s">
        <v>52</v>
      </c>
      <c r="D109" s="13"/>
      <c r="E109" s="15"/>
      <c r="F109" s="15"/>
      <c r="G109" s="15"/>
      <c r="H109" s="15"/>
      <c r="I109" s="15"/>
      <c r="J109" s="15"/>
      <c r="K109" s="15"/>
      <c r="L109" s="15"/>
      <c r="M109" s="15">
        <f t="shared" si="20"/>
        <v>0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>
        <f t="shared" si="21"/>
        <v>0</v>
      </c>
      <c r="AF109" s="15"/>
      <c r="AG109" s="15">
        <f t="shared" si="22"/>
        <v>0</v>
      </c>
      <c r="AH109" s="15"/>
      <c r="AI109" s="15"/>
      <c r="AJ109" s="15"/>
      <c r="AK109" s="15">
        <f t="shared" si="23"/>
        <v>0</v>
      </c>
    </row>
    <row r="110" spans="1:37" s="4" customFormat="1" ht="12">
      <c r="A110" s="10" t="s">
        <v>262</v>
      </c>
      <c r="B110" s="10"/>
      <c r="C110" s="10" t="s">
        <v>26</v>
      </c>
      <c r="D110" s="13"/>
      <c r="E110" s="15">
        <v>2232247</v>
      </c>
      <c r="F110" s="15"/>
      <c r="G110" s="15">
        <v>55783</v>
      </c>
      <c r="H110" s="15"/>
      <c r="I110" s="15">
        <v>90000</v>
      </c>
      <c r="J110" s="15"/>
      <c r="K110" s="15">
        <v>0</v>
      </c>
      <c r="L110" s="15"/>
      <c r="M110" s="15">
        <f t="shared" si="20"/>
        <v>2086464</v>
      </c>
      <c r="N110" s="15"/>
      <c r="O110" s="15">
        <f>752185+1363655</f>
        <v>2115840</v>
      </c>
      <c r="P110" s="15"/>
      <c r="Q110" s="15">
        <v>0</v>
      </c>
      <c r="R110" s="15"/>
      <c r="S110" s="15">
        <v>90036</v>
      </c>
      <c r="T110" s="15"/>
      <c r="U110" s="15">
        <v>5283</v>
      </c>
      <c r="V110" s="15"/>
      <c r="W110" s="15">
        <v>2185</v>
      </c>
      <c r="X110" s="15"/>
      <c r="Y110" s="15">
        <v>408</v>
      </c>
      <c r="Z110" s="15"/>
      <c r="AA110" s="15">
        <v>0</v>
      </c>
      <c r="AB110" s="15"/>
      <c r="AC110" s="15">
        <v>0</v>
      </c>
      <c r="AD110" s="15"/>
      <c r="AE110" s="15">
        <f t="shared" si="21"/>
        <v>2213752</v>
      </c>
      <c r="AF110" s="15"/>
      <c r="AG110" s="15">
        <f t="shared" si="22"/>
        <v>-127288</v>
      </c>
      <c r="AH110" s="15"/>
      <c r="AI110" s="15">
        <v>593601</v>
      </c>
      <c r="AJ110" s="15"/>
      <c r="AK110" s="15">
        <f t="shared" si="23"/>
        <v>720889</v>
      </c>
    </row>
    <row r="111" spans="1:37" s="4" customFormat="1" ht="12">
      <c r="A111" s="10" t="s">
        <v>316</v>
      </c>
      <c r="B111" s="10"/>
      <c r="C111" s="10" t="s">
        <v>22</v>
      </c>
      <c r="D111" s="13"/>
      <c r="E111" s="15">
        <v>2514621</v>
      </c>
      <c r="F111" s="15"/>
      <c r="G111" s="15">
        <v>61745</v>
      </c>
      <c r="H111" s="15"/>
      <c r="I111" s="15">
        <v>24092</v>
      </c>
      <c r="J111" s="15"/>
      <c r="K111" s="15">
        <v>7770</v>
      </c>
      <c r="L111" s="15"/>
      <c r="M111" s="15">
        <f t="shared" si="20"/>
        <v>2421014</v>
      </c>
      <c r="N111" s="15"/>
      <c r="O111" s="15">
        <v>1598498</v>
      </c>
      <c r="P111" s="15"/>
      <c r="Q111" s="15">
        <v>1451532</v>
      </c>
      <c r="R111" s="15"/>
      <c r="S111" s="15">
        <v>931</v>
      </c>
      <c r="T111" s="15"/>
      <c r="U111" s="15">
        <v>2505</v>
      </c>
      <c r="V111" s="15"/>
      <c r="W111" s="15">
        <v>6027</v>
      </c>
      <c r="X111" s="15"/>
      <c r="Y111" s="15">
        <v>0</v>
      </c>
      <c r="Z111" s="15"/>
      <c r="AA111" s="15">
        <v>-500000</v>
      </c>
      <c r="AB111" s="15"/>
      <c r="AC111" s="15">
        <v>0</v>
      </c>
      <c r="AD111" s="15"/>
      <c r="AE111" s="15">
        <f t="shared" si="21"/>
        <v>2559493</v>
      </c>
      <c r="AF111" s="15"/>
      <c r="AG111" s="15">
        <f t="shared" si="22"/>
        <v>-138479</v>
      </c>
      <c r="AH111" s="15"/>
      <c r="AI111" s="15">
        <v>380711</v>
      </c>
      <c r="AJ111" s="15"/>
      <c r="AK111" s="15">
        <f t="shared" si="23"/>
        <v>519190</v>
      </c>
    </row>
    <row r="112" spans="1:37" s="4" customFormat="1" ht="12">
      <c r="A112" s="10" t="s">
        <v>343</v>
      </c>
      <c r="B112" s="10"/>
      <c r="C112" s="10" t="s">
        <v>27</v>
      </c>
      <c r="D112" s="13"/>
      <c r="E112" s="15">
        <v>1780194</v>
      </c>
      <c r="F112" s="15"/>
      <c r="G112" s="15">
        <v>74423</v>
      </c>
      <c r="H112" s="15"/>
      <c r="I112" s="15">
        <v>8222</v>
      </c>
      <c r="J112" s="15"/>
      <c r="K112" s="15">
        <v>0</v>
      </c>
      <c r="L112" s="15"/>
      <c r="M112" s="15">
        <f t="shared" si="20"/>
        <v>1697549</v>
      </c>
      <c r="N112" s="15"/>
      <c r="O112" s="15">
        <v>0</v>
      </c>
      <c r="P112" s="15"/>
      <c r="Q112" s="15">
        <f>1916331+31002</f>
        <v>1947333</v>
      </c>
      <c r="R112" s="15"/>
      <c r="S112" s="15">
        <v>0</v>
      </c>
      <c r="T112" s="15"/>
      <c r="U112" s="15">
        <v>4408</v>
      </c>
      <c r="V112" s="15"/>
      <c r="W112" s="15">
        <v>3526</v>
      </c>
      <c r="X112" s="15"/>
      <c r="Y112" s="15">
        <v>35</v>
      </c>
      <c r="Z112" s="15"/>
      <c r="AA112" s="15">
        <v>0</v>
      </c>
      <c r="AB112" s="15"/>
      <c r="AC112" s="15">
        <v>0</v>
      </c>
      <c r="AD112" s="15"/>
      <c r="AE112" s="15">
        <f t="shared" si="21"/>
        <v>1955302</v>
      </c>
      <c r="AF112" s="15"/>
      <c r="AG112" s="15">
        <f t="shared" si="22"/>
        <v>-257753</v>
      </c>
      <c r="AH112" s="15"/>
      <c r="AI112" s="15">
        <v>1828198</v>
      </c>
      <c r="AJ112" s="15"/>
      <c r="AK112" s="15">
        <f t="shared" si="23"/>
        <v>2085951</v>
      </c>
    </row>
    <row r="113" spans="1:37" s="4" customFormat="1" ht="12">
      <c r="A113" s="4" t="s">
        <v>267</v>
      </c>
      <c r="C113" s="4" t="s">
        <v>223</v>
      </c>
      <c r="E113" s="4">
        <v>5816963</v>
      </c>
      <c r="G113" s="4">
        <v>156938</v>
      </c>
      <c r="I113" s="4">
        <v>6000</v>
      </c>
      <c r="K113" s="4">
        <v>0</v>
      </c>
      <c r="M113" s="15">
        <f t="shared" si="20"/>
        <v>5654025</v>
      </c>
      <c r="O113" s="4">
        <f>1810453+429121</f>
        <v>2239574</v>
      </c>
      <c r="Q113" s="4">
        <f>3172810</f>
        <v>3172810</v>
      </c>
      <c r="S113" s="4">
        <v>27852</v>
      </c>
      <c r="U113" s="4">
        <v>96527</v>
      </c>
      <c r="W113" s="4">
        <v>3026</v>
      </c>
      <c r="Y113" s="4">
        <v>0</v>
      </c>
      <c r="AA113" s="4">
        <v>0</v>
      </c>
      <c r="AC113" s="4">
        <v>0</v>
      </c>
      <c r="AE113" s="15">
        <f t="shared" si="21"/>
        <v>5539789</v>
      </c>
      <c r="AG113" s="15">
        <f t="shared" si="22"/>
        <v>114236</v>
      </c>
      <c r="AI113" s="4">
        <v>3153827</v>
      </c>
      <c r="AK113" s="15">
        <f t="shared" si="23"/>
        <v>3039591</v>
      </c>
    </row>
    <row r="114" spans="1:37" s="4" customFormat="1" ht="12">
      <c r="A114" s="13" t="s">
        <v>534</v>
      </c>
      <c r="C114" s="13" t="s">
        <v>64</v>
      </c>
      <c r="E114" s="13">
        <v>457483.07</v>
      </c>
      <c r="G114" s="13">
        <v>7990.39</v>
      </c>
      <c r="I114" s="13">
        <v>355</v>
      </c>
      <c r="K114" s="13">
        <v>0</v>
      </c>
      <c r="M114" s="15">
        <f t="shared" si="20"/>
        <v>449137.68</v>
      </c>
      <c r="O114" s="13">
        <v>0</v>
      </c>
      <c r="Q114" s="4">
        <v>391333.17</v>
      </c>
      <c r="S114" s="13">
        <v>0</v>
      </c>
      <c r="U114" s="13">
        <v>23403.71</v>
      </c>
      <c r="W114" s="13">
        <v>1059.67</v>
      </c>
      <c r="Y114" s="13">
        <v>0</v>
      </c>
      <c r="AA114" s="13">
        <v>0</v>
      </c>
      <c r="AC114" s="13">
        <v>0</v>
      </c>
      <c r="AE114" s="15">
        <f t="shared" si="21"/>
        <v>415796.55</v>
      </c>
      <c r="AG114" s="15">
        <f t="shared" si="22"/>
        <v>33341.130000000005</v>
      </c>
      <c r="AI114" s="13">
        <v>849863.85</v>
      </c>
      <c r="AK114" s="15">
        <f t="shared" si="23"/>
        <v>816522.72</v>
      </c>
    </row>
    <row r="115" spans="1:37" s="4" customFormat="1" ht="12">
      <c r="A115" s="4" t="s">
        <v>38</v>
      </c>
      <c r="C115" s="4" t="s">
        <v>15</v>
      </c>
      <c r="E115" s="4">
        <v>1329718.69</v>
      </c>
      <c r="G115" s="4">
        <v>26607.33</v>
      </c>
      <c r="I115" s="4">
        <v>0</v>
      </c>
      <c r="K115" s="4">
        <v>0</v>
      </c>
      <c r="M115" s="15">
        <f t="shared" si="20"/>
        <v>1303111.3599999999</v>
      </c>
      <c r="O115" s="4">
        <v>881619.03</v>
      </c>
      <c r="Q115" s="4">
        <v>735895.26</v>
      </c>
      <c r="S115" s="4">
        <v>0</v>
      </c>
      <c r="U115" s="4">
        <v>50393.05</v>
      </c>
      <c r="W115" s="4">
        <v>19741.900000000001</v>
      </c>
      <c r="Y115" s="4">
        <v>0</v>
      </c>
      <c r="AA115" s="4">
        <v>0</v>
      </c>
      <c r="AC115" s="4">
        <v>0</v>
      </c>
      <c r="AE115" s="15">
        <f t="shared" si="21"/>
        <v>1687649.24</v>
      </c>
      <c r="AG115" s="15">
        <f t="shared" si="22"/>
        <v>-384537.88000000012</v>
      </c>
      <c r="AI115" s="4">
        <v>2132305.71</v>
      </c>
      <c r="AK115" s="15">
        <f t="shared" si="23"/>
        <v>2516843.59</v>
      </c>
    </row>
    <row r="116" spans="1:37" s="4" customFormat="1" ht="12">
      <c r="A116" s="10" t="s">
        <v>273</v>
      </c>
      <c r="B116" s="10"/>
      <c r="C116" s="10" t="s">
        <v>15</v>
      </c>
      <c r="D116" s="13"/>
      <c r="E116" s="15">
        <v>4274218</v>
      </c>
      <c r="F116" s="15"/>
      <c r="G116" s="15">
        <v>105142</v>
      </c>
      <c r="H116" s="15"/>
      <c r="I116" s="15">
        <v>0</v>
      </c>
      <c r="J116" s="15"/>
      <c r="K116" s="15">
        <v>0</v>
      </c>
      <c r="L116" s="15"/>
      <c r="M116" s="15">
        <f t="shared" si="20"/>
        <v>4169076</v>
      </c>
      <c r="N116" s="15"/>
      <c r="O116" s="15">
        <v>1746801</v>
      </c>
      <c r="P116" s="15"/>
      <c r="Q116" s="15">
        <f>1819243+447310</f>
        <v>2266553</v>
      </c>
      <c r="R116" s="15"/>
      <c r="S116" s="15">
        <v>3217</v>
      </c>
      <c r="T116" s="15"/>
      <c r="U116" s="15">
        <v>16857</v>
      </c>
      <c r="V116" s="15"/>
      <c r="W116" s="15">
        <v>38160</v>
      </c>
      <c r="X116" s="15"/>
      <c r="Y116" s="15">
        <v>0</v>
      </c>
      <c r="Z116" s="15"/>
      <c r="AA116" s="15">
        <v>0</v>
      </c>
      <c r="AB116" s="15"/>
      <c r="AC116" s="15">
        <v>0</v>
      </c>
      <c r="AD116" s="15"/>
      <c r="AE116" s="15">
        <f t="shared" si="21"/>
        <v>4071588</v>
      </c>
      <c r="AF116" s="15"/>
      <c r="AG116" s="15">
        <f t="shared" si="22"/>
        <v>97488</v>
      </c>
      <c r="AH116" s="15"/>
      <c r="AI116" s="15">
        <v>2129979</v>
      </c>
      <c r="AJ116" s="15"/>
      <c r="AK116" s="15">
        <f t="shared" si="23"/>
        <v>2032491</v>
      </c>
    </row>
    <row r="117" spans="1:37" s="4" customFormat="1" ht="12" hidden="1">
      <c r="A117" s="4" t="s">
        <v>370</v>
      </c>
      <c r="C117" s="4" t="s">
        <v>68</v>
      </c>
      <c r="M117" s="15">
        <f t="shared" si="20"/>
        <v>0</v>
      </c>
      <c r="AE117" s="15">
        <f t="shared" si="21"/>
        <v>0</v>
      </c>
      <c r="AG117" s="15">
        <f t="shared" si="22"/>
        <v>0</v>
      </c>
      <c r="AK117" s="15">
        <f t="shared" si="23"/>
        <v>0</v>
      </c>
    </row>
    <row r="118" spans="1:37" s="4" customFormat="1" ht="12">
      <c r="A118" s="10" t="s">
        <v>580</v>
      </c>
      <c r="B118" s="10"/>
      <c r="C118" s="10" t="s">
        <v>91</v>
      </c>
      <c r="D118" s="13"/>
      <c r="E118" s="15">
        <v>8609846</v>
      </c>
      <c r="F118" s="15"/>
      <c r="G118" s="15">
        <v>1074701</v>
      </c>
      <c r="H118" s="15"/>
      <c r="I118" s="15">
        <v>0</v>
      </c>
      <c r="J118" s="15"/>
      <c r="K118" s="15">
        <v>0</v>
      </c>
      <c r="L118" s="15"/>
      <c r="M118" s="15">
        <f t="shared" si="20"/>
        <v>7535145</v>
      </c>
      <c r="N118" s="15"/>
      <c r="O118" s="15">
        <v>6005216</v>
      </c>
      <c r="P118" s="15"/>
      <c r="Q118" s="15">
        <v>2961045</v>
      </c>
      <c r="R118" s="15"/>
      <c r="S118" s="15">
        <v>5222</v>
      </c>
      <c r="T118" s="15"/>
      <c r="U118" s="15">
        <v>33384</v>
      </c>
      <c r="V118" s="15"/>
      <c r="W118" s="15">
        <v>18517</v>
      </c>
      <c r="X118" s="15"/>
      <c r="Y118" s="15">
        <v>0</v>
      </c>
      <c r="Z118" s="15"/>
      <c r="AA118" s="15">
        <v>0</v>
      </c>
      <c r="AB118" s="15"/>
      <c r="AC118" s="15">
        <v>0</v>
      </c>
      <c r="AD118" s="15"/>
      <c r="AE118" s="15">
        <f t="shared" si="21"/>
        <v>9023384</v>
      </c>
      <c r="AF118" s="15"/>
      <c r="AG118" s="15">
        <f t="shared" si="22"/>
        <v>-1488239</v>
      </c>
      <c r="AH118" s="15"/>
      <c r="AI118" s="15">
        <v>20406074</v>
      </c>
      <c r="AJ118" s="15"/>
      <c r="AK118" s="15">
        <f t="shared" si="23"/>
        <v>21894313</v>
      </c>
    </row>
    <row r="119" spans="1:37" s="4" customFormat="1" ht="12">
      <c r="A119" s="13" t="s">
        <v>277</v>
      </c>
      <c r="B119" s="13"/>
      <c r="C119" s="13" t="s">
        <v>54</v>
      </c>
      <c r="D119" s="13"/>
      <c r="E119" s="15">
        <v>1526315.54</v>
      </c>
      <c r="F119" s="15"/>
      <c r="G119" s="15">
        <v>35193.53</v>
      </c>
      <c r="H119" s="15"/>
      <c r="I119" s="15">
        <v>1150</v>
      </c>
      <c r="J119" s="15"/>
      <c r="K119" s="15">
        <v>50</v>
      </c>
      <c r="L119" s="15"/>
      <c r="M119" s="15">
        <f t="shared" si="20"/>
        <v>1489922.01</v>
      </c>
      <c r="N119" s="15"/>
      <c r="O119" s="15">
        <v>254041.28</v>
      </c>
      <c r="P119" s="15"/>
      <c r="Q119" s="15">
        <v>1234515.8700000001</v>
      </c>
      <c r="R119" s="15"/>
      <c r="S119" s="15">
        <v>0</v>
      </c>
      <c r="T119" s="15"/>
      <c r="U119" s="15">
        <v>7285.58</v>
      </c>
      <c r="V119" s="15"/>
      <c r="W119" s="15">
        <v>12279.11</v>
      </c>
      <c r="X119" s="15"/>
      <c r="Y119" s="15">
        <v>0</v>
      </c>
      <c r="Z119" s="15"/>
      <c r="AA119" s="15">
        <v>0</v>
      </c>
      <c r="AB119" s="15"/>
      <c r="AC119" s="15">
        <v>0</v>
      </c>
      <c r="AD119" s="15"/>
      <c r="AE119" s="15">
        <f t="shared" si="21"/>
        <v>1508121.8400000003</v>
      </c>
      <c r="AF119" s="15"/>
      <c r="AG119" s="15">
        <f t="shared" si="22"/>
        <v>-18199.830000000307</v>
      </c>
      <c r="AH119" s="15"/>
      <c r="AI119" s="15">
        <v>1360418.85</v>
      </c>
      <c r="AJ119" s="15"/>
      <c r="AK119" s="15">
        <f t="shared" si="23"/>
        <v>1378618.6800000004</v>
      </c>
    </row>
    <row r="120" spans="1:37" ht="12" customHeight="1">
      <c r="A120" s="3"/>
      <c r="B120" s="10"/>
      <c r="C120" s="3"/>
      <c r="D120" s="13"/>
      <c r="E120" s="14"/>
      <c r="F120" s="15"/>
      <c r="G120" s="14"/>
      <c r="H120" s="15"/>
      <c r="I120" s="14"/>
      <c r="J120" s="15"/>
      <c r="K120" s="14"/>
      <c r="L120" s="15"/>
      <c r="M120" s="15"/>
      <c r="N120" s="15"/>
      <c r="O120" s="14"/>
      <c r="P120" s="15"/>
      <c r="Q120" s="15"/>
      <c r="R120" s="15"/>
      <c r="S120" s="14"/>
      <c r="T120" s="15"/>
      <c r="U120" s="14"/>
      <c r="V120" s="15"/>
      <c r="W120" s="14"/>
      <c r="X120" s="15"/>
      <c r="Y120" s="14"/>
      <c r="Z120" s="15"/>
      <c r="AA120" s="14"/>
      <c r="AB120" s="15"/>
      <c r="AC120" s="14"/>
      <c r="AD120" s="15"/>
      <c r="AE120" s="15"/>
      <c r="AF120" s="15"/>
      <c r="AG120" s="15"/>
      <c r="AH120" s="15"/>
      <c r="AI120" s="14"/>
      <c r="AJ120" s="15"/>
      <c r="AK120" s="15"/>
    </row>
    <row r="121" spans="1:37" s="4" customFormat="1" ht="12">
      <c r="A121" s="13" t="s">
        <v>582</v>
      </c>
      <c r="B121" s="10"/>
      <c r="C121" s="13"/>
      <c r="D121" s="13"/>
      <c r="E121" s="14"/>
      <c r="F121" s="15"/>
      <c r="G121" s="14"/>
      <c r="H121" s="15"/>
      <c r="I121" s="14"/>
      <c r="J121" s="15"/>
      <c r="K121" s="14"/>
      <c r="L121" s="15"/>
      <c r="M121" s="15"/>
      <c r="N121" s="15"/>
      <c r="O121" s="14"/>
      <c r="P121" s="15"/>
      <c r="Q121" s="15"/>
      <c r="R121" s="15"/>
      <c r="S121" s="14"/>
      <c r="T121" s="15"/>
      <c r="U121" s="14"/>
      <c r="V121" s="15"/>
      <c r="W121" s="14"/>
      <c r="X121" s="15"/>
      <c r="Y121" s="14"/>
      <c r="Z121" s="15"/>
      <c r="AA121" s="14"/>
      <c r="AB121" s="15"/>
      <c r="AC121" s="14"/>
      <c r="AD121" s="15"/>
      <c r="AE121" s="15"/>
      <c r="AF121" s="15"/>
      <c r="AG121" s="15"/>
      <c r="AH121" s="15"/>
      <c r="AI121" s="14"/>
      <c r="AJ121" s="15"/>
      <c r="AK121" s="15"/>
    </row>
    <row r="122" spans="1:37" s="4" customFormat="1" ht="12">
      <c r="A122" s="3"/>
      <c r="B122" s="10"/>
      <c r="C122" s="3"/>
      <c r="D122" s="13"/>
      <c r="E122" s="14"/>
      <c r="F122" s="15"/>
      <c r="G122" s="14"/>
      <c r="H122" s="15"/>
      <c r="I122" s="14"/>
      <c r="J122" s="15"/>
      <c r="K122" s="14"/>
      <c r="L122" s="15"/>
      <c r="M122" s="15"/>
      <c r="N122" s="15"/>
      <c r="O122" s="14"/>
      <c r="P122" s="15"/>
      <c r="Q122" s="15"/>
      <c r="R122" s="15"/>
      <c r="S122" s="14"/>
      <c r="T122" s="15"/>
      <c r="U122" s="14"/>
      <c r="V122" s="15"/>
      <c r="W122" s="14"/>
      <c r="X122" s="15"/>
      <c r="Y122" s="14"/>
      <c r="Z122" s="15"/>
      <c r="AA122" s="14"/>
      <c r="AB122" s="15"/>
      <c r="AC122" s="14"/>
      <c r="AD122" s="15"/>
      <c r="AE122" s="15"/>
      <c r="AF122" s="15"/>
      <c r="AG122" s="15"/>
      <c r="AH122" s="15"/>
      <c r="AI122" s="14"/>
      <c r="AJ122" s="15"/>
      <c r="AK122" s="15"/>
    </row>
    <row r="123" spans="1:37" s="4" customFormat="1" ht="12">
      <c r="M123" s="15">
        <f t="shared" ref="M123" si="24">+E123-G123-I123-K223:K223</f>
        <v>0</v>
      </c>
      <c r="AE123" s="15">
        <f t="shared" ref="AE123" si="25">SUM(O123:AC123)</f>
        <v>0</v>
      </c>
      <c r="AG123" s="15">
        <f t="shared" ref="AG123" si="26">+M123-AE123</f>
        <v>0</v>
      </c>
      <c r="AK123" s="15">
        <f t="shared" ref="AK123" si="27">+AI123-AG123</f>
        <v>0</v>
      </c>
    </row>
    <row r="124" spans="1:37" s="46" customFormat="1"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15"/>
      <c r="AF124" s="47"/>
      <c r="AG124" s="47"/>
      <c r="AH124" s="47"/>
      <c r="AI124" s="47"/>
      <c r="AJ124" s="47"/>
      <c r="AK124" s="47"/>
    </row>
  </sheetData>
  <sortState ref="A14:AK103">
    <sortCondition ref="A14:A103"/>
  </sortState>
  <mergeCells count="6">
    <mergeCell ref="A92:E92"/>
    <mergeCell ref="G98:K98"/>
    <mergeCell ref="O98:W98"/>
    <mergeCell ref="A1:E1"/>
    <mergeCell ref="G7:K7"/>
    <mergeCell ref="O7:W7"/>
  </mergeCells>
  <phoneticPr fontId="2" type="noConversion"/>
  <printOptions horizontalCentered="1"/>
  <pageMargins left="0.75" right="0.75" top="0.5" bottom="0.5" header="0" footer="0.3"/>
  <pageSetup scale="74" firstPageNumber="4" fitToWidth="0" fitToHeight="0" pageOrder="overThenDown" orientation="portrait" useFirstPageNumber="1" r:id="rId1"/>
  <headerFooter scaleWithDoc="0" alignWithMargins="0">
    <oddFooter>&amp;C&amp;"Times New Roman,Regular"&amp;11&amp;P</oddFooter>
  </headerFooter>
  <rowBreaks count="1" manualBreakCount="1">
    <brk id="91" max="36" man="1"/>
  </rowBreaks>
  <colBreaks count="1" manualBreakCount="1">
    <brk id="16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314"/>
  <sheetViews>
    <sheetView view="pageBreakPreview" topLeftCell="B1" zoomScale="90" zoomScaleNormal="100" zoomScaleSheetLayoutView="90" workbookViewId="0">
      <pane xSplit="1" ySplit="18" topLeftCell="C19" activePane="bottomRight" state="frozen"/>
      <selection activeCell="A122" sqref="A122"/>
      <selection pane="topRight" activeCell="A122" sqref="A122"/>
      <selection pane="bottomLeft" activeCell="A122" sqref="A122"/>
      <selection pane="bottomRight" activeCell="C19" sqref="C19"/>
    </sheetView>
  </sheetViews>
  <sheetFormatPr defaultColWidth="9.140625" defaultRowHeight="12"/>
  <cols>
    <col min="1" max="1" width="11.85546875" style="3" hidden="1" customWidth="1"/>
    <col min="2" max="2" width="35.28515625" style="3" customWidth="1"/>
    <col min="3" max="3" width="1.28515625" style="3" customWidth="1"/>
    <col min="4" max="4" width="10.28515625" style="3" customWidth="1"/>
    <col min="5" max="5" width="1.28515625" style="3" customWidth="1"/>
    <col min="6" max="6" width="12.7109375" style="3" customWidth="1"/>
    <col min="7" max="7" width="1.28515625" style="3" customWidth="1"/>
    <col min="8" max="8" width="12.7109375" style="3" customWidth="1"/>
    <col min="9" max="9" width="1.28515625" style="3" customWidth="1"/>
    <col min="10" max="10" width="11.42578125" style="3" customWidth="1"/>
    <col min="11" max="11" width="1.28515625" style="3" customWidth="1"/>
    <col min="12" max="12" width="11.7109375" style="3" customWidth="1"/>
    <col min="13" max="13" width="1.28515625" style="3" customWidth="1"/>
    <col min="14" max="14" width="10.140625" style="3" customWidth="1"/>
    <col min="15" max="15" width="1.28515625" style="3" customWidth="1"/>
    <col min="16" max="16" width="10" style="3" customWidth="1"/>
    <col min="17" max="17" width="1.28515625" style="3" customWidth="1"/>
    <col min="18" max="18" width="11.1406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140625" style="3" customWidth="1"/>
    <col min="23" max="23" width="1.28515625" style="3" customWidth="1"/>
    <col min="24" max="24" width="9.85546875" style="3" customWidth="1"/>
    <col min="25" max="25" width="1.28515625" style="3" customWidth="1"/>
    <col min="26" max="26" width="9.85546875" style="3" customWidth="1"/>
    <col min="27" max="27" width="1.28515625" style="3" customWidth="1"/>
    <col min="28" max="28" width="10" style="3" customWidth="1"/>
    <col min="29" max="29" width="1.28515625" style="3" customWidth="1"/>
    <col min="30" max="30" width="9.85546875" style="3" customWidth="1"/>
    <col min="31" max="31" width="1.28515625" style="3" customWidth="1"/>
    <col min="32" max="32" width="9.85546875" style="3" customWidth="1"/>
    <col min="33" max="33" width="1.28515625" style="3" customWidth="1"/>
    <col min="34" max="34" width="10.5703125" style="3" customWidth="1"/>
    <col min="35" max="16384" width="9.140625" style="3"/>
  </cols>
  <sheetData>
    <row r="1" spans="1:65">
      <c r="B1" s="3" t="s">
        <v>491</v>
      </c>
    </row>
    <row r="2" spans="1:65">
      <c r="B2" s="3" t="s">
        <v>565</v>
      </c>
    </row>
    <row r="3" spans="1:65" hidden="1">
      <c r="B3" s="24" t="s">
        <v>7</v>
      </c>
    </row>
    <row r="4" spans="1:65" s="19" customFormat="1">
      <c r="H4" s="19" t="s">
        <v>279</v>
      </c>
    </row>
    <row r="5" spans="1:65" s="19" customFormat="1">
      <c r="F5" s="19" t="s">
        <v>31</v>
      </c>
      <c r="H5" s="19" t="s">
        <v>280</v>
      </c>
      <c r="P5" s="19" t="s">
        <v>29</v>
      </c>
      <c r="R5" s="19" t="s">
        <v>286</v>
      </c>
      <c r="X5" s="19" t="s">
        <v>291</v>
      </c>
      <c r="AD5" s="19" t="s">
        <v>0</v>
      </c>
    </row>
    <row r="6" spans="1:65" s="19" customFormat="1" ht="12" customHeight="1">
      <c r="F6" s="19" t="s">
        <v>0</v>
      </c>
      <c r="H6" s="19" t="s">
        <v>281</v>
      </c>
      <c r="J6" s="19" t="s">
        <v>345</v>
      </c>
      <c r="L6" s="19" t="s">
        <v>283</v>
      </c>
      <c r="P6" s="19" t="s">
        <v>285</v>
      </c>
      <c r="R6" s="19" t="s">
        <v>287</v>
      </c>
      <c r="T6" s="19" t="s">
        <v>289</v>
      </c>
      <c r="X6" s="19" t="s">
        <v>292</v>
      </c>
      <c r="AD6" s="19" t="s">
        <v>293</v>
      </c>
      <c r="AF6" s="19" t="s">
        <v>509</v>
      </c>
    </row>
    <row r="7" spans="1:65" s="19" customFormat="1" ht="12" customHeight="1">
      <c r="A7" s="19" t="s">
        <v>525</v>
      </c>
      <c r="B7" s="20" t="s">
        <v>5</v>
      </c>
      <c r="D7" s="20" t="s">
        <v>6</v>
      </c>
      <c r="F7" s="20" t="s">
        <v>278</v>
      </c>
      <c r="H7" s="20" t="s">
        <v>282</v>
      </c>
      <c r="J7" s="20" t="s">
        <v>346</v>
      </c>
      <c r="L7" s="20" t="s">
        <v>284</v>
      </c>
      <c r="N7" s="20" t="s">
        <v>505</v>
      </c>
      <c r="P7" s="20" t="s">
        <v>507</v>
      </c>
      <c r="R7" s="20" t="s">
        <v>288</v>
      </c>
      <c r="T7" s="20" t="s">
        <v>290</v>
      </c>
      <c r="V7" s="20" t="s">
        <v>1</v>
      </c>
      <c r="X7" s="20" t="s">
        <v>32</v>
      </c>
      <c r="Z7" s="20" t="s">
        <v>479</v>
      </c>
      <c r="AB7" s="20" t="s">
        <v>480</v>
      </c>
      <c r="AD7" s="20" t="s">
        <v>294</v>
      </c>
      <c r="AF7" s="20" t="s">
        <v>395</v>
      </c>
      <c r="AH7" s="29" t="s">
        <v>28</v>
      </c>
    </row>
    <row r="8" spans="1:65" s="4" customFormat="1" hidden="1">
      <c r="A8" s="4">
        <v>2</v>
      </c>
      <c r="B8" s="4" t="s">
        <v>406</v>
      </c>
      <c r="D8" s="4" t="s">
        <v>96</v>
      </c>
      <c r="F8" s="18"/>
      <c r="H8" s="18"/>
      <c r="J8" s="18"/>
      <c r="L8" s="18"/>
      <c r="N8" s="18"/>
      <c r="P8" s="18"/>
      <c r="R8" s="18"/>
      <c r="T8" s="18"/>
      <c r="V8" s="18"/>
      <c r="X8" s="18"/>
      <c r="Z8" s="18"/>
      <c r="AB8" s="18"/>
      <c r="AD8" s="18"/>
      <c r="AF8" s="18"/>
      <c r="AH8" s="4">
        <f t="shared" ref="AH8:AH18" si="0">SUM(F8:AD8)</f>
        <v>0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</row>
    <row r="9" spans="1:65" s="4" customFormat="1" hidden="1">
      <c r="A9" s="4">
        <v>75</v>
      </c>
      <c r="B9" s="4" t="s">
        <v>407</v>
      </c>
      <c r="D9" s="4" t="s">
        <v>91</v>
      </c>
      <c r="AH9" s="4">
        <f t="shared" si="0"/>
        <v>0</v>
      </c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</row>
    <row r="10" spans="1:65" s="4" customFormat="1" hidden="1">
      <c r="A10" s="4">
        <v>80</v>
      </c>
      <c r="B10" s="4" t="s">
        <v>264</v>
      </c>
      <c r="D10" s="4" t="s">
        <v>91</v>
      </c>
      <c r="AH10" s="4">
        <f t="shared" si="0"/>
        <v>0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</row>
    <row r="11" spans="1:65" s="5" customFormat="1" hidden="1">
      <c r="A11" s="4">
        <v>117</v>
      </c>
      <c r="B11" s="4" t="s">
        <v>308</v>
      </c>
      <c r="C11" s="4"/>
      <c r="D11" s="4" t="s">
        <v>168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>
        <f t="shared" si="0"/>
        <v>0</v>
      </c>
    </row>
    <row r="12" spans="1:65" s="4" customFormat="1" hidden="1">
      <c r="A12" s="4">
        <v>135</v>
      </c>
      <c r="B12" s="4" t="s">
        <v>413</v>
      </c>
      <c r="D12" s="4" t="s">
        <v>40</v>
      </c>
      <c r="AH12" s="4">
        <f t="shared" si="0"/>
        <v>0</v>
      </c>
    </row>
    <row r="13" spans="1:65" s="4" customFormat="1" hidden="1">
      <c r="A13" s="4">
        <v>152</v>
      </c>
      <c r="B13" s="4" t="s">
        <v>212</v>
      </c>
      <c r="D13" s="4" t="s">
        <v>213</v>
      </c>
      <c r="AH13" s="4">
        <f t="shared" si="0"/>
        <v>0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65" s="17" customFormat="1" hidden="1">
      <c r="A14" s="4">
        <v>180</v>
      </c>
      <c r="B14" s="4" t="s">
        <v>251</v>
      </c>
      <c r="C14" s="4"/>
      <c r="D14" s="4" t="s">
        <v>105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65" s="4" customFormat="1" hidden="1">
      <c r="A15" s="4">
        <v>185</v>
      </c>
      <c r="B15" s="4" t="s">
        <v>228</v>
      </c>
      <c r="D15" s="4" t="s">
        <v>227</v>
      </c>
      <c r="AH15" s="4">
        <f t="shared" si="0"/>
        <v>0</v>
      </c>
    </row>
    <row r="16" spans="1:65" s="17" customFormat="1" hidden="1">
      <c r="A16" s="4">
        <v>189</v>
      </c>
      <c r="B16" s="4" t="s">
        <v>420</v>
      </c>
      <c r="C16" s="4"/>
      <c r="D16" s="4" t="s">
        <v>234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>
        <f t="shared" si="0"/>
        <v>0</v>
      </c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</row>
    <row r="17" spans="1:65" s="4" customFormat="1" hidden="1">
      <c r="A17" s="4">
        <v>233</v>
      </c>
      <c r="B17" s="4" t="s">
        <v>34</v>
      </c>
      <c r="D17" s="4" t="s">
        <v>26</v>
      </c>
      <c r="AH17" s="4">
        <f t="shared" si="0"/>
        <v>0</v>
      </c>
    </row>
    <row r="18" spans="1:65" s="4" customFormat="1" hidden="1">
      <c r="A18" s="4">
        <v>234</v>
      </c>
      <c r="B18" s="4" t="s">
        <v>199</v>
      </c>
      <c r="D18" s="4" t="s">
        <v>26</v>
      </c>
      <c r="AH18" s="4">
        <f t="shared" si="0"/>
        <v>0</v>
      </c>
    </row>
    <row r="19" spans="1:65" s="4" customFormat="1">
      <c r="A19" s="4">
        <v>251</v>
      </c>
      <c r="B19" s="21" t="s">
        <v>72</v>
      </c>
      <c r="C19" s="21"/>
      <c r="D19" s="21" t="s">
        <v>524</v>
      </c>
      <c r="E19" s="21"/>
      <c r="F19" s="2">
        <v>0</v>
      </c>
      <c r="G19" s="2"/>
      <c r="H19" s="2">
        <v>236651.73</v>
      </c>
      <c r="I19" s="2"/>
      <c r="J19" s="2">
        <v>0</v>
      </c>
      <c r="K19" s="2"/>
      <c r="L19" s="2">
        <v>6601.14</v>
      </c>
      <c r="M19" s="2"/>
      <c r="N19" s="2">
        <v>0</v>
      </c>
      <c r="O19" s="2"/>
      <c r="P19" s="2">
        <v>0</v>
      </c>
      <c r="Q19" s="2"/>
      <c r="R19" s="2">
        <v>3275.86</v>
      </c>
      <c r="S19" s="2"/>
      <c r="T19" s="2">
        <v>1345.92</v>
      </c>
      <c r="U19" s="2"/>
      <c r="V19" s="2">
        <v>42.4</v>
      </c>
      <c r="W19" s="2"/>
      <c r="X19" s="2">
        <v>1905</v>
      </c>
      <c r="Y19" s="2"/>
      <c r="Z19" s="2">
        <v>0</v>
      </c>
      <c r="AA19" s="2"/>
      <c r="AB19" s="2">
        <v>0</v>
      </c>
      <c r="AC19" s="2"/>
      <c r="AD19" s="2">
        <v>0</v>
      </c>
      <c r="AE19" s="2"/>
      <c r="AF19" s="2">
        <v>0</v>
      </c>
      <c r="AG19" s="21"/>
      <c r="AH19" s="5">
        <f>SUM(F19:AF19)</f>
        <v>249822.05000000002</v>
      </c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</row>
    <row r="20" spans="1:65" s="4" customFormat="1">
      <c r="A20" s="4">
        <v>195</v>
      </c>
      <c r="B20" s="18" t="s">
        <v>73</v>
      </c>
      <c r="C20" s="18"/>
      <c r="D20" s="18" t="s">
        <v>39</v>
      </c>
      <c r="E20" s="18"/>
      <c r="F20" s="1">
        <v>0</v>
      </c>
      <c r="G20" s="1"/>
      <c r="H20" s="1">
        <v>806665.16</v>
      </c>
      <c r="I20" s="1"/>
      <c r="J20" s="1">
        <v>0</v>
      </c>
      <c r="K20" s="1"/>
      <c r="L20" s="1">
        <v>33359.269999999997</v>
      </c>
      <c r="M20" s="1"/>
      <c r="N20" s="1">
        <v>0</v>
      </c>
      <c r="O20" s="1"/>
      <c r="P20" s="1">
        <v>0</v>
      </c>
      <c r="Q20" s="1"/>
      <c r="R20" s="1">
        <v>388.58</v>
      </c>
      <c r="S20" s="1"/>
      <c r="T20" s="1">
        <v>32168.65</v>
      </c>
      <c r="U20" s="1"/>
      <c r="V20" s="1">
        <v>440.64</v>
      </c>
      <c r="W20" s="1"/>
      <c r="X20" s="1">
        <v>0</v>
      </c>
      <c r="Y20" s="1"/>
      <c r="Z20" s="1">
        <v>0</v>
      </c>
      <c r="AA20" s="1"/>
      <c r="AB20" s="1">
        <v>0</v>
      </c>
      <c r="AC20" s="1"/>
      <c r="AD20" s="1">
        <v>0</v>
      </c>
      <c r="AE20" s="1"/>
      <c r="AF20" s="1">
        <v>0</v>
      </c>
      <c r="AG20" s="18"/>
      <c r="AH20" s="4">
        <f>SUM(F20:AF20)</f>
        <v>873022.3</v>
      </c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</row>
    <row r="21" spans="1:65" s="4" customFormat="1">
      <c r="A21" s="4">
        <v>118</v>
      </c>
      <c r="B21" s="25" t="s">
        <v>405</v>
      </c>
      <c r="C21" s="25"/>
      <c r="D21" s="25" t="s">
        <v>22</v>
      </c>
      <c r="E21" s="25"/>
      <c r="F21" s="4">
        <v>9188484</v>
      </c>
      <c r="G21" s="13"/>
      <c r="H21" s="4">
        <v>0</v>
      </c>
      <c r="I21" s="13"/>
      <c r="J21" s="4">
        <v>13964094</v>
      </c>
      <c r="K21" s="13"/>
      <c r="L21" s="4">
        <v>603379</v>
      </c>
      <c r="M21" s="13"/>
      <c r="N21" s="4">
        <v>0</v>
      </c>
      <c r="O21" s="13"/>
      <c r="P21" s="4">
        <v>0</v>
      </c>
      <c r="Q21" s="13"/>
      <c r="R21" s="4">
        <v>11911</v>
      </c>
      <c r="S21" s="13"/>
      <c r="T21" s="4">
        <v>77701</v>
      </c>
      <c r="U21" s="13"/>
      <c r="V21" s="4">
        <v>274861</v>
      </c>
      <c r="W21" s="13"/>
      <c r="X21" s="4">
        <v>0</v>
      </c>
      <c r="Y21" s="13"/>
      <c r="Z21" s="4">
        <v>0</v>
      </c>
      <c r="AA21" s="13"/>
      <c r="AB21" s="4">
        <v>0</v>
      </c>
      <c r="AC21" s="13"/>
      <c r="AD21" s="4">
        <v>0</v>
      </c>
      <c r="AE21" s="13"/>
      <c r="AF21" s="4">
        <v>0</v>
      </c>
      <c r="AG21" s="13"/>
      <c r="AH21" s="4">
        <f>SUM(E21:AD21)</f>
        <v>24120430</v>
      </c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</row>
    <row r="22" spans="1:65" s="4" customFormat="1">
      <c r="A22" s="4">
        <v>98</v>
      </c>
      <c r="B22" s="4" t="s">
        <v>70</v>
      </c>
      <c r="D22" s="18" t="s">
        <v>40</v>
      </c>
      <c r="F22" s="1">
        <v>0</v>
      </c>
      <c r="G22" s="1"/>
      <c r="H22" s="1">
        <v>253779.92</v>
      </c>
      <c r="I22" s="1"/>
      <c r="J22" s="1">
        <v>2699</v>
      </c>
      <c r="K22" s="1"/>
      <c r="L22" s="1">
        <v>6023.18</v>
      </c>
      <c r="M22" s="1"/>
      <c r="N22" s="1">
        <v>0</v>
      </c>
      <c r="O22" s="1"/>
      <c r="P22" s="1">
        <v>0</v>
      </c>
      <c r="Q22" s="1"/>
      <c r="R22" s="1">
        <v>985</v>
      </c>
      <c r="S22" s="1"/>
      <c r="T22" s="1">
        <v>12722.51</v>
      </c>
      <c r="U22" s="1"/>
      <c r="V22" s="1">
        <v>1153</v>
      </c>
      <c r="W22" s="1"/>
      <c r="X22" s="1">
        <v>938.01</v>
      </c>
      <c r="Y22" s="1"/>
      <c r="Z22" s="1">
        <v>0</v>
      </c>
      <c r="AA22" s="1"/>
      <c r="AB22" s="1">
        <v>0</v>
      </c>
      <c r="AC22" s="1"/>
      <c r="AD22" s="1">
        <v>0</v>
      </c>
      <c r="AE22" s="1"/>
      <c r="AF22" s="1">
        <v>0</v>
      </c>
      <c r="AH22" s="4">
        <f>SUM(F22:AF22)</f>
        <v>278300.62000000005</v>
      </c>
    </row>
    <row r="23" spans="1:65" s="4" customFormat="1">
      <c r="A23" s="4">
        <v>138</v>
      </c>
      <c r="B23" s="18" t="s">
        <v>74</v>
      </c>
      <c r="C23" s="18"/>
      <c r="D23" s="18" t="s">
        <v>60</v>
      </c>
      <c r="E23" s="18"/>
      <c r="F23" s="1">
        <v>0</v>
      </c>
      <c r="G23" s="1"/>
      <c r="H23" s="1">
        <v>62383.3</v>
      </c>
      <c r="I23" s="1"/>
      <c r="J23" s="1">
        <v>750</v>
      </c>
      <c r="K23" s="1"/>
      <c r="L23" s="1">
        <v>1517.98</v>
      </c>
      <c r="M23" s="1"/>
      <c r="N23" s="1">
        <v>0</v>
      </c>
      <c r="O23" s="1"/>
      <c r="P23" s="1">
        <v>0</v>
      </c>
      <c r="Q23" s="1"/>
      <c r="R23" s="1">
        <v>530</v>
      </c>
      <c r="S23" s="1"/>
      <c r="T23" s="1">
        <v>180.89</v>
      </c>
      <c r="U23" s="1"/>
      <c r="V23" s="1">
        <v>499.85</v>
      </c>
      <c r="W23" s="1"/>
      <c r="X23" s="1">
        <v>0</v>
      </c>
      <c r="Y23" s="1"/>
      <c r="Z23" s="1">
        <v>0</v>
      </c>
      <c r="AA23" s="1"/>
      <c r="AB23" s="1">
        <v>0</v>
      </c>
      <c r="AC23" s="1"/>
      <c r="AD23" s="1">
        <v>0</v>
      </c>
      <c r="AE23" s="1"/>
      <c r="AF23" s="1">
        <v>0</v>
      </c>
      <c r="AG23" s="18"/>
      <c r="AH23" s="4">
        <f>SUM(F23:AF23)</f>
        <v>65862.02</v>
      </c>
    </row>
    <row r="24" spans="1:65">
      <c r="A24" s="4">
        <v>137</v>
      </c>
      <c r="B24" s="18" t="s">
        <v>421</v>
      </c>
      <c r="C24" s="18"/>
      <c r="D24" s="18" t="s">
        <v>56</v>
      </c>
      <c r="E24" s="18"/>
      <c r="F24" s="1">
        <v>269234.78999999998</v>
      </c>
      <c r="G24" s="1"/>
      <c r="H24" s="1">
        <v>741010.78</v>
      </c>
      <c r="I24" s="1"/>
      <c r="J24" s="1">
        <v>71093.350000000006</v>
      </c>
      <c r="K24" s="1"/>
      <c r="L24" s="1">
        <v>32082.12</v>
      </c>
      <c r="M24" s="1"/>
      <c r="N24" s="1">
        <v>0</v>
      </c>
      <c r="O24" s="1"/>
      <c r="P24" s="1">
        <v>0</v>
      </c>
      <c r="Q24" s="1"/>
      <c r="R24" s="1">
        <v>492</v>
      </c>
      <c r="S24" s="1"/>
      <c r="T24" s="1">
        <v>1409.12</v>
      </c>
      <c r="U24" s="1"/>
      <c r="V24" s="1">
        <v>6019.86</v>
      </c>
      <c r="W24" s="1"/>
      <c r="X24" s="1">
        <v>0</v>
      </c>
      <c r="Y24" s="1"/>
      <c r="Z24" s="1">
        <v>0</v>
      </c>
      <c r="AA24" s="1"/>
      <c r="AB24" s="1">
        <v>0</v>
      </c>
      <c r="AC24" s="1"/>
      <c r="AD24" s="1">
        <v>0</v>
      </c>
      <c r="AE24" s="1"/>
      <c r="AF24" s="1">
        <v>0</v>
      </c>
      <c r="AG24" s="18"/>
      <c r="AH24" s="4">
        <f>SUM(F24:AF24)</f>
        <v>1121342.0200000005</v>
      </c>
    </row>
    <row r="25" spans="1:65" s="4" customFormat="1">
      <c r="A25" s="4">
        <v>96</v>
      </c>
      <c r="B25" s="4" t="s">
        <v>76</v>
      </c>
      <c r="D25" s="4" t="s">
        <v>77</v>
      </c>
      <c r="F25" s="18">
        <v>0</v>
      </c>
      <c r="H25" s="4">
        <v>1440522</v>
      </c>
      <c r="J25" s="18">
        <v>34337</v>
      </c>
      <c r="L25" s="4">
        <v>0</v>
      </c>
      <c r="N25" s="18">
        <v>0</v>
      </c>
      <c r="P25" s="18">
        <v>0</v>
      </c>
      <c r="R25" s="4">
        <v>25879</v>
      </c>
      <c r="T25" s="4">
        <v>17590</v>
      </c>
      <c r="V25" s="4">
        <v>33437</v>
      </c>
      <c r="X25" s="18">
        <v>0</v>
      </c>
      <c r="Z25" s="4">
        <v>0</v>
      </c>
      <c r="AB25" s="18">
        <v>0</v>
      </c>
      <c r="AD25" s="18">
        <v>0</v>
      </c>
      <c r="AF25" s="18">
        <v>0</v>
      </c>
      <c r="AH25" s="4">
        <f>SUM(F25:AD25)</f>
        <v>1551765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</row>
    <row r="26" spans="1:65" s="4" customFormat="1">
      <c r="A26" s="4">
        <v>97</v>
      </c>
      <c r="B26" s="4" t="s">
        <v>78</v>
      </c>
      <c r="D26" s="4" t="s">
        <v>42</v>
      </c>
      <c r="F26" s="1">
        <v>0</v>
      </c>
      <c r="G26" s="1"/>
      <c r="H26" s="1">
        <v>220814.57</v>
      </c>
      <c r="I26" s="1"/>
      <c r="J26" s="1">
        <v>0</v>
      </c>
      <c r="K26" s="1"/>
      <c r="L26" s="1">
        <v>11015.39</v>
      </c>
      <c r="M26" s="1"/>
      <c r="N26" s="1">
        <v>0</v>
      </c>
      <c r="O26" s="1"/>
      <c r="P26" s="1">
        <v>1618.56</v>
      </c>
      <c r="Q26" s="1"/>
      <c r="R26" s="1">
        <v>24879.99</v>
      </c>
      <c r="S26" s="1"/>
      <c r="T26" s="1">
        <v>206.68</v>
      </c>
      <c r="U26" s="1"/>
      <c r="V26" s="1">
        <v>918.04</v>
      </c>
      <c r="W26" s="1"/>
      <c r="X26" s="1">
        <v>0</v>
      </c>
      <c r="Y26" s="1"/>
      <c r="Z26" s="1">
        <v>0</v>
      </c>
      <c r="AA26" s="1"/>
      <c r="AB26" s="1">
        <v>0</v>
      </c>
      <c r="AC26" s="1"/>
      <c r="AD26" s="1">
        <v>0</v>
      </c>
      <c r="AE26" s="1"/>
      <c r="AF26" s="1">
        <v>0</v>
      </c>
      <c r="AH26" s="4">
        <f>SUM(F26:AD26)</f>
        <v>259453.23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</row>
    <row r="27" spans="1:65" s="4" customFormat="1">
      <c r="A27" s="4">
        <v>159</v>
      </c>
      <c r="B27" s="18" t="s">
        <v>79</v>
      </c>
      <c r="C27" s="18"/>
      <c r="D27" s="18" t="s">
        <v>80</v>
      </c>
      <c r="E27" s="18"/>
      <c r="F27" s="1">
        <v>0</v>
      </c>
      <c r="G27" s="1"/>
      <c r="H27" s="1">
        <v>246204.84</v>
      </c>
      <c r="I27" s="1"/>
      <c r="J27" s="1">
        <v>0</v>
      </c>
      <c r="K27" s="1"/>
      <c r="L27" s="1">
        <v>7558.68</v>
      </c>
      <c r="M27" s="1"/>
      <c r="N27" s="1">
        <v>0</v>
      </c>
      <c r="O27" s="1"/>
      <c r="P27" s="1">
        <v>0</v>
      </c>
      <c r="Q27" s="1"/>
      <c r="R27" s="1">
        <v>13051.49</v>
      </c>
      <c r="S27" s="1"/>
      <c r="T27" s="1">
        <v>4315.09</v>
      </c>
      <c r="U27" s="1"/>
      <c r="V27" s="1">
        <v>418.47</v>
      </c>
      <c r="W27" s="1"/>
      <c r="X27" s="1">
        <v>0</v>
      </c>
      <c r="Y27" s="1"/>
      <c r="Z27" s="1">
        <v>0</v>
      </c>
      <c r="AA27" s="1"/>
      <c r="AB27" s="1">
        <v>0</v>
      </c>
      <c r="AC27" s="1"/>
      <c r="AD27" s="1">
        <v>0</v>
      </c>
      <c r="AE27" s="1"/>
      <c r="AF27" s="1">
        <v>0</v>
      </c>
      <c r="AG27" s="18"/>
      <c r="AH27" s="4">
        <f>SUM(F27:AF27)</f>
        <v>271548.57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</row>
    <row r="28" spans="1:65" s="4" customFormat="1">
      <c r="A28" s="4">
        <v>186</v>
      </c>
      <c r="B28" s="4" t="s">
        <v>295</v>
      </c>
      <c r="D28" s="18" t="s">
        <v>41</v>
      </c>
      <c r="F28" s="1">
        <v>77516.149999999994</v>
      </c>
      <c r="G28" s="1"/>
      <c r="H28" s="1">
        <v>222276.34</v>
      </c>
      <c r="I28" s="1"/>
      <c r="J28" s="1">
        <v>31920.37</v>
      </c>
      <c r="K28" s="1"/>
      <c r="L28" s="1">
        <v>12687.24</v>
      </c>
      <c r="M28" s="1"/>
      <c r="N28" s="1">
        <v>0</v>
      </c>
      <c r="O28" s="1"/>
      <c r="P28" s="1">
        <v>0</v>
      </c>
      <c r="Q28" s="1"/>
      <c r="R28" s="1">
        <v>2860.79</v>
      </c>
      <c r="S28" s="1"/>
      <c r="T28" s="1">
        <v>2628.35</v>
      </c>
      <c r="U28" s="1"/>
      <c r="V28" s="1">
        <v>4943.53</v>
      </c>
      <c r="W28" s="1"/>
      <c r="X28" s="1">
        <v>0</v>
      </c>
      <c r="Y28" s="1"/>
      <c r="Z28" s="1">
        <v>0</v>
      </c>
      <c r="AA28" s="1"/>
      <c r="AB28" s="1">
        <v>0</v>
      </c>
      <c r="AC28" s="1"/>
      <c r="AD28" s="1">
        <v>0</v>
      </c>
      <c r="AE28" s="1"/>
      <c r="AF28" s="1">
        <v>0</v>
      </c>
      <c r="AH28" s="4">
        <f>SUM(F28:AF28)</f>
        <v>354832.76999999996</v>
      </c>
    </row>
    <row r="29" spans="1:65" s="4" customFormat="1">
      <c r="A29" s="4">
        <v>111</v>
      </c>
      <c r="B29" s="4" t="s">
        <v>81</v>
      </c>
      <c r="D29" s="4" t="s">
        <v>82</v>
      </c>
      <c r="F29" s="4">
        <v>2624</v>
      </c>
      <c r="H29" s="4">
        <v>0</v>
      </c>
      <c r="J29" s="4">
        <v>1015307</v>
      </c>
      <c r="L29" s="4">
        <v>55975</v>
      </c>
      <c r="N29" s="18">
        <v>0</v>
      </c>
      <c r="P29" s="4">
        <v>0</v>
      </c>
      <c r="R29" s="4">
        <v>1896</v>
      </c>
      <c r="T29" s="4">
        <v>41678</v>
      </c>
      <c r="V29" s="4">
        <v>6042</v>
      </c>
      <c r="X29" s="4">
        <v>0</v>
      </c>
      <c r="Z29" s="4">
        <v>0</v>
      </c>
      <c r="AB29" s="4">
        <v>0</v>
      </c>
      <c r="AD29" s="4">
        <v>0</v>
      </c>
      <c r="AF29" s="4">
        <v>0</v>
      </c>
      <c r="AH29" s="4">
        <f>SUM(F29:AD29)</f>
        <v>1123522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</row>
    <row r="30" spans="1:65" s="4" customFormat="1">
      <c r="A30" s="4">
        <v>100</v>
      </c>
      <c r="B30" s="18" t="s">
        <v>332</v>
      </c>
      <c r="C30" s="18"/>
      <c r="D30" s="18" t="s">
        <v>42</v>
      </c>
      <c r="E30" s="18"/>
      <c r="F30" s="1">
        <v>1274309.83</v>
      </c>
      <c r="G30" s="1"/>
      <c r="H30" s="1">
        <v>0</v>
      </c>
      <c r="I30" s="1"/>
      <c r="J30" s="1">
        <v>0</v>
      </c>
      <c r="K30" s="1"/>
      <c r="L30" s="1">
        <v>40056.71</v>
      </c>
      <c r="M30" s="1"/>
      <c r="N30" s="1">
        <v>0</v>
      </c>
      <c r="O30" s="1"/>
      <c r="P30" s="1">
        <v>0</v>
      </c>
      <c r="Q30" s="1"/>
      <c r="R30" s="1">
        <v>37371.53</v>
      </c>
      <c r="S30" s="1"/>
      <c r="T30" s="1">
        <v>7501.19</v>
      </c>
      <c r="U30" s="1"/>
      <c r="V30" s="1">
        <v>62273.94</v>
      </c>
      <c r="W30" s="1"/>
      <c r="X30" s="1">
        <v>0</v>
      </c>
      <c r="Y30" s="1"/>
      <c r="Z30" s="1">
        <v>0</v>
      </c>
      <c r="AA30" s="1"/>
      <c r="AB30" s="1">
        <v>0</v>
      </c>
      <c r="AC30" s="1"/>
      <c r="AD30" s="1">
        <v>0</v>
      </c>
      <c r="AE30" s="1"/>
      <c r="AF30" s="1">
        <v>0</v>
      </c>
      <c r="AG30" s="18"/>
      <c r="AH30" s="4">
        <f>SUM(F30:AF30)</f>
        <v>1421513.2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</row>
    <row r="31" spans="1:65" s="4" customFormat="1">
      <c r="A31" s="4">
        <v>194</v>
      </c>
      <c r="B31" s="18" t="s">
        <v>540</v>
      </c>
      <c r="C31" s="18"/>
      <c r="D31" s="18" t="s">
        <v>43</v>
      </c>
      <c r="E31" s="18"/>
      <c r="F31" s="1">
        <v>0</v>
      </c>
      <c r="G31" s="1"/>
      <c r="H31" s="1">
        <v>1004441.83</v>
      </c>
      <c r="I31" s="1"/>
      <c r="J31" s="1">
        <v>0</v>
      </c>
      <c r="K31" s="1"/>
      <c r="L31" s="1">
        <v>19697.82</v>
      </c>
      <c r="M31" s="1"/>
      <c r="N31" s="1">
        <v>0</v>
      </c>
      <c r="O31" s="1"/>
      <c r="P31" s="1">
        <v>0</v>
      </c>
      <c r="Q31" s="1"/>
      <c r="R31" s="1">
        <v>19068.79</v>
      </c>
      <c r="S31" s="1"/>
      <c r="T31" s="1">
        <v>58905.96</v>
      </c>
      <c r="U31" s="1"/>
      <c r="V31" s="1">
        <v>5243.63</v>
      </c>
      <c r="W31" s="1"/>
      <c r="X31" s="1">
        <v>0</v>
      </c>
      <c r="Y31" s="1"/>
      <c r="Z31" s="1">
        <v>0</v>
      </c>
      <c r="AA31" s="1"/>
      <c r="AB31" s="1">
        <v>0</v>
      </c>
      <c r="AC31" s="1"/>
      <c r="AD31" s="1">
        <v>0</v>
      </c>
      <c r="AE31" s="1"/>
      <c r="AF31" s="1">
        <v>0</v>
      </c>
      <c r="AG31" s="18"/>
      <c r="AH31" s="4">
        <f>SUM(F31:AF31)</f>
        <v>1107358.0299999998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</row>
    <row r="32" spans="1:65" s="4" customFormat="1">
      <c r="A32" s="4">
        <v>85</v>
      </c>
      <c r="B32" s="4" t="s">
        <v>83</v>
      </c>
      <c r="D32" s="4" t="s">
        <v>56</v>
      </c>
      <c r="F32" s="4">
        <v>1325792</v>
      </c>
      <c r="H32" s="4">
        <v>0</v>
      </c>
      <c r="J32" s="4">
        <v>803835</v>
      </c>
      <c r="L32" s="4">
        <v>65103</v>
      </c>
      <c r="N32" s="18">
        <v>0</v>
      </c>
      <c r="P32" s="4">
        <v>0</v>
      </c>
      <c r="R32" s="4">
        <v>925</v>
      </c>
      <c r="T32" s="4">
        <v>619</v>
      </c>
      <c r="V32" s="4">
        <v>14462</v>
      </c>
      <c r="X32" s="4">
        <v>0</v>
      </c>
      <c r="Z32" s="4">
        <v>0</v>
      </c>
      <c r="AB32" s="4">
        <v>0</v>
      </c>
      <c r="AD32" s="4">
        <v>0</v>
      </c>
      <c r="AF32" s="4">
        <v>0</v>
      </c>
      <c r="AH32" s="4">
        <f>SUM(F32:AD32)</f>
        <v>2210736</v>
      </c>
    </row>
    <row r="33" spans="1:65" s="4" customFormat="1">
      <c r="A33" s="4">
        <v>65</v>
      </c>
      <c r="B33" s="18" t="s">
        <v>422</v>
      </c>
      <c r="C33" s="18"/>
      <c r="D33" s="18" t="s">
        <v>22</v>
      </c>
      <c r="E33" s="18"/>
      <c r="F33" s="1">
        <v>426134.67</v>
      </c>
      <c r="G33" s="1"/>
      <c r="H33" s="1">
        <v>835658.89</v>
      </c>
      <c r="I33" s="1"/>
      <c r="J33" s="1">
        <v>70278</v>
      </c>
      <c r="K33" s="1"/>
      <c r="L33" s="1">
        <v>26908.080000000002</v>
      </c>
      <c r="M33" s="1"/>
      <c r="N33" s="1">
        <v>0</v>
      </c>
      <c r="O33" s="1"/>
      <c r="P33" s="1">
        <v>0</v>
      </c>
      <c r="Q33" s="1"/>
      <c r="R33" s="1">
        <v>2716.53</v>
      </c>
      <c r="S33" s="1"/>
      <c r="T33" s="1">
        <v>26032.06</v>
      </c>
      <c r="U33" s="1"/>
      <c r="V33" s="1">
        <v>2581.77</v>
      </c>
      <c r="W33" s="1"/>
      <c r="X33" s="1">
        <v>0</v>
      </c>
      <c r="Y33" s="1"/>
      <c r="Z33" s="1">
        <v>0</v>
      </c>
      <c r="AA33" s="1"/>
      <c r="AB33" s="1">
        <v>0</v>
      </c>
      <c r="AC33" s="1"/>
      <c r="AD33" s="1">
        <v>0</v>
      </c>
      <c r="AE33" s="1"/>
      <c r="AF33" s="1">
        <v>0</v>
      </c>
      <c r="AG33" s="18"/>
      <c r="AH33" s="4">
        <f>SUM(F33:AF33)</f>
        <v>1390310.0000000002</v>
      </c>
    </row>
    <row r="34" spans="1:65" s="4" customFormat="1">
      <c r="A34" s="4">
        <v>204</v>
      </c>
      <c r="B34" s="4" t="s">
        <v>21</v>
      </c>
      <c r="D34" s="4" t="s">
        <v>13</v>
      </c>
      <c r="F34" s="18">
        <v>0</v>
      </c>
      <c r="H34" s="4">
        <v>0</v>
      </c>
      <c r="J34" s="4">
        <v>415401</v>
      </c>
      <c r="L34" s="4">
        <v>19240</v>
      </c>
      <c r="N34" s="18">
        <v>0</v>
      </c>
      <c r="P34" s="18">
        <v>0</v>
      </c>
      <c r="R34" s="4">
        <v>9203</v>
      </c>
      <c r="T34" s="4">
        <v>2182</v>
      </c>
      <c r="V34" s="4">
        <v>2656</v>
      </c>
      <c r="X34" s="4">
        <v>0</v>
      </c>
      <c r="Z34" s="4">
        <v>0</v>
      </c>
      <c r="AB34" s="4">
        <v>0</v>
      </c>
      <c r="AD34" s="4">
        <v>0</v>
      </c>
      <c r="AF34" s="4">
        <v>0</v>
      </c>
      <c r="AH34" s="4">
        <f>SUM(F34:AD34)</f>
        <v>448682</v>
      </c>
    </row>
    <row r="35" spans="1:65" s="4" customFormat="1">
      <c r="A35" s="4">
        <v>203</v>
      </c>
      <c r="B35" s="18" t="s">
        <v>84</v>
      </c>
      <c r="C35" s="18"/>
      <c r="D35" s="18" t="s">
        <v>13</v>
      </c>
      <c r="E35" s="18"/>
      <c r="F35" s="1">
        <v>0</v>
      </c>
      <c r="G35" s="1"/>
      <c r="H35" s="1">
        <v>415401.12</v>
      </c>
      <c r="I35" s="1"/>
      <c r="J35" s="1">
        <v>0</v>
      </c>
      <c r="K35" s="1"/>
      <c r="L35" s="1">
        <v>9691.39</v>
      </c>
      <c r="M35" s="1"/>
      <c r="N35" s="1">
        <v>0</v>
      </c>
      <c r="O35" s="1"/>
      <c r="P35" s="1">
        <v>0</v>
      </c>
      <c r="Q35" s="1"/>
      <c r="R35" s="1">
        <v>0</v>
      </c>
      <c r="S35" s="1"/>
      <c r="T35" s="1">
        <v>9449.67</v>
      </c>
      <c r="U35" s="1"/>
      <c r="V35" s="1">
        <v>1469.39</v>
      </c>
      <c r="W35" s="1"/>
      <c r="X35" s="1">
        <v>0</v>
      </c>
      <c r="Y35" s="1"/>
      <c r="Z35" s="1">
        <v>0</v>
      </c>
      <c r="AA35" s="1"/>
      <c r="AB35" s="1">
        <v>0</v>
      </c>
      <c r="AC35" s="1"/>
      <c r="AD35" s="1">
        <v>0</v>
      </c>
      <c r="AE35" s="1"/>
      <c r="AF35" s="1">
        <v>0</v>
      </c>
      <c r="AG35" s="18"/>
      <c r="AH35" s="4">
        <f>SUM(F35:AF35)</f>
        <v>436011.57</v>
      </c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</row>
    <row r="36" spans="1:65" s="4" customFormat="1">
      <c r="A36" s="4">
        <v>104</v>
      </c>
      <c r="B36" s="4" t="s">
        <v>85</v>
      </c>
      <c r="D36" s="4" t="s">
        <v>86</v>
      </c>
      <c r="F36" s="18">
        <v>0</v>
      </c>
      <c r="H36" s="4">
        <v>67808</v>
      </c>
      <c r="J36" s="18">
        <v>0</v>
      </c>
      <c r="L36" s="4">
        <v>3163</v>
      </c>
      <c r="N36" s="18">
        <v>0</v>
      </c>
      <c r="P36" s="18">
        <v>0</v>
      </c>
      <c r="R36" s="4">
        <v>408</v>
      </c>
      <c r="T36" s="4">
        <v>6724</v>
      </c>
      <c r="V36" s="4">
        <v>280</v>
      </c>
      <c r="X36" s="18">
        <v>0</v>
      </c>
      <c r="Z36" s="18">
        <v>0</v>
      </c>
      <c r="AB36" s="18">
        <v>0</v>
      </c>
      <c r="AD36" s="18">
        <v>0</v>
      </c>
      <c r="AF36" s="18">
        <v>0</v>
      </c>
      <c r="AH36" s="4">
        <f t="shared" ref="AH36:AH41" si="1">SUM(F36:AD36)</f>
        <v>78383</v>
      </c>
    </row>
    <row r="37" spans="1:65" s="4" customFormat="1">
      <c r="A37" s="4">
        <v>206</v>
      </c>
      <c r="B37" s="4" t="s">
        <v>87</v>
      </c>
      <c r="D37" s="4" t="s">
        <v>88</v>
      </c>
      <c r="F37" s="4">
        <f>253043+28925</f>
        <v>281968</v>
      </c>
      <c r="H37" s="4">
        <v>0</v>
      </c>
      <c r="J37" s="4">
        <v>562790</v>
      </c>
      <c r="L37" s="4">
        <v>24863</v>
      </c>
      <c r="N37" s="4">
        <v>0</v>
      </c>
      <c r="P37" s="4">
        <v>0</v>
      </c>
      <c r="R37" s="4">
        <v>5695</v>
      </c>
      <c r="T37" s="4">
        <v>2287</v>
      </c>
      <c r="V37" s="4">
        <v>156</v>
      </c>
      <c r="X37" s="4">
        <v>0</v>
      </c>
      <c r="Z37" s="4">
        <v>0</v>
      </c>
      <c r="AB37" s="18">
        <v>0</v>
      </c>
      <c r="AD37" s="18">
        <v>0</v>
      </c>
      <c r="AF37" s="18">
        <v>0</v>
      </c>
      <c r="AH37" s="4">
        <f t="shared" si="1"/>
        <v>877759</v>
      </c>
    </row>
    <row r="38" spans="1:65" s="4" customFormat="1">
      <c r="A38" s="4">
        <v>15</v>
      </c>
      <c r="B38" s="4" t="s">
        <v>89</v>
      </c>
      <c r="D38" s="4" t="s">
        <v>44</v>
      </c>
      <c r="F38" s="4">
        <v>8795</v>
      </c>
      <c r="H38" s="4">
        <v>115648</v>
      </c>
      <c r="J38" s="18">
        <v>0</v>
      </c>
      <c r="L38" s="4">
        <v>5409</v>
      </c>
      <c r="N38" s="18">
        <v>0</v>
      </c>
      <c r="P38" s="18">
        <v>0</v>
      </c>
      <c r="R38" s="4">
        <v>125</v>
      </c>
      <c r="T38" s="4">
        <v>6594</v>
      </c>
      <c r="V38" s="18">
        <v>0</v>
      </c>
      <c r="X38" s="18">
        <v>0</v>
      </c>
      <c r="Z38" s="18">
        <v>0</v>
      </c>
      <c r="AB38" s="18">
        <v>0</v>
      </c>
      <c r="AD38" s="18">
        <v>0</v>
      </c>
      <c r="AF38" s="18">
        <v>0</v>
      </c>
      <c r="AH38" s="4">
        <f t="shared" si="1"/>
        <v>136571</v>
      </c>
    </row>
    <row r="39" spans="1:65" s="4" customFormat="1">
      <c r="A39" s="4">
        <v>161</v>
      </c>
      <c r="B39" s="4" t="s">
        <v>296</v>
      </c>
      <c r="D39" s="4" t="s">
        <v>91</v>
      </c>
      <c r="F39" s="18">
        <v>0</v>
      </c>
      <c r="H39" s="4">
        <v>1525619</v>
      </c>
      <c r="J39" s="18">
        <v>0</v>
      </c>
      <c r="L39" s="4">
        <v>60709</v>
      </c>
      <c r="N39" s="18">
        <v>0</v>
      </c>
      <c r="P39" s="18">
        <v>0</v>
      </c>
      <c r="R39" s="4">
        <v>50151</v>
      </c>
      <c r="T39" s="4">
        <v>313</v>
      </c>
      <c r="V39" s="4">
        <v>7198</v>
      </c>
      <c r="X39" s="18">
        <v>0</v>
      </c>
      <c r="Z39" s="18">
        <v>75000</v>
      </c>
      <c r="AB39" s="18">
        <v>0</v>
      </c>
      <c r="AD39" s="18">
        <v>0</v>
      </c>
      <c r="AF39" s="18">
        <v>0</v>
      </c>
      <c r="AH39" s="4">
        <f t="shared" si="1"/>
        <v>1718990</v>
      </c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</row>
    <row r="40" spans="1:65" s="4" customFormat="1">
      <c r="A40" s="4">
        <v>162</v>
      </c>
      <c r="B40" s="4" t="s">
        <v>92</v>
      </c>
      <c r="D40" s="4" t="s">
        <v>93</v>
      </c>
      <c r="F40" s="18">
        <v>0</v>
      </c>
      <c r="H40" s="18">
        <v>1950</v>
      </c>
      <c r="J40" s="4">
        <v>1415808</v>
      </c>
      <c r="L40" s="4">
        <v>35247</v>
      </c>
      <c r="N40" s="18">
        <v>0</v>
      </c>
      <c r="P40" s="18">
        <v>0</v>
      </c>
      <c r="R40" s="4">
        <v>7534</v>
      </c>
      <c r="T40" s="4">
        <v>61413</v>
      </c>
      <c r="V40" s="4">
        <v>10951</v>
      </c>
      <c r="X40" s="18">
        <v>0</v>
      </c>
      <c r="Z40" s="18">
        <v>0</v>
      </c>
      <c r="AB40" s="18">
        <v>0</v>
      </c>
      <c r="AD40" s="18">
        <v>0</v>
      </c>
      <c r="AF40" s="18">
        <v>0</v>
      </c>
      <c r="AH40" s="4">
        <f t="shared" si="1"/>
        <v>1532903</v>
      </c>
    </row>
    <row r="41" spans="1:65" s="4" customFormat="1">
      <c r="A41" s="4">
        <v>11</v>
      </c>
      <c r="B41" s="4" t="s">
        <v>94</v>
      </c>
      <c r="D41" s="4" t="s">
        <v>68</v>
      </c>
      <c r="F41" s="18">
        <v>133595</v>
      </c>
      <c r="H41" s="4">
        <v>0</v>
      </c>
      <c r="J41" s="18">
        <v>403164</v>
      </c>
      <c r="L41" s="4">
        <v>0</v>
      </c>
      <c r="N41" s="18">
        <v>0</v>
      </c>
      <c r="P41" s="18">
        <v>1621</v>
      </c>
      <c r="R41" s="4">
        <v>0</v>
      </c>
      <c r="T41" s="4">
        <v>1360</v>
      </c>
      <c r="V41" s="4">
        <v>0</v>
      </c>
      <c r="X41" s="18">
        <v>0</v>
      </c>
      <c r="Z41" s="18">
        <v>0</v>
      </c>
      <c r="AB41" s="18">
        <v>0</v>
      </c>
      <c r="AD41" s="18">
        <v>0</v>
      </c>
      <c r="AF41" s="18">
        <v>0</v>
      </c>
      <c r="AH41" s="4">
        <f t="shared" si="1"/>
        <v>539740</v>
      </c>
    </row>
    <row r="42" spans="1:65" s="4" customFormat="1">
      <c r="A42" s="4">
        <v>103</v>
      </c>
      <c r="B42" s="18" t="s">
        <v>95</v>
      </c>
      <c r="C42" s="18"/>
      <c r="D42" s="18" t="s">
        <v>44</v>
      </c>
      <c r="E42" s="18"/>
      <c r="F42" s="1">
        <v>0</v>
      </c>
      <c r="G42" s="1"/>
      <c r="H42" s="1">
        <v>0</v>
      </c>
      <c r="I42" s="1"/>
      <c r="J42" s="1">
        <v>126484.79</v>
      </c>
      <c r="K42" s="1"/>
      <c r="L42" s="1">
        <v>3067.77</v>
      </c>
      <c r="M42" s="1"/>
      <c r="N42" s="1">
        <v>0</v>
      </c>
      <c r="O42" s="1"/>
      <c r="P42" s="1">
        <v>0</v>
      </c>
      <c r="Q42" s="1"/>
      <c r="R42" s="1">
        <v>3004.11</v>
      </c>
      <c r="S42" s="1"/>
      <c r="T42" s="1">
        <v>1492.45</v>
      </c>
      <c r="U42" s="1"/>
      <c r="V42" s="1">
        <v>423.42</v>
      </c>
      <c r="W42" s="1"/>
      <c r="X42" s="1">
        <v>0</v>
      </c>
      <c r="Y42" s="1"/>
      <c r="Z42" s="1">
        <v>0</v>
      </c>
      <c r="AA42" s="1"/>
      <c r="AB42" s="1">
        <v>0</v>
      </c>
      <c r="AC42" s="1"/>
      <c r="AD42" s="1">
        <v>0</v>
      </c>
      <c r="AE42" s="1"/>
      <c r="AF42" s="1">
        <v>0</v>
      </c>
      <c r="AG42" s="18"/>
      <c r="AH42" s="4">
        <f>SUM(F42:AF42)</f>
        <v>134472.54</v>
      </c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</row>
    <row r="43" spans="1:65" s="4" customFormat="1">
      <c r="A43" s="4">
        <v>101</v>
      </c>
      <c r="B43" s="18" t="s">
        <v>297</v>
      </c>
      <c r="C43" s="18"/>
      <c r="D43" s="18" t="s">
        <v>96</v>
      </c>
      <c r="E43" s="18"/>
      <c r="F43" s="1">
        <v>96124.97</v>
      </c>
      <c r="G43" s="1"/>
      <c r="H43" s="1">
        <v>228340.52</v>
      </c>
      <c r="I43" s="1"/>
      <c r="J43" s="1">
        <v>26005.21</v>
      </c>
      <c r="K43" s="1"/>
      <c r="L43" s="1">
        <v>10740.91</v>
      </c>
      <c r="M43" s="1"/>
      <c r="N43" s="1">
        <v>0</v>
      </c>
      <c r="O43" s="1"/>
      <c r="P43" s="1">
        <v>0</v>
      </c>
      <c r="Q43" s="1"/>
      <c r="R43" s="1">
        <v>3513.48</v>
      </c>
      <c r="S43" s="1"/>
      <c r="T43" s="1">
        <v>1353.08</v>
      </c>
      <c r="U43" s="1"/>
      <c r="V43" s="1">
        <v>1972.33</v>
      </c>
      <c r="W43" s="1"/>
      <c r="X43" s="1">
        <v>730</v>
      </c>
      <c r="Y43" s="1"/>
      <c r="Z43" s="1">
        <v>0</v>
      </c>
      <c r="AA43" s="1"/>
      <c r="AB43" s="1">
        <v>0</v>
      </c>
      <c r="AC43" s="1"/>
      <c r="AD43" s="1">
        <v>0</v>
      </c>
      <c r="AE43" s="1"/>
      <c r="AF43" s="1">
        <v>0</v>
      </c>
      <c r="AG43" s="18"/>
      <c r="AH43" s="4">
        <f>SUM(F43:AF43)</f>
        <v>368780.5</v>
      </c>
    </row>
    <row r="44" spans="1:65" s="4" customFormat="1">
      <c r="A44" s="4">
        <v>133</v>
      </c>
      <c r="B44" s="18" t="s">
        <v>97</v>
      </c>
      <c r="C44" s="18"/>
      <c r="D44" s="18" t="s">
        <v>45</v>
      </c>
      <c r="E44" s="18"/>
      <c r="F44" s="1">
        <v>0</v>
      </c>
      <c r="G44" s="1"/>
      <c r="H44" s="1">
        <v>185231.11</v>
      </c>
      <c r="I44" s="1"/>
      <c r="J44" s="1">
        <v>0</v>
      </c>
      <c r="K44" s="1"/>
      <c r="L44" s="1">
        <v>4098.62</v>
      </c>
      <c r="M44" s="1"/>
      <c r="N44" s="1">
        <v>0</v>
      </c>
      <c r="O44" s="1"/>
      <c r="P44" s="1">
        <v>0</v>
      </c>
      <c r="Q44" s="1"/>
      <c r="R44" s="1">
        <v>0</v>
      </c>
      <c r="S44" s="1"/>
      <c r="T44" s="1">
        <v>1208.3399999999999</v>
      </c>
      <c r="U44" s="1"/>
      <c r="V44" s="1">
        <v>2705.76</v>
      </c>
      <c r="W44" s="1"/>
      <c r="X44" s="1">
        <v>0</v>
      </c>
      <c r="Y44" s="1"/>
      <c r="Z44" s="1">
        <v>0</v>
      </c>
      <c r="AA44" s="1"/>
      <c r="AB44" s="1">
        <v>0</v>
      </c>
      <c r="AC44" s="1"/>
      <c r="AD44" s="1">
        <v>0</v>
      </c>
      <c r="AE44" s="1"/>
      <c r="AF44" s="1">
        <v>0</v>
      </c>
      <c r="AG44" s="18"/>
      <c r="AH44" s="4">
        <f>SUM(F44:AF44)</f>
        <v>193243.83</v>
      </c>
    </row>
    <row r="45" spans="1:65" s="4" customFormat="1">
      <c r="A45" s="4">
        <v>259</v>
      </c>
      <c r="B45" s="18" t="s">
        <v>98</v>
      </c>
      <c r="C45" s="18"/>
      <c r="D45" s="18" t="s">
        <v>52</v>
      </c>
      <c r="E45" s="18"/>
      <c r="F45" s="1">
        <v>0</v>
      </c>
      <c r="G45" s="1"/>
      <c r="H45" s="1">
        <v>165465.04999999999</v>
      </c>
      <c r="I45" s="1"/>
      <c r="J45" s="1">
        <v>0</v>
      </c>
      <c r="K45" s="1"/>
      <c r="L45" s="1">
        <v>8274.39</v>
      </c>
      <c r="M45" s="1"/>
      <c r="N45" s="1">
        <v>0</v>
      </c>
      <c r="O45" s="1"/>
      <c r="P45" s="1">
        <v>0</v>
      </c>
      <c r="Q45" s="1"/>
      <c r="R45" s="1">
        <v>3619.94</v>
      </c>
      <c r="S45" s="1"/>
      <c r="T45" s="1">
        <v>262.63</v>
      </c>
      <c r="U45" s="1"/>
      <c r="V45" s="1">
        <v>554.25</v>
      </c>
      <c r="W45" s="1"/>
      <c r="X45" s="1">
        <v>0</v>
      </c>
      <c r="Y45" s="1"/>
      <c r="Z45" s="1">
        <v>0</v>
      </c>
      <c r="AA45" s="1"/>
      <c r="AB45" s="1">
        <v>0</v>
      </c>
      <c r="AC45" s="1"/>
      <c r="AD45" s="1">
        <v>0</v>
      </c>
      <c r="AE45" s="1"/>
      <c r="AF45" s="1">
        <v>0</v>
      </c>
      <c r="AG45" s="18"/>
      <c r="AH45" s="4">
        <f>SUM(F45:AF45)</f>
        <v>178176.26</v>
      </c>
    </row>
    <row r="46" spans="1:65" s="4" customFormat="1">
      <c r="A46" s="4">
        <v>150</v>
      </c>
      <c r="B46" s="4" t="s">
        <v>528</v>
      </c>
      <c r="D46" s="4" t="s">
        <v>529</v>
      </c>
      <c r="F46" s="18">
        <v>0</v>
      </c>
      <c r="H46" s="4">
        <v>1890627</v>
      </c>
      <c r="J46" s="18">
        <v>0</v>
      </c>
      <c r="L46" s="4">
        <v>52502</v>
      </c>
      <c r="N46" s="18">
        <v>0</v>
      </c>
      <c r="P46" s="18">
        <v>0</v>
      </c>
      <c r="R46" s="4">
        <v>2260</v>
      </c>
      <c r="T46" s="4">
        <v>6453</v>
      </c>
      <c r="V46" s="4">
        <v>31881</v>
      </c>
      <c r="X46" s="18">
        <v>0</v>
      </c>
      <c r="Z46" s="18">
        <v>0</v>
      </c>
      <c r="AB46" s="18">
        <v>0</v>
      </c>
      <c r="AD46" s="18">
        <v>0</v>
      </c>
      <c r="AF46" s="18">
        <v>0</v>
      </c>
      <c r="AH46" s="4">
        <f>SUM(F46:AD46)</f>
        <v>1983723</v>
      </c>
    </row>
    <row r="47" spans="1:65" s="4" customFormat="1">
      <c r="A47" s="4">
        <v>36</v>
      </c>
      <c r="B47" s="4" t="s">
        <v>99</v>
      </c>
      <c r="D47" s="4" t="s">
        <v>55</v>
      </c>
      <c r="F47" s="1">
        <v>0</v>
      </c>
      <c r="G47" s="1"/>
      <c r="H47" s="1">
        <v>360583.53</v>
      </c>
      <c r="I47" s="1"/>
      <c r="J47" s="1">
        <v>0</v>
      </c>
      <c r="K47" s="1"/>
      <c r="L47" s="1">
        <v>11437.5</v>
      </c>
      <c r="M47" s="1"/>
      <c r="N47" s="1">
        <v>0</v>
      </c>
      <c r="O47" s="1"/>
      <c r="P47" s="1">
        <v>0</v>
      </c>
      <c r="Q47" s="1"/>
      <c r="R47" s="1">
        <v>261</v>
      </c>
      <c r="S47" s="1"/>
      <c r="T47" s="1">
        <v>4330.8599999999997</v>
      </c>
      <c r="U47" s="1"/>
      <c r="V47" s="1">
        <v>8273.93</v>
      </c>
      <c r="W47" s="1"/>
      <c r="X47" s="1">
        <v>0</v>
      </c>
      <c r="Y47" s="1"/>
      <c r="Z47" s="1">
        <v>0</v>
      </c>
      <c r="AA47" s="1"/>
      <c r="AB47" s="1">
        <v>0</v>
      </c>
      <c r="AC47" s="1"/>
      <c r="AD47" s="1">
        <v>0</v>
      </c>
      <c r="AE47" s="1"/>
      <c r="AF47" s="1">
        <v>0</v>
      </c>
      <c r="AH47" s="4">
        <f>SUM(F47:AF47)</f>
        <v>384886.82</v>
      </c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</row>
    <row r="48" spans="1:65" s="4" customFormat="1">
      <c r="A48" s="4">
        <v>176</v>
      </c>
      <c r="B48" s="18" t="s">
        <v>445</v>
      </c>
      <c r="C48" s="18"/>
      <c r="D48" s="18" t="s">
        <v>46</v>
      </c>
      <c r="E48" s="18"/>
      <c r="F48" s="1">
        <v>0</v>
      </c>
      <c r="G48" s="1"/>
      <c r="H48" s="1">
        <v>701477.21</v>
      </c>
      <c r="I48" s="1"/>
      <c r="J48" s="1">
        <v>25</v>
      </c>
      <c r="K48" s="1"/>
      <c r="L48" s="1">
        <v>29021.119999999999</v>
      </c>
      <c r="M48" s="1"/>
      <c r="N48" s="1">
        <v>0</v>
      </c>
      <c r="O48" s="1"/>
      <c r="P48" s="1">
        <v>0</v>
      </c>
      <c r="Q48" s="1"/>
      <c r="R48" s="1">
        <v>1294.28</v>
      </c>
      <c r="S48" s="1"/>
      <c r="T48" s="1">
        <v>400.07</v>
      </c>
      <c r="U48" s="1"/>
      <c r="V48" s="1">
        <v>136.59</v>
      </c>
      <c r="W48" s="1"/>
      <c r="X48" s="1">
        <v>0</v>
      </c>
      <c r="Y48" s="1"/>
      <c r="Z48" s="1">
        <v>0</v>
      </c>
      <c r="AA48" s="1"/>
      <c r="AB48" s="1">
        <v>0</v>
      </c>
      <c r="AC48" s="1"/>
      <c r="AD48" s="1">
        <v>0</v>
      </c>
      <c r="AE48" s="1"/>
      <c r="AF48" s="1">
        <v>0</v>
      </c>
      <c r="AG48" s="18"/>
      <c r="AH48" s="4">
        <f>SUM(F48:AF48)</f>
        <v>732354.2699999999</v>
      </c>
    </row>
    <row r="49" spans="1:65" s="4" customFormat="1">
      <c r="A49" s="4">
        <v>158</v>
      </c>
      <c r="B49" s="4" t="s">
        <v>100</v>
      </c>
      <c r="D49" s="4" t="s">
        <v>101</v>
      </c>
      <c r="F49" s="18">
        <v>0</v>
      </c>
      <c r="H49" s="4">
        <v>99037</v>
      </c>
      <c r="J49" s="18">
        <v>0</v>
      </c>
      <c r="L49" s="4">
        <v>7169</v>
      </c>
      <c r="N49" s="18">
        <v>0</v>
      </c>
      <c r="P49" s="18">
        <v>0</v>
      </c>
      <c r="R49" s="4">
        <v>5730</v>
      </c>
      <c r="T49" s="4">
        <v>1192</v>
      </c>
      <c r="V49" s="18">
        <v>1443</v>
      </c>
      <c r="X49" s="18">
        <v>0</v>
      </c>
      <c r="Z49" s="18">
        <v>0</v>
      </c>
      <c r="AB49" s="18">
        <v>0</v>
      </c>
      <c r="AD49" s="18">
        <v>0</v>
      </c>
      <c r="AF49" s="18">
        <v>0</v>
      </c>
      <c r="AH49" s="4">
        <f>SUM(F49:AD49)</f>
        <v>114571</v>
      </c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</row>
    <row r="50" spans="1:65" s="4" customFormat="1">
      <c r="A50" s="4">
        <v>106</v>
      </c>
      <c r="B50" s="4" t="s">
        <v>102</v>
      </c>
      <c r="D50" s="4" t="s">
        <v>51</v>
      </c>
      <c r="F50" s="18">
        <v>0</v>
      </c>
      <c r="H50" s="4">
        <v>517421</v>
      </c>
      <c r="J50" s="18">
        <v>0</v>
      </c>
      <c r="L50" s="4">
        <v>5478</v>
      </c>
      <c r="N50" s="18">
        <v>0</v>
      </c>
      <c r="P50" s="18">
        <v>0</v>
      </c>
      <c r="R50" s="4">
        <v>12845</v>
      </c>
      <c r="T50" s="4">
        <v>9637</v>
      </c>
      <c r="V50" s="4">
        <v>23611</v>
      </c>
      <c r="X50" s="18">
        <v>0</v>
      </c>
      <c r="Z50" s="4">
        <v>0</v>
      </c>
      <c r="AB50" s="18">
        <v>0</v>
      </c>
      <c r="AD50" s="18">
        <v>0</v>
      </c>
      <c r="AF50" s="18">
        <v>0</v>
      </c>
      <c r="AH50" s="4">
        <f>SUM(F50:AD50)</f>
        <v>568992</v>
      </c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</row>
    <row r="51" spans="1:65" s="4" customFormat="1">
      <c r="A51" s="4">
        <v>112</v>
      </c>
      <c r="B51" s="18" t="s">
        <v>103</v>
      </c>
      <c r="C51" s="18"/>
      <c r="D51" s="18" t="s">
        <v>17</v>
      </c>
      <c r="E51" s="18"/>
      <c r="F51" s="1">
        <v>216455.51</v>
      </c>
      <c r="G51" s="1"/>
      <c r="H51" s="1">
        <v>442611</v>
      </c>
      <c r="I51" s="1"/>
      <c r="J51" s="1">
        <v>53803.01</v>
      </c>
      <c r="K51" s="1"/>
      <c r="L51" s="1">
        <v>18653.849999999999</v>
      </c>
      <c r="M51" s="1"/>
      <c r="N51" s="1">
        <v>0</v>
      </c>
      <c r="O51" s="1"/>
      <c r="P51" s="1">
        <v>0</v>
      </c>
      <c r="Q51" s="1"/>
      <c r="R51" s="1">
        <v>27684.5</v>
      </c>
      <c r="S51" s="1"/>
      <c r="T51" s="1">
        <v>1559.14</v>
      </c>
      <c r="U51" s="1"/>
      <c r="V51" s="1">
        <v>2172.0700000000002</v>
      </c>
      <c r="W51" s="1"/>
      <c r="X51" s="1">
        <v>20</v>
      </c>
      <c r="Y51" s="1"/>
      <c r="Z51" s="1">
        <v>0</v>
      </c>
      <c r="AA51" s="1"/>
      <c r="AB51" s="1">
        <v>0</v>
      </c>
      <c r="AC51" s="1"/>
      <c r="AD51" s="1">
        <v>0</v>
      </c>
      <c r="AE51" s="1"/>
      <c r="AF51" s="1">
        <v>0</v>
      </c>
      <c r="AG51" s="18"/>
      <c r="AH51" s="4">
        <f>SUM(F51:AF51)</f>
        <v>762959.08</v>
      </c>
    </row>
    <row r="52" spans="1:65" s="4" customFormat="1">
      <c r="A52" s="4">
        <v>116</v>
      </c>
      <c r="B52" s="18" t="s">
        <v>104</v>
      </c>
      <c r="C52" s="18"/>
      <c r="D52" s="18" t="s">
        <v>105</v>
      </c>
      <c r="E52" s="18"/>
      <c r="F52" s="1">
        <v>0</v>
      </c>
      <c r="G52" s="1"/>
      <c r="H52" s="1">
        <v>371913.64</v>
      </c>
      <c r="I52" s="1"/>
      <c r="J52" s="1">
        <v>0</v>
      </c>
      <c r="K52" s="1"/>
      <c r="L52" s="1">
        <v>13502.23</v>
      </c>
      <c r="M52" s="1"/>
      <c r="N52" s="1">
        <v>0</v>
      </c>
      <c r="O52" s="1"/>
      <c r="P52" s="1">
        <v>0</v>
      </c>
      <c r="Q52" s="1"/>
      <c r="R52" s="1">
        <v>712.5</v>
      </c>
      <c r="S52" s="1"/>
      <c r="T52" s="1">
        <v>2393.25</v>
      </c>
      <c r="U52" s="1"/>
      <c r="V52" s="1">
        <v>565</v>
      </c>
      <c r="W52" s="1"/>
      <c r="X52" s="1">
        <v>0</v>
      </c>
      <c r="Y52" s="1"/>
      <c r="Z52" s="1">
        <v>0</v>
      </c>
      <c r="AA52" s="1"/>
      <c r="AB52" s="1">
        <v>0</v>
      </c>
      <c r="AC52" s="1"/>
      <c r="AD52" s="1">
        <v>0</v>
      </c>
      <c r="AE52" s="1"/>
      <c r="AF52" s="1">
        <v>0</v>
      </c>
      <c r="AG52" s="18"/>
      <c r="AH52" s="4">
        <f>SUM(F52:AF52)</f>
        <v>389086.62</v>
      </c>
    </row>
    <row r="53" spans="1:65" s="4" customFormat="1">
      <c r="A53" s="4">
        <v>177</v>
      </c>
      <c r="B53" s="18" t="s">
        <v>106</v>
      </c>
      <c r="C53" s="18"/>
      <c r="D53" s="18" t="s">
        <v>25</v>
      </c>
      <c r="E53" s="18"/>
      <c r="F53" s="1">
        <v>215961.21</v>
      </c>
      <c r="G53" s="1"/>
      <c r="H53" s="1">
        <v>504686.82</v>
      </c>
      <c r="I53" s="1"/>
      <c r="J53" s="1">
        <v>43688.69</v>
      </c>
      <c r="K53" s="1"/>
      <c r="L53" s="1">
        <v>28064.21</v>
      </c>
      <c r="M53" s="1"/>
      <c r="N53" s="1">
        <v>0</v>
      </c>
      <c r="O53" s="1"/>
      <c r="P53" s="1">
        <v>0</v>
      </c>
      <c r="Q53" s="1"/>
      <c r="R53" s="1">
        <v>19612.919999999998</v>
      </c>
      <c r="S53" s="1"/>
      <c r="T53" s="1">
        <v>1337.2</v>
      </c>
      <c r="U53" s="1"/>
      <c r="V53" s="1">
        <v>12648.54</v>
      </c>
      <c r="W53" s="1"/>
      <c r="X53" s="1">
        <v>0</v>
      </c>
      <c r="Y53" s="1"/>
      <c r="Z53" s="1">
        <v>0</v>
      </c>
      <c r="AA53" s="1"/>
      <c r="AB53" s="1">
        <v>0</v>
      </c>
      <c r="AC53" s="1"/>
      <c r="AD53" s="1">
        <v>1367.7</v>
      </c>
      <c r="AE53" s="1"/>
      <c r="AF53" s="1">
        <v>0</v>
      </c>
      <c r="AG53" s="18"/>
      <c r="AH53" s="4">
        <f>SUM(F53:AF53)</f>
        <v>827367.28999999992</v>
      </c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</row>
    <row r="54" spans="1:65" s="4" customFormat="1">
      <c r="A54" s="4">
        <v>174</v>
      </c>
      <c r="B54" s="4" t="s">
        <v>107</v>
      </c>
      <c r="D54" s="4" t="s">
        <v>67</v>
      </c>
      <c r="F54" s="18">
        <v>0</v>
      </c>
      <c r="H54" s="4">
        <v>219844</v>
      </c>
      <c r="J54" s="18">
        <v>0</v>
      </c>
      <c r="L54" s="4">
        <v>9034</v>
      </c>
      <c r="N54" s="18">
        <v>0</v>
      </c>
      <c r="P54" s="18">
        <v>0</v>
      </c>
      <c r="R54" s="4">
        <v>7050</v>
      </c>
      <c r="T54" s="4">
        <v>3018</v>
      </c>
      <c r="V54" s="4">
        <v>7432</v>
      </c>
      <c r="X54" s="4">
        <v>0</v>
      </c>
      <c r="Z54" s="18">
        <v>1369</v>
      </c>
      <c r="AB54" s="18">
        <v>0</v>
      </c>
      <c r="AD54" s="18">
        <v>0</v>
      </c>
      <c r="AF54" s="18">
        <v>0</v>
      </c>
      <c r="AH54" s="4">
        <f>SUM(F54:AD54)</f>
        <v>247747</v>
      </c>
    </row>
    <row r="55" spans="1:65" s="4" customFormat="1">
      <c r="A55" s="4">
        <v>95</v>
      </c>
      <c r="B55" s="4" t="s">
        <v>108</v>
      </c>
      <c r="D55" s="4" t="s">
        <v>109</v>
      </c>
      <c r="F55" s="4">
        <v>0</v>
      </c>
      <c r="H55" s="4">
        <v>849111</v>
      </c>
      <c r="J55" s="4">
        <v>0</v>
      </c>
      <c r="L55" s="4">
        <v>22795</v>
      </c>
      <c r="N55" s="18">
        <v>0</v>
      </c>
      <c r="P55" s="18">
        <v>0</v>
      </c>
      <c r="R55" s="4">
        <v>1630</v>
      </c>
      <c r="T55" s="4">
        <v>20399</v>
      </c>
      <c r="V55" s="4">
        <v>2567</v>
      </c>
      <c r="X55" s="4">
        <v>0</v>
      </c>
      <c r="Z55" s="4">
        <v>0</v>
      </c>
      <c r="AB55" s="4">
        <v>0</v>
      </c>
      <c r="AD55" s="4">
        <v>0</v>
      </c>
      <c r="AF55" s="4">
        <v>0</v>
      </c>
      <c r="AH55" s="4">
        <f>SUM(F55:AD55)</f>
        <v>896502</v>
      </c>
    </row>
    <row r="56" spans="1:65" s="4" customFormat="1">
      <c r="A56" s="4">
        <v>121</v>
      </c>
      <c r="B56" s="18" t="s">
        <v>541</v>
      </c>
      <c r="C56" s="18"/>
      <c r="D56" s="18" t="s">
        <v>47</v>
      </c>
      <c r="E56" s="18"/>
      <c r="F56" s="1">
        <v>0</v>
      </c>
      <c r="G56" s="1"/>
      <c r="H56" s="1">
        <v>586854.86</v>
      </c>
      <c r="I56" s="1"/>
      <c r="J56" s="1">
        <v>0</v>
      </c>
      <c r="K56" s="1"/>
      <c r="L56" s="1">
        <v>31627.79</v>
      </c>
      <c r="M56" s="1"/>
      <c r="N56" s="1">
        <v>0</v>
      </c>
      <c r="O56" s="1"/>
      <c r="P56" s="1">
        <v>0</v>
      </c>
      <c r="Q56" s="1"/>
      <c r="R56" s="1">
        <v>1025</v>
      </c>
      <c r="S56" s="1"/>
      <c r="T56" s="1">
        <v>5507.95</v>
      </c>
      <c r="U56" s="1"/>
      <c r="V56" s="1">
        <v>2726.7</v>
      </c>
      <c r="W56" s="1"/>
      <c r="X56" s="1">
        <v>0</v>
      </c>
      <c r="Y56" s="1"/>
      <c r="Z56" s="1">
        <v>0</v>
      </c>
      <c r="AA56" s="1"/>
      <c r="AB56" s="1">
        <v>0</v>
      </c>
      <c r="AC56" s="1"/>
      <c r="AD56" s="1">
        <v>0</v>
      </c>
      <c r="AE56" s="1"/>
      <c r="AF56" s="1">
        <v>0</v>
      </c>
      <c r="AG56" s="18"/>
      <c r="AH56" s="4">
        <f>SUM(F56:AF56)</f>
        <v>627742.29999999993</v>
      </c>
    </row>
    <row r="57" spans="1:65" s="4" customFormat="1">
      <c r="A57" s="4">
        <v>84</v>
      </c>
      <c r="B57" s="4" t="s">
        <v>110</v>
      </c>
      <c r="D57" s="4" t="s">
        <v>16</v>
      </c>
      <c r="F57" s="18">
        <v>0</v>
      </c>
      <c r="H57" s="4">
        <v>229353</v>
      </c>
      <c r="J57" s="18">
        <v>0</v>
      </c>
      <c r="L57" s="4">
        <v>7193</v>
      </c>
      <c r="N57" s="18">
        <v>0</v>
      </c>
      <c r="P57" s="18">
        <v>0</v>
      </c>
      <c r="R57" s="4">
        <v>634</v>
      </c>
      <c r="T57" s="4">
        <v>3527</v>
      </c>
      <c r="V57" s="4">
        <v>240</v>
      </c>
      <c r="X57" s="18">
        <v>0</v>
      </c>
      <c r="Z57" s="18">
        <v>0</v>
      </c>
      <c r="AB57" s="18">
        <v>0</v>
      </c>
      <c r="AD57" s="18">
        <v>0</v>
      </c>
      <c r="AF57" s="18">
        <v>0</v>
      </c>
      <c r="AH57" s="4">
        <f>SUM(F57:AD57)</f>
        <v>240947</v>
      </c>
    </row>
    <row r="58" spans="1:65" s="4" customFormat="1">
      <c r="A58" s="4">
        <v>248</v>
      </c>
      <c r="B58" s="4" t="s">
        <v>542</v>
      </c>
      <c r="D58" s="4" t="s">
        <v>61</v>
      </c>
      <c r="F58" s="4">
        <v>101861</v>
      </c>
      <c r="H58" s="4">
        <v>591757</v>
      </c>
      <c r="J58" s="18">
        <v>12431</v>
      </c>
      <c r="L58" s="4">
        <v>45025</v>
      </c>
      <c r="N58" s="18">
        <v>0</v>
      </c>
      <c r="P58" s="18">
        <v>0</v>
      </c>
      <c r="R58" s="4">
        <v>13183</v>
      </c>
      <c r="T58" s="4">
        <v>667</v>
      </c>
      <c r="V58" s="4">
        <v>7773</v>
      </c>
      <c r="X58" s="18">
        <v>0</v>
      </c>
      <c r="Z58" s="4">
        <v>40000</v>
      </c>
      <c r="AB58" s="18">
        <v>0</v>
      </c>
      <c r="AD58" s="18">
        <v>0</v>
      </c>
      <c r="AF58" s="18">
        <v>0</v>
      </c>
      <c r="AH58" s="4">
        <f>SUM(F58:AD58)</f>
        <v>812697</v>
      </c>
    </row>
    <row r="59" spans="1:65" s="4" customFormat="1">
      <c r="A59" s="4">
        <v>29</v>
      </c>
      <c r="B59" s="18" t="s">
        <v>518</v>
      </c>
      <c r="C59" s="18"/>
      <c r="D59" s="18" t="s">
        <v>48</v>
      </c>
      <c r="E59" s="18"/>
      <c r="F59" s="1">
        <v>0</v>
      </c>
      <c r="G59" s="1"/>
      <c r="H59" s="1">
        <v>2166257.2599999998</v>
      </c>
      <c r="I59" s="1"/>
      <c r="J59" s="1">
        <v>43064</v>
      </c>
      <c r="K59" s="1"/>
      <c r="L59" s="1">
        <v>65047.49</v>
      </c>
      <c r="M59" s="1"/>
      <c r="N59" s="1">
        <v>0</v>
      </c>
      <c r="O59" s="1"/>
      <c r="P59" s="1">
        <v>0</v>
      </c>
      <c r="Q59" s="1"/>
      <c r="R59" s="1">
        <v>6113.4</v>
      </c>
      <c r="S59" s="1"/>
      <c r="T59" s="1">
        <v>1357.42</v>
      </c>
      <c r="U59" s="1"/>
      <c r="V59" s="1">
        <v>9951.0400000000009</v>
      </c>
      <c r="W59" s="1"/>
      <c r="X59" s="1">
        <v>0</v>
      </c>
      <c r="Y59" s="1"/>
      <c r="Z59" s="1">
        <v>0</v>
      </c>
      <c r="AA59" s="1"/>
      <c r="AB59" s="1">
        <v>0</v>
      </c>
      <c r="AC59" s="1"/>
      <c r="AD59" s="1">
        <v>0</v>
      </c>
      <c r="AE59" s="1"/>
      <c r="AF59" s="1">
        <v>0</v>
      </c>
      <c r="AG59" s="18"/>
      <c r="AH59" s="4">
        <f>SUM(F59:AF59)</f>
        <v>2291790.61</v>
      </c>
    </row>
    <row r="60" spans="1:65" s="4" customFormat="1">
      <c r="A60" s="4">
        <v>29</v>
      </c>
      <c r="B60" s="18" t="s">
        <v>572</v>
      </c>
      <c r="C60" s="18"/>
      <c r="D60" s="18" t="s">
        <v>527</v>
      </c>
      <c r="E60" s="18"/>
      <c r="F60" s="1">
        <v>0</v>
      </c>
      <c r="G60" s="1"/>
      <c r="H60" s="1">
        <v>0</v>
      </c>
      <c r="I60" s="1"/>
      <c r="J60" s="1">
        <v>38473931</v>
      </c>
      <c r="K60" s="1"/>
      <c r="L60" s="1">
        <v>1986173</v>
      </c>
      <c r="M60" s="1"/>
      <c r="N60" s="1">
        <v>0</v>
      </c>
      <c r="O60" s="1"/>
      <c r="P60" s="1">
        <v>0</v>
      </c>
      <c r="Q60" s="1"/>
      <c r="R60" s="1">
        <v>25136</v>
      </c>
      <c r="S60" s="1"/>
      <c r="T60" s="1">
        <v>74751</v>
      </c>
      <c r="U60" s="1"/>
      <c r="V60" s="1">
        <v>654875</v>
      </c>
      <c r="W60" s="1"/>
      <c r="X60" s="1">
        <v>0</v>
      </c>
      <c r="Y60" s="1"/>
      <c r="Z60" s="1">
        <v>4845706</v>
      </c>
      <c r="AA60" s="1"/>
      <c r="AB60" s="1">
        <v>0</v>
      </c>
      <c r="AC60" s="1"/>
      <c r="AD60" s="1">
        <v>0</v>
      </c>
      <c r="AE60" s="1"/>
      <c r="AF60" s="1">
        <v>0</v>
      </c>
      <c r="AG60" s="18"/>
      <c r="AH60" s="4">
        <f>SUM(F60:AF60)</f>
        <v>46060572</v>
      </c>
    </row>
    <row r="61" spans="1:65" s="4" customFormat="1">
      <c r="A61" s="4">
        <v>58</v>
      </c>
      <c r="B61" s="4" t="s">
        <v>112</v>
      </c>
      <c r="D61" s="4" t="s">
        <v>113</v>
      </c>
      <c r="F61" s="18">
        <v>0</v>
      </c>
      <c r="H61" s="4">
        <v>3974374</v>
      </c>
      <c r="J61" s="18">
        <v>0</v>
      </c>
      <c r="L61" s="4">
        <v>132047</v>
      </c>
      <c r="N61" s="18">
        <v>0</v>
      </c>
      <c r="P61" s="4">
        <v>3244</v>
      </c>
      <c r="R61" s="4">
        <v>105744</v>
      </c>
      <c r="T61" s="4">
        <v>10696</v>
      </c>
      <c r="V61" s="4">
        <v>109065</v>
      </c>
      <c r="X61" s="18">
        <v>0</v>
      </c>
      <c r="Z61" s="18">
        <v>0</v>
      </c>
      <c r="AB61" s="18">
        <v>0</v>
      </c>
      <c r="AD61" s="4">
        <v>8356</v>
      </c>
      <c r="AF61" s="18">
        <v>0</v>
      </c>
      <c r="AH61" s="4">
        <f>SUM(F61:AD61)</f>
        <v>4343526</v>
      </c>
    </row>
    <row r="62" spans="1:65" s="4" customFormat="1">
      <c r="A62" s="4">
        <v>60</v>
      </c>
      <c r="B62" s="4" t="s">
        <v>298</v>
      </c>
      <c r="D62" s="4" t="s">
        <v>26</v>
      </c>
      <c r="F62" s="1">
        <v>0</v>
      </c>
      <c r="G62" s="1"/>
      <c r="H62" s="1">
        <v>359181.38</v>
      </c>
      <c r="I62" s="1"/>
      <c r="J62" s="1">
        <v>900</v>
      </c>
      <c r="K62" s="1"/>
      <c r="L62" s="1">
        <v>10511.7</v>
      </c>
      <c r="M62" s="1"/>
      <c r="N62" s="1">
        <v>0</v>
      </c>
      <c r="O62" s="1"/>
      <c r="P62" s="1">
        <v>0</v>
      </c>
      <c r="Q62" s="1"/>
      <c r="R62" s="1">
        <v>2139.1799999999998</v>
      </c>
      <c r="S62" s="1"/>
      <c r="T62" s="1">
        <v>17381.349999999999</v>
      </c>
      <c r="U62" s="1"/>
      <c r="V62" s="1">
        <v>22.59</v>
      </c>
      <c r="W62" s="1"/>
      <c r="X62" s="1">
        <v>0</v>
      </c>
      <c r="Y62" s="1"/>
      <c r="Z62" s="1">
        <v>0</v>
      </c>
      <c r="AA62" s="1"/>
      <c r="AB62" s="1">
        <v>0</v>
      </c>
      <c r="AC62" s="1"/>
      <c r="AD62" s="1">
        <v>0</v>
      </c>
      <c r="AE62" s="1"/>
      <c r="AF62" s="1">
        <v>0</v>
      </c>
      <c r="AH62" s="4">
        <f>SUM(F62:AF62)</f>
        <v>390136.2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</row>
    <row r="63" spans="1:65" s="4" customFormat="1">
      <c r="A63" s="4">
        <v>164</v>
      </c>
      <c r="B63" s="4" t="s">
        <v>114</v>
      </c>
      <c r="D63" s="4" t="s">
        <v>115</v>
      </c>
      <c r="F63" s="4">
        <v>3404192</v>
      </c>
      <c r="H63" s="4">
        <v>0</v>
      </c>
      <c r="J63" s="4">
        <v>5499242</v>
      </c>
      <c r="L63" s="4">
        <v>240484</v>
      </c>
      <c r="N63" s="4">
        <v>0</v>
      </c>
      <c r="P63" s="4">
        <v>0</v>
      </c>
      <c r="R63" s="4">
        <v>39795</v>
      </c>
      <c r="T63" s="4">
        <v>20410</v>
      </c>
      <c r="V63" s="4">
        <v>27502</v>
      </c>
      <c r="X63" s="4">
        <v>0</v>
      </c>
      <c r="Z63" s="4">
        <v>0</v>
      </c>
      <c r="AB63" s="4">
        <v>0</v>
      </c>
      <c r="AD63" s="4">
        <v>0</v>
      </c>
      <c r="AF63" s="4">
        <v>0</v>
      </c>
      <c r="AH63" s="4">
        <f>SUM(F63:AD63)</f>
        <v>9231625</v>
      </c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</row>
    <row r="64" spans="1:65" s="4" customFormat="1">
      <c r="A64" s="4">
        <v>131</v>
      </c>
      <c r="B64" s="4" t="s">
        <v>398</v>
      </c>
      <c r="D64" s="4" t="s">
        <v>19</v>
      </c>
      <c r="F64" s="4">
        <v>5962946</v>
      </c>
      <c r="H64" s="4">
        <v>0</v>
      </c>
      <c r="J64" s="4">
        <v>3516129</v>
      </c>
      <c r="L64" s="4">
        <v>112203</v>
      </c>
      <c r="N64" s="4">
        <v>20784</v>
      </c>
      <c r="P64" s="4">
        <v>0</v>
      </c>
      <c r="R64" s="4">
        <v>28680</v>
      </c>
      <c r="T64" s="4">
        <v>8931</v>
      </c>
      <c r="V64" s="4">
        <v>37755</v>
      </c>
      <c r="X64" s="4">
        <v>0</v>
      </c>
      <c r="Z64" s="4">
        <v>0</v>
      </c>
      <c r="AB64" s="4">
        <v>0</v>
      </c>
      <c r="AD64" s="4">
        <v>118211</v>
      </c>
      <c r="AF64" s="4">
        <v>0</v>
      </c>
      <c r="AH64" s="4">
        <f>SUM(F64:AD64)</f>
        <v>9805639</v>
      </c>
    </row>
    <row r="65" spans="1:65" s="4" customFormat="1">
      <c r="A65" s="4">
        <v>254</v>
      </c>
      <c r="B65" s="4" t="s">
        <v>399</v>
      </c>
      <c r="D65" s="4" t="s">
        <v>19</v>
      </c>
      <c r="F65" s="4">
        <v>31835190</v>
      </c>
      <c r="H65" s="4">
        <v>0</v>
      </c>
      <c r="J65" s="4">
        <v>29703109</v>
      </c>
      <c r="L65" s="4">
        <v>332036</v>
      </c>
      <c r="N65" s="4">
        <v>0</v>
      </c>
      <c r="P65" s="4">
        <v>2930834</v>
      </c>
      <c r="R65" s="4">
        <v>0</v>
      </c>
      <c r="T65" s="4">
        <v>514757</v>
      </c>
      <c r="V65" s="4">
        <v>541960</v>
      </c>
      <c r="X65" s="4">
        <v>0</v>
      </c>
      <c r="Z65" s="4">
        <v>0</v>
      </c>
      <c r="AB65" s="4">
        <v>0</v>
      </c>
      <c r="AD65" s="4">
        <v>0</v>
      </c>
      <c r="AF65" s="4">
        <v>0</v>
      </c>
      <c r="AH65" s="4">
        <f>SUM(F65:AD65)</f>
        <v>65857886</v>
      </c>
    </row>
    <row r="66" spans="1:65" s="4" customFormat="1">
      <c r="A66" s="4">
        <v>183</v>
      </c>
      <c r="B66" s="4" t="s">
        <v>116</v>
      </c>
      <c r="D66" s="4" t="s">
        <v>93</v>
      </c>
      <c r="F66" s="1">
        <v>131400.13</v>
      </c>
      <c r="G66" s="1"/>
      <c r="H66" s="1">
        <v>284956.82</v>
      </c>
      <c r="I66" s="1"/>
      <c r="J66" s="1">
        <v>69415.070000000007</v>
      </c>
      <c r="K66" s="1"/>
      <c r="L66" s="1">
        <v>16459.599999999999</v>
      </c>
      <c r="M66" s="1"/>
      <c r="N66" s="1">
        <v>0</v>
      </c>
      <c r="O66" s="1"/>
      <c r="P66" s="1">
        <v>0</v>
      </c>
      <c r="Q66" s="1"/>
      <c r="R66" s="1">
        <v>50236.31</v>
      </c>
      <c r="S66" s="1"/>
      <c r="T66" s="1">
        <v>8551.42</v>
      </c>
      <c r="U66" s="1"/>
      <c r="V66" s="1">
        <v>1477.4</v>
      </c>
      <c r="W66" s="1"/>
      <c r="X66" s="1">
        <v>0</v>
      </c>
      <c r="Y66" s="1"/>
      <c r="Z66" s="1">
        <v>0</v>
      </c>
      <c r="AA66" s="1"/>
      <c r="AB66" s="1">
        <v>0</v>
      </c>
      <c r="AC66" s="1"/>
      <c r="AD66" s="1">
        <v>0</v>
      </c>
      <c r="AE66" s="1"/>
      <c r="AF66" s="1">
        <v>0</v>
      </c>
      <c r="AH66" s="4">
        <f>SUM(F66:AF66)</f>
        <v>562496.75</v>
      </c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</row>
    <row r="67" spans="1:65" s="4" customFormat="1">
      <c r="A67" s="4">
        <v>258</v>
      </c>
      <c r="B67" s="4" t="s">
        <v>71</v>
      </c>
      <c r="D67" s="4" t="s">
        <v>49</v>
      </c>
      <c r="F67" s="1">
        <v>0</v>
      </c>
      <c r="G67" s="1"/>
      <c r="H67" s="1">
        <v>208534.43</v>
      </c>
      <c r="I67" s="1"/>
      <c r="J67" s="1">
        <v>0</v>
      </c>
      <c r="K67" s="1"/>
      <c r="L67" s="1">
        <v>6945.32</v>
      </c>
      <c r="M67" s="1"/>
      <c r="N67" s="1">
        <v>0</v>
      </c>
      <c r="O67" s="1"/>
      <c r="P67" s="1">
        <v>0</v>
      </c>
      <c r="Q67" s="1"/>
      <c r="R67" s="1">
        <v>463.8</v>
      </c>
      <c r="S67" s="1"/>
      <c r="T67" s="1">
        <v>703.08</v>
      </c>
      <c r="U67" s="1"/>
      <c r="V67" s="1">
        <v>379</v>
      </c>
      <c r="W67" s="1"/>
      <c r="X67" s="1">
        <v>1012</v>
      </c>
      <c r="Y67" s="1"/>
      <c r="Z67" s="1">
        <v>0</v>
      </c>
      <c r="AA67" s="1"/>
      <c r="AB67" s="1">
        <v>0</v>
      </c>
      <c r="AC67" s="1"/>
      <c r="AD67" s="1">
        <v>0</v>
      </c>
      <c r="AE67" s="1"/>
      <c r="AF67" s="1">
        <v>0</v>
      </c>
      <c r="AH67" s="4">
        <f>SUM(F67:AF67)</f>
        <v>218037.62999999998</v>
      </c>
    </row>
    <row r="68" spans="1:65" s="4" customFormat="1">
      <c r="A68" s="4">
        <v>71</v>
      </c>
      <c r="B68" s="18" t="s">
        <v>424</v>
      </c>
      <c r="C68" s="18"/>
      <c r="D68" s="18" t="s">
        <v>50</v>
      </c>
      <c r="E68" s="18"/>
      <c r="F68" s="1">
        <v>0</v>
      </c>
      <c r="G68" s="1"/>
      <c r="H68" s="1">
        <v>668256.94999999995</v>
      </c>
      <c r="I68" s="1"/>
      <c r="J68" s="1">
        <v>0</v>
      </c>
      <c r="K68" s="1"/>
      <c r="L68" s="1">
        <v>39415.89</v>
      </c>
      <c r="M68" s="1"/>
      <c r="N68" s="1">
        <v>0</v>
      </c>
      <c r="O68" s="1"/>
      <c r="P68" s="1">
        <v>0</v>
      </c>
      <c r="Q68" s="1"/>
      <c r="R68" s="1">
        <v>4083.57</v>
      </c>
      <c r="S68" s="1"/>
      <c r="T68" s="1">
        <v>2915.28</v>
      </c>
      <c r="U68" s="1"/>
      <c r="V68" s="1">
        <v>11560.04</v>
      </c>
      <c r="W68" s="1"/>
      <c r="X68" s="1">
        <v>0</v>
      </c>
      <c r="Y68" s="1"/>
      <c r="Z68" s="1">
        <v>0</v>
      </c>
      <c r="AA68" s="1"/>
      <c r="AB68" s="1">
        <v>0</v>
      </c>
      <c r="AC68" s="1"/>
      <c r="AD68" s="1">
        <v>0</v>
      </c>
      <c r="AE68" s="1"/>
      <c r="AF68" s="1">
        <v>0</v>
      </c>
      <c r="AG68" s="18"/>
      <c r="AH68" s="4">
        <f>SUM(F68:AF68)</f>
        <v>726231.73</v>
      </c>
    </row>
    <row r="69" spans="1:65" s="4" customFormat="1">
      <c r="A69" s="4">
        <v>260</v>
      </c>
      <c r="B69" s="4" t="s">
        <v>117</v>
      </c>
      <c r="D69" s="4" t="s">
        <v>91</v>
      </c>
      <c r="F69" s="4">
        <v>20981764</v>
      </c>
      <c r="H69" s="4">
        <v>20062676</v>
      </c>
      <c r="J69" s="4">
        <v>0</v>
      </c>
      <c r="L69" s="4">
        <v>1897114</v>
      </c>
      <c r="N69" s="18">
        <v>0</v>
      </c>
      <c r="P69" s="4">
        <v>737266</v>
      </c>
      <c r="R69" s="4">
        <v>144</v>
      </c>
      <c r="T69" s="4">
        <v>286385</v>
      </c>
      <c r="V69" s="4">
        <v>266828</v>
      </c>
      <c r="X69" s="18">
        <v>0</v>
      </c>
      <c r="Z69" s="4">
        <v>0</v>
      </c>
      <c r="AB69" s="18">
        <v>0</v>
      </c>
      <c r="AD69" s="18">
        <v>0</v>
      </c>
      <c r="AF69" s="18">
        <v>0</v>
      </c>
      <c r="AH69" s="4">
        <f>SUM(F69:AD69)</f>
        <v>44232177</v>
      </c>
    </row>
    <row r="70" spans="1:65" s="4" customFormat="1">
      <c r="A70" s="4">
        <v>175</v>
      </c>
      <c r="B70" s="4" t="s">
        <v>354</v>
      </c>
      <c r="D70" s="4" t="s">
        <v>69</v>
      </c>
      <c r="F70" s="1">
        <v>0</v>
      </c>
      <c r="G70" s="1"/>
      <c r="H70" s="1">
        <v>513227.76</v>
      </c>
      <c r="I70" s="1"/>
      <c r="J70" s="1">
        <v>12589.74</v>
      </c>
      <c r="K70" s="1"/>
      <c r="L70" s="1">
        <v>20237.490000000002</v>
      </c>
      <c r="M70" s="1"/>
      <c r="N70" s="1">
        <v>0</v>
      </c>
      <c r="O70" s="1"/>
      <c r="P70" s="1">
        <v>0</v>
      </c>
      <c r="Q70" s="1"/>
      <c r="R70" s="1">
        <v>31845.01</v>
      </c>
      <c r="S70" s="1"/>
      <c r="T70" s="1">
        <v>339.84</v>
      </c>
      <c r="U70" s="1"/>
      <c r="V70" s="1">
        <v>166.4</v>
      </c>
      <c r="W70" s="1"/>
      <c r="X70" s="1">
        <v>0</v>
      </c>
      <c r="Y70" s="1"/>
      <c r="Z70" s="1">
        <v>42000</v>
      </c>
      <c r="AA70" s="1"/>
      <c r="AB70" s="1">
        <v>0</v>
      </c>
      <c r="AC70" s="1"/>
      <c r="AD70" s="1">
        <v>0</v>
      </c>
      <c r="AE70" s="1"/>
      <c r="AF70" s="1">
        <v>0</v>
      </c>
      <c r="AH70" s="4">
        <f>SUM(F70:AF70)</f>
        <v>620406.24</v>
      </c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</row>
    <row r="71" spans="1:65" s="4" customFormat="1">
      <c r="A71" s="4">
        <v>94</v>
      </c>
      <c r="B71" s="4" t="s">
        <v>118</v>
      </c>
      <c r="D71" s="4" t="s">
        <v>42</v>
      </c>
      <c r="F71" s="4">
        <v>448989</v>
      </c>
      <c r="H71" s="18">
        <v>0</v>
      </c>
      <c r="J71" s="18">
        <v>0</v>
      </c>
      <c r="L71" s="4">
        <v>8284</v>
      </c>
      <c r="N71" s="18">
        <v>0</v>
      </c>
      <c r="P71" s="4">
        <v>235</v>
      </c>
      <c r="R71" s="4">
        <v>4041</v>
      </c>
      <c r="T71" s="4">
        <v>5795</v>
      </c>
      <c r="V71" s="4">
        <v>11864</v>
      </c>
      <c r="X71" s="18">
        <v>0</v>
      </c>
      <c r="Z71" s="4">
        <v>0</v>
      </c>
      <c r="AB71" s="4">
        <v>0</v>
      </c>
      <c r="AD71" s="18">
        <v>0</v>
      </c>
      <c r="AF71" s="18">
        <v>0</v>
      </c>
      <c r="AH71" s="4">
        <f>SUM(F71:AD71)</f>
        <v>479208</v>
      </c>
    </row>
    <row r="72" spans="1:65" s="4" customFormat="1">
      <c r="A72" s="4">
        <v>61</v>
      </c>
      <c r="B72" s="4" t="s">
        <v>119</v>
      </c>
      <c r="D72" s="4" t="s">
        <v>120</v>
      </c>
      <c r="F72" s="18">
        <v>0</v>
      </c>
      <c r="H72" s="4">
        <v>1118111</v>
      </c>
      <c r="J72" s="18">
        <v>0</v>
      </c>
      <c r="L72" s="4">
        <v>39265</v>
      </c>
      <c r="N72" s="18">
        <v>0</v>
      </c>
      <c r="P72" s="18">
        <v>0</v>
      </c>
      <c r="R72" s="4">
        <v>20184</v>
      </c>
      <c r="T72" s="4">
        <v>17378</v>
      </c>
      <c r="V72" s="4">
        <v>11537</v>
      </c>
      <c r="X72" s="18">
        <v>0</v>
      </c>
      <c r="Z72" s="18">
        <v>0</v>
      </c>
      <c r="AB72" s="18">
        <v>0</v>
      </c>
      <c r="AD72" s="18">
        <v>0</v>
      </c>
      <c r="AF72" s="18">
        <v>0</v>
      </c>
      <c r="AH72" s="4">
        <f>SUM(F72:AD72)</f>
        <v>1206475</v>
      </c>
    </row>
    <row r="73" spans="1:65" s="4" customFormat="1">
      <c r="A73" s="4">
        <v>30</v>
      </c>
      <c r="B73" s="18" t="s">
        <v>121</v>
      </c>
      <c r="C73" s="18"/>
      <c r="D73" s="18" t="s">
        <v>51</v>
      </c>
      <c r="E73" s="18"/>
      <c r="F73" s="1">
        <v>0</v>
      </c>
      <c r="G73" s="1"/>
      <c r="H73" s="1">
        <v>428719.72</v>
      </c>
      <c r="I73" s="1"/>
      <c r="J73" s="1">
        <v>0</v>
      </c>
      <c r="K73" s="1"/>
      <c r="L73" s="1">
        <v>11976.93</v>
      </c>
      <c r="M73" s="1"/>
      <c r="N73" s="1">
        <v>0</v>
      </c>
      <c r="O73" s="1"/>
      <c r="P73" s="1">
        <v>0</v>
      </c>
      <c r="Q73" s="1"/>
      <c r="R73" s="1">
        <v>10939.32</v>
      </c>
      <c r="S73" s="1"/>
      <c r="T73" s="1">
        <v>47571.18</v>
      </c>
      <c r="U73" s="1"/>
      <c r="V73" s="1">
        <v>1535.14</v>
      </c>
      <c r="W73" s="1"/>
      <c r="X73" s="1">
        <v>0</v>
      </c>
      <c r="Y73" s="1"/>
      <c r="Z73" s="1">
        <v>0</v>
      </c>
      <c r="AA73" s="1"/>
      <c r="AB73" s="1">
        <v>0</v>
      </c>
      <c r="AC73" s="1"/>
      <c r="AD73" s="1">
        <v>0</v>
      </c>
      <c r="AE73" s="1"/>
      <c r="AF73" s="1">
        <v>0</v>
      </c>
      <c r="AG73" s="18"/>
      <c r="AH73" s="4">
        <f>SUM(F73:AF73)</f>
        <v>500742.29</v>
      </c>
    </row>
    <row r="74" spans="1:65" s="4" customFormat="1">
      <c r="A74" s="4">
        <v>252</v>
      </c>
      <c r="B74" s="4" t="s">
        <v>543</v>
      </c>
      <c r="D74" s="4" t="s">
        <v>19</v>
      </c>
      <c r="F74" s="4">
        <v>42162129</v>
      </c>
      <c r="H74" s="4">
        <v>0</v>
      </c>
      <c r="J74" s="4">
        <v>27597213</v>
      </c>
      <c r="L74" s="4">
        <v>774172</v>
      </c>
      <c r="N74" s="4">
        <v>40081</v>
      </c>
      <c r="P74" s="4">
        <v>0</v>
      </c>
      <c r="R74" s="4">
        <v>5650</v>
      </c>
      <c r="T74" s="4">
        <v>140077</v>
      </c>
      <c r="V74" s="4">
        <f>6670+334798</f>
        <v>341468</v>
      </c>
      <c r="X74" s="4">
        <v>750</v>
      </c>
      <c r="Z74" s="4">
        <v>0</v>
      </c>
      <c r="AB74" s="4">
        <v>0</v>
      </c>
      <c r="AD74" s="4">
        <v>0</v>
      </c>
      <c r="AF74" s="4">
        <v>0</v>
      </c>
      <c r="AH74" s="4">
        <f>SUM(F74:AD74)</f>
        <v>71061540</v>
      </c>
    </row>
    <row r="75" spans="1:65" s="4" customFormat="1">
      <c r="B75" s="4" t="s">
        <v>566</v>
      </c>
      <c r="D75" s="4" t="s">
        <v>22</v>
      </c>
      <c r="F75" s="4">
        <v>1008620</v>
      </c>
      <c r="H75" s="4">
        <v>1316667</v>
      </c>
      <c r="J75" s="4">
        <v>0</v>
      </c>
      <c r="L75" s="4">
        <v>13464</v>
      </c>
      <c r="N75" s="4">
        <v>0</v>
      </c>
      <c r="P75" s="4">
        <v>0</v>
      </c>
      <c r="R75" s="4">
        <v>6150</v>
      </c>
      <c r="T75" s="4">
        <v>1247</v>
      </c>
      <c r="V75" s="4">
        <v>3555</v>
      </c>
      <c r="X75" s="4">
        <v>0</v>
      </c>
      <c r="Z75" s="4">
        <v>0</v>
      </c>
      <c r="AB75" s="4">
        <v>0</v>
      </c>
      <c r="AD75" s="4">
        <v>0</v>
      </c>
      <c r="AF75" s="4">
        <v>0</v>
      </c>
      <c r="AH75" s="4">
        <f>SUM(F75:AD75)</f>
        <v>2349703</v>
      </c>
    </row>
    <row r="76" spans="1:65" s="4" customFormat="1">
      <c r="A76" s="4">
        <v>8</v>
      </c>
      <c r="B76" s="4" t="s">
        <v>122</v>
      </c>
      <c r="D76" s="4" t="s">
        <v>54</v>
      </c>
      <c r="F76" s="4">
        <v>7850485</v>
      </c>
      <c r="H76" s="4">
        <v>0</v>
      </c>
      <c r="J76" s="4">
        <v>17672232</v>
      </c>
      <c r="L76" s="4">
        <v>641484</v>
      </c>
      <c r="N76" s="4">
        <v>0</v>
      </c>
      <c r="P76" s="4">
        <v>98804</v>
      </c>
      <c r="R76" s="4">
        <v>72174</v>
      </c>
      <c r="T76" s="4">
        <v>42784</v>
      </c>
      <c r="V76" s="4">
        <v>65596</v>
      </c>
      <c r="X76" s="4">
        <v>0</v>
      </c>
      <c r="Z76" s="4">
        <v>0</v>
      </c>
      <c r="AB76" s="4">
        <v>0</v>
      </c>
      <c r="AD76" s="4">
        <v>0</v>
      </c>
      <c r="AF76" s="4">
        <v>0</v>
      </c>
      <c r="AH76" s="4">
        <f>SUM(F76:AD76)</f>
        <v>26443559</v>
      </c>
    </row>
    <row r="77" spans="1:65" s="4" customFormat="1">
      <c r="A77" s="4">
        <v>238</v>
      </c>
      <c r="B77" s="4" t="s">
        <v>123</v>
      </c>
      <c r="D77" s="4" t="s">
        <v>124</v>
      </c>
      <c r="F77" s="4">
        <f>503190+6874</f>
        <v>510064</v>
      </c>
      <c r="H77" s="4">
        <f>1204550+1238</f>
        <v>1205788</v>
      </c>
      <c r="J77" s="4">
        <v>0</v>
      </c>
      <c r="L77" s="4">
        <v>30120</v>
      </c>
      <c r="N77" s="18">
        <v>0</v>
      </c>
      <c r="P77" s="4">
        <v>319</v>
      </c>
      <c r="R77" s="4">
        <v>7173</v>
      </c>
      <c r="T77" s="4">
        <v>5002</v>
      </c>
      <c r="V77" s="4">
        <v>17328</v>
      </c>
      <c r="X77" s="18">
        <v>0</v>
      </c>
      <c r="Z77" s="18">
        <v>0</v>
      </c>
      <c r="AB77" s="18">
        <v>0</v>
      </c>
      <c r="AD77" s="18">
        <v>0</v>
      </c>
      <c r="AF77" s="18">
        <v>0</v>
      </c>
      <c r="AH77" s="4">
        <f>SUM(F77:AD77)</f>
        <v>1775794</v>
      </c>
    </row>
    <row r="78" spans="1:65" s="4" customFormat="1">
      <c r="A78" s="4">
        <v>82</v>
      </c>
      <c r="B78" s="4" t="s">
        <v>125</v>
      </c>
      <c r="D78" s="4" t="s">
        <v>69</v>
      </c>
      <c r="F78" s="4">
        <v>0</v>
      </c>
      <c r="H78" s="4">
        <v>1666758</v>
      </c>
      <c r="J78" s="4">
        <v>9253</v>
      </c>
      <c r="L78" s="4">
        <v>59175</v>
      </c>
      <c r="N78" s="18">
        <v>0</v>
      </c>
      <c r="P78" s="4">
        <v>0</v>
      </c>
      <c r="R78" s="4">
        <v>394289</v>
      </c>
      <c r="T78" s="4">
        <v>3142</v>
      </c>
      <c r="V78" s="4">
        <v>20305</v>
      </c>
      <c r="X78" s="4">
        <v>0</v>
      </c>
      <c r="Z78" s="4">
        <v>0</v>
      </c>
      <c r="AB78" s="4">
        <v>0</v>
      </c>
      <c r="AD78" s="4">
        <v>0</v>
      </c>
      <c r="AF78" s="4">
        <v>0</v>
      </c>
      <c r="AH78" s="4">
        <f>SUM(F78:AD78)</f>
        <v>2152922</v>
      </c>
    </row>
    <row r="79" spans="1:65" s="4" customFormat="1">
      <c r="A79" s="4">
        <v>41</v>
      </c>
      <c r="B79" s="18" t="s">
        <v>126</v>
      </c>
      <c r="C79" s="18"/>
      <c r="D79" s="18" t="s">
        <v>96</v>
      </c>
      <c r="E79" s="18"/>
      <c r="F79" s="1">
        <v>36382.97</v>
      </c>
      <c r="G79" s="1"/>
      <c r="H79" s="1">
        <v>355955.01</v>
      </c>
      <c r="I79" s="1"/>
      <c r="J79" s="1">
        <v>20407.12</v>
      </c>
      <c r="K79" s="1"/>
      <c r="L79" s="1">
        <v>7700.22</v>
      </c>
      <c r="M79" s="1"/>
      <c r="N79" s="1">
        <v>0</v>
      </c>
      <c r="O79" s="1"/>
      <c r="P79" s="1">
        <v>0</v>
      </c>
      <c r="Q79" s="1"/>
      <c r="R79" s="1">
        <v>25469.43</v>
      </c>
      <c r="S79" s="1"/>
      <c r="T79" s="1">
        <v>6237.87</v>
      </c>
      <c r="U79" s="1"/>
      <c r="V79" s="1">
        <v>6560.67</v>
      </c>
      <c r="W79" s="1"/>
      <c r="X79" s="1">
        <v>0</v>
      </c>
      <c r="Y79" s="1"/>
      <c r="Z79" s="1">
        <v>0</v>
      </c>
      <c r="AA79" s="1"/>
      <c r="AB79" s="1">
        <v>0</v>
      </c>
      <c r="AC79" s="1"/>
      <c r="AD79" s="1">
        <v>0</v>
      </c>
      <c r="AE79" s="1"/>
      <c r="AF79" s="1">
        <v>0</v>
      </c>
      <c r="AG79" s="18"/>
      <c r="AH79" s="4">
        <f>SUM(F79:AF79)</f>
        <v>458713.28999999992</v>
      </c>
    </row>
    <row r="80" spans="1:65" s="5" customFormat="1">
      <c r="A80" s="4">
        <v>14</v>
      </c>
      <c r="B80" s="4" t="s">
        <v>127</v>
      </c>
      <c r="C80" s="4"/>
      <c r="D80" s="4" t="s">
        <v>41</v>
      </c>
      <c r="E80" s="4"/>
      <c r="F80" s="1">
        <v>92240.1</v>
      </c>
      <c r="G80" s="1"/>
      <c r="H80" s="1">
        <v>240589.05</v>
      </c>
      <c r="I80" s="1"/>
      <c r="J80" s="1">
        <v>25921.08</v>
      </c>
      <c r="K80" s="1"/>
      <c r="L80" s="1">
        <v>15723.24</v>
      </c>
      <c r="M80" s="1"/>
      <c r="N80" s="1">
        <v>0</v>
      </c>
      <c r="O80" s="1"/>
      <c r="P80" s="1">
        <v>0</v>
      </c>
      <c r="Q80" s="1"/>
      <c r="R80" s="1">
        <v>4260.5600000000004</v>
      </c>
      <c r="S80" s="1"/>
      <c r="T80" s="1">
        <v>973.94</v>
      </c>
      <c r="U80" s="1"/>
      <c r="V80" s="1">
        <v>0</v>
      </c>
      <c r="W80" s="1"/>
      <c r="X80" s="1">
        <v>1.3</v>
      </c>
      <c r="Y80" s="1"/>
      <c r="Z80" s="1">
        <v>0</v>
      </c>
      <c r="AA80" s="1"/>
      <c r="AB80" s="1">
        <v>0</v>
      </c>
      <c r="AC80" s="1"/>
      <c r="AD80" s="1">
        <v>0</v>
      </c>
      <c r="AE80" s="1"/>
      <c r="AF80" s="1">
        <v>0</v>
      </c>
      <c r="AG80" s="4"/>
      <c r="AH80" s="4">
        <f>SUM(F80:AF80)</f>
        <v>379709.27</v>
      </c>
    </row>
    <row r="81" spans="1:65" s="4" customFormat="1">
      <c r="A81" s="4">
        <v>256</v>
      </c>
      <c r="B81" s="4" t="s">
        <v>128</v>
      </c>
      <c r="D81" s="4" t="s">
        <v>62</v>
      </c>
      <c r="F81" s="18">
        <v>0</v>
      </c>
      <c r="H81" s="18">
        <v>247776</v>
      </c>
      <c r="J81" s="18">
        <v>0</v>
      </c>
      <c r="L81" s="4">
        <v>11111</v>
      </c>
      <c r="N81" s="18">
        <v>0</v>
      </c>
      <c r="P81" s="18">
        <v>0</v>
      </c>
      <c r="R81" s="4">
        <v>47223</v>
      </c>
      <c r="T81" s="4">
        <v>6792</v>
      </c>
      <c r="V81" s="18">
        <v>0</v>
      </c>
      <c r="X81" s="18">
        <v>0</v>
      </c>
      <c r="Z81" s="18">
        <v>0</v>
      </c>
      <c r="AB81" s="18">
        <v>0</v>
      </c>
      <c r="AD81" s="18">
        <v>0</v>
      </c>
      <c r="AF81" s="18">
        <v>0</v>
      </c>
      <c r="AH81" s="4">
        <f>SUM(F81:AD81)</f>
        <v>312902</v>
      </c>
    </row>
    <row r="82" spans="1:65" s="4" customFormat="1">
      <c r="A82" s="4">
        <v>250</v>
      </c>
      <c r="B82" s="4" t="s">
        <v>129</v>
      </c>
      <c r="D82" s="4" t="s">
        <v>26</v>
      </c>
      <c r="F82" s="18">
        <v>0</v>
      </c>
      <c r="H82" s="4">
        <v>602879</v>
      </c>
      <c r="J82" s="18">
        <v>0</v>
      </c>
      <c r="L82" s="4">
        <v>28213</v>
      </c>
      <c r="N82" s="18">
        <v>0</v>
      </c>
      <c r="P82" s="18">
        <v>0</v>
      </c>
      <c r="R82" s="4">
        <v>640</v>
      </c>
      <c r="T82" s="4">
        <v>2844</v>
      </c>
      <c r="V82" s="4">
        <v>3565</v>
      </c>
      <c r="X82" s="18">
        <v>0</v>
      </c>
      <c r="Z82" s="18">
        <v>0</v>
      </c>
      <c r="AB82" s="18">
        <v>0</v>
      </c>
      <c r="AD82" s="18">
        <v>0</v>
      </c>
      <c r="AF82" s="18">
        <v>0</v>
      </c>
      <c r="AH82" s="4">
        <f>SUM(F82:AD82)</f>
        <v>638141</v>
      </c>
    </row>
    <row r="83" spans="1:65" s="4" customFormat="1">
      <c r="A83" s="4">
        <v>3</v>
      </c>
      <c r="B83" s="4" t="s">
        <v>299</v>
      </c>
      <c r="D83" s="4" t="s">
        <v>130</v>
      </c>
      <c r="F83" s="1">
        <v>150113.31</v>
      </c>
      <c r="G83" s="1"/>
      <c r="H83" s="1">
        <v>959313.01</v>
      </c>
      <c r="I83" s="1"/>
      <c r="J83" s="1">
        <v>53581.26</v>
      </c>
      <c r="K83" s="1"/>
      <c r="L83" s="1">
        <v>42897.5</v>
      </c>
      <c r="M83" s="1"/>
      <c r="N83" s="1">
        <v>0</v>
      </c>
      <c r="O83" s="1"/>
      <c r="P83" s="1">
        <v>0</v>
      </c>
      <c r="Q83" s="1"/>
      <c r="R83" s="1">
        <v>9249.0400000000009</v>
      </c>
      <c r="S83" s="1"/>
      <c r="T83" s="1">
        <v>4426.43</v>
      </c>
      <c r="U83" s="1"/>
      <c r="V83" s="1">
        <v>19959.72</v>
      </c>
      <c r="W83" s="1"/>
      <c r="X83" s="1">
        <v>635.73</v>
      </c>
      <c r="Y83" s="1"/>
      <c r="Z83" s="1">
        <v>0</v>
      </c>
      <c r="AA83" s="1"/>
      <c r="AB83" s="1">
        <v>0</v>
      </c>
      <c r="AC83" s="1"/>
      <c r="AD83" s="1">
        <v>0</v>
      </c>
      <c r="AE83" s="1"/>
      <c r="AF83" s="1">
        <v>0</v>
      </c>
      <c r="AH83" s="4">
        <f>SUM(F83:AF83)</f>
        <v>1240176</v>
      </c>
    </row>
    <row r="84" spans="1:65" s="4" customFormat="1">
      <c r="A84" s="4">
        <v>235</v>
      </c>
      <c r="B84" s="4" t="s">
        <v>131</v>
      </c>
      <c r="D84" s="4" t="s">
        <v>86</v>
      </c>
      <c r="F84" s="18">
        <v>51573</v>
      </c>
      <c r="H84" s="4">
        <v>20435</v>
      </c>
      <c r="J84" s="4">
        <v>3074</v>
      </c>
      <c r="L84" s="4">
        <v>59</v>
      </c>
      <c r="N84" s="18">
        <v>0</v>
      </c>
      <c r="P84" s="18">
        <v>0</v>
      </c>
      <c r="R84" s="4">
        <v>830</v>
      </c>
      <c r="T84" s="4">
        <v>2273</v>
      </c>
      <c r="V84" s="18">
        <v>0</v>
      </c>
      <c r="X84" s="18">
        <v>0</v>
      </c>
      <c r="Z84" s="18">
        <v>0</v>
      </c>
      <c r="AB84" s="18">
        <v>0</v>
      </c>
      <c r="AD84" s="18">
        <v>0</v>
      </c>
      <c r="AF84" s="18">
        <v>0</v>
      </c>
      <c r="AH84" s="4">
        <f>SUM(F84:AD84)</f>
        <v>78244</v>
      </c>
    </row>
    <row r="85" spans="1:65" s="4" customFormat="1">
      <c r="A85" s="4">
        <v>123</v>
      </c>
      <c r="B85" s="18" t="s">
        <v>426</v>
      </c>
      <c r="C85" s="18"/>
      <c r="D85" s="18" t="s">
        <v>19</v>
      </c>
      <c r="E85" s="18"/>
      <c r="F85" s="1">
        <v>1430866.67</v>
      </c>
      <c r="G85" s="1"/>
      <c r="H85" s="1">
        <v>1366435.6</v>
      </c>
      <c r="I85" s="1"/>
      <c r="J85" s="1">
        <v>58000</v>
      </c>
      <c r="K85" s="1"/>
      <c r="L85" s="1">
        <v>4039.27</v>
      </c>
      <c r="M85" s="1"/>
      <c r="N85" s="1">
        <v>0</v>
      </c>
      <c r="O85" s="1"/>
      <c r="P85" s="1">
        <v>0</v>
      </c>
      <c r="Q85" s="1"/>
      <c r="R85" s="1">
        <v>10062.26</v>
      </c>
      <c r="S85" s="1"/>
      <c r="T85" s="1">
        <v>276.27</v>
      </c>
      <c r="U85" s="1"/>
      <c r="V85" s="1">
        <v>7164.13</v>
      </c>
      <c r="W85" s="1"/>
      <c r="X85" s="1">
        <v>0</v>
      </c>
      <c r="Y85" s="1"/>
      <c r="Z85" s="1">
        <v>0</v>
      </c>
      <c r="AA85" s="1"/>
      <c r="AB85" s="1">
        <v>0</v>
      </c>
      <c r="AC85" s="1"/>
      <c r="AD85" s="1">
        <v>0</v>
      </c>
      <c r="AE85" s="1"/>
      <c r="AF85" s="1">
        <v>0</v>
      </c>
      <c r="AG85" s="18"/>
      <c r="AH85" s="4">
        <f>SUM(F85:AF85)</f>
        <v>2876844.1999999997</v>
      </c>
    </row>
    <row r="86" spans="1:65" s="4" customFormat="1">
      <c r="A86" s="4">
        <v>148</v>
      </c>
      <c r="B86" s="4" t="s">
        <v>514</v>
      </c>
      <c r="D86" s="4" t="s">
        <v>50</v>
      </c>
      <c r="F86" s="1">
        <v>0</v>
      </c>
      <c r="G86" s="1"/>
      <c r="H86" s="1">
        <v>619346.84</v>
      </c>
      <c r="I86" s="1"/>
      <c r="J86" s="1">
        <v>0</v>
      </c>
      <c r="K86" s="1"/>
      <c r="L86" s="1">
        <v>10618.76</v>
      </c>
      <c r="M86" s="1"/>
      <c r="N86" s="1">
        <v>0</v>
      </c>
      <c r="O86" s="1"/>
      <c r="P86" s="1">
        <v>0</v>
      </c>
      <c r="Q86" s="1"/>
      <c r="R86" s="1">
        <v>3163.85</v>
      </c>
      <c r="S86" s="1"/>
      <c r="T86" s="1">
        <v>3492.14</v>
      </c>
      <c r="U86" s="1"/>
      <c r="V86" s="1">
        <v>22081.94</v>
      </c>
      <c r="W86" s="1"/>
      <c r="X86" s="1">
        <v>0</v>
      </c>
      <c r="Y86" s="1"/>
      <c r="Z86" s="1">
        <v>0</v>
      </c>
      <c r="AA86" s="1"/>
      <c r="AB86" s="1">
        <v>0</v>
      </c>
      <c r="AC86" s="1"/>
      <c r="AD86" s="1">
        <v>0</v>
      </c>
      <c r="AE86" s="1"/>
      <c r="AF86" s="1">
        <v>0</v>
      </c>
      <c r="AH86" s="4">
        <f>SUM(F86:AD86)</f>
        <v>658703.52999999991</v>
      </c>
    </row>
    <row r="87" spans="1:65" s="4" customFormat="1">
      <c r="N87" s="18"/>
      <c r="P87" s="18"/>
      <c r="R87" s="18"/>
      <c r="X87" s="18"/>
      <c r="Z87" s="18"/>
      <c r="AB87" s="18"/>
      <c r="AD87" s="18"/>
      <c r="AF87" s="18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</row>
    <row r="88" spans="1:65" s="4" customFormat="1">
      <c r="N88" s="18"/>
      <c r="P88" s="18"/>
      <c r="R88" s="18"/>
      <c r="X88" s="18"/>
      <c r="Z88" s="18"/>
      <c r="AB88" s="18"/>
      <c r="AD88" s="18"/>
      <c r="AF88" s="18"/>
      <c r="AH88" s="27" t="s">
        <v>538</v>
      </c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</row>
    <row r="89" spans="1:65">
      <c r="B89" s="3" t="s">
        <v>491</v>
      </c>
    </row>
    <row r="90" spans="1:65">
      <c r="B90" s="3" t="s">
        <v>565</v>
      </c>
    </row>
    <row r="91" spans="1:65">
      <c r="B91" s="24" t="s">
        <v>7</v>
      </c>
    </row>
    <row r="92" spans="1:65" s="19" customFormat="1">
      <c r="H92" s="19" t="s">
        <v>279</v>
      </c>
    </row>
    <row r="93" spans="1:65" s="19" customFormat="1">
      <c r="F93" s="19" t="s">
        <v>31</v>
      </c>
      <c r="H93" s="19" t="s">
        <v>280</v>
      </c>
      <c r="P93" s="19" t="s">
        <v>29</v>
      </c>
      <c r="R93" s="19" t="s">
        <v>286</v>
      </c>
      <c r="X93" s="19" t="s">
        <v>291</v>
      </c>
      <c r="AD93" s="19" t="s">
        <v>0</v>
      </c>
    </row>
    <row r="94" spans="1:65" s="19" customFormat="1" ht="12" customHeight="1">
      <c r="F94" s="19" t="s">
        <v>0</v>
      </c>
      <c r="H94" s="19" t="s">
        <v>281</v>
      </c>
      <c r="J94" s="19" t="s">
        <v>345</v>
      </c>
      <c r="L94" s="19" t="s">
        <v>283</v>
      </c>
      <c r="P94" s="19" t="s">
        <v>285</v>
      </c>
      <c r="R94" s="19" t="s">
        <v>287</v>
      </c>
      <c r="T94" s="19" t="s">
        <v>289</v>
      </c>
      <c r="X94" s="19" t="s">
        <v>292</v>
      </c>
      <c r="AD94" s="19" t="s">
        <v>293</v>
      </c>
      <c r="AF94" s="19" t="s">
        <v>509</v>
      </c>
    </row>
    <row r="95" spans="1:65" s="19" customFormat="1" ht="12" customHeight="1">
      <c r="A95" s="19" t="s">
        <v>525</v>
      </c>
      <c r="B95" s="20" t="s">
        <v>5</v>
      </c>
      <c r="D95" s="20" t="s">
        <v>6</v>
      </c>
      <c r="F95" s="20" t="s">
        <v>278</v>
      </c>
      <c r="H95" s="20" t="s">
        <v>282</v>
      </c>
      <c r="J95" s="20" t="s">
        <v>346</v>
      </c>
      <c r="L95" s="20" t="s">
        <v>284</v>
      </c>
      <c r="N95" s="20" t="s">
        <v>505</v>
      </c>
      <c r="P95" s="20" t="s">
        <v>507</v>
      </c>
      <c r="R95" s="20" t="s">
        <v>288</v>
      </c>
      <c r="T95" s="20" t="s">
        <v>290</v>
      </c>
      <c r="V95" s="20" t="s">
        <v>1</v>
      </c>
      <c r="X95" s="20" t="s">
        <v>32</v>
      </c>
      <c r="Z95" s="20" t="s">
        <v>479</v>
      </c>
      <c r="AB95" s="20" t="s">
        <v>480</v>
      </c>
      <c r="AD95" s="20" t="s">
        <v>294</v>
      </c>
      <c r="AF95" s="20" t="s">
        <v>395</v>
      </c>
      <c r="AH95" s="29" t="s">
        <v>28</v>
      </c>
    </row>
    <row r="96" spans="1:65" s="4" customFormat="1">
      <c r="A96" s="4">
        <v>151.1</v>
      </c>
      <c r="B96" s="21" t="s">
        <v>132</v>
      </c>
      <c r="C96" s="21"/>
      <c r="D96" s="21" t="s">
        <v>50</v>
      </c>
      <c r="E96" s="21"/>
      <c r="F96" s="2">
        <v>0</v>
      </c>
      <c r="G96" s="2"/>
      <c r="H96" s="2">
        <v>362798.43</v>
      </c>
      <c r="I96" s="2"/>
      <c r="J96" s="2">
        <v>0</v>
      </c>
      <c r="K96" s="2"/>
      <c r="L96" s="2">
        <v>17166.560000000001</v>
      </c>
      <c r="M96" s="2"/>
      <c r="N96" s="2">
        <v>0</v>
      </c>
      <c r="O96" s="2"/>
      <c r="P96" s="2">
        <v>0</v>
      </c>
      <c r="Q96" s="2"/>
      <c r="R96" s="2">
        <v>1890.26</v>
      </c>
      <c r="S96" s="2"/>
      <c r="T96" s="2">
        <v>7358.42</v>
      </c>
      <c r="U96" s="2"/>
      <c r="V96" s="2">
        <v>1447.03</v>
      </c>
      <c r="W96" s="2"/>
      <c r="X96" s="2">
        <v>0</v>
      </c>
      <c r="Y96" s="2"/>
      <c r="Z96" s="2">
        <v>0</v>
      </c>
      <c r="AA96" s="2"/>
      <c r="AB96" s="2">
        <v>0</v>
      </c>
      <c r="AC96" s="2"/>
      <c r="AD96" s="2">
        <v>0</v>
      </c>
      <c r="AE96" s="2"/>
      <c r="AF96" s="2">
        <v>0</v>
      </c>
      <c r="AG96" s="21"/>
      <c r="AH96" s="5">
        <f>SUM(F96:AF96)</f>
        <v>390660.7</v>
      </c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</row>
    <row r="97" spans="1:65" s="4" customFormat="1">
      <c r="A97" s="4">
        <v>86</v>
      </c>
      <c r="B97" s="4" t="s">
        <v>400</v>
      </c>
      <c r="D97" s="4" t="s">
        <v>20</v>
      </c>
      <c r="F97" s="18">
        <f>871309+938014</f>
        <v>1809323</v>
      </c>
      <c r="G97" s="18"/>
      <c r="H97" s="18">
        <v>0</v>
      </c>
      <c r="I97" s="18"/>
      <c r="J97" s="18">
        <v>142567</v>
      </c>
      <c r="K97" s="18"/>
      <c r="L97" s="18">
        <v>65943</v>
      </c>
      <c r="M97" s="18"/>
      <c r="N97" s="18">
        <v>0</v>
      </c>
      <c r="O97" s="18"/>
      <c r="P97" s="18">
        <v>1860</v>
      </c>
      <c r="Q97" s="18"/>
      <c r="R97" s="18">
        <v>20508</v>
      </c>
      <c r="S97" s="18"/>
      <c r="T97" s="18">
        <v>28094</v>
      </c>
      <c r="U97" s="18"/>
      <c r="V97" s="18">
        <v>2695</v>
      </c>
      <c r="W97" s="18"/>
      <c r="X97" s="18">
        <v>0</v>
      </c>
      <c r="Y97" s="18"/>
      <c r="Z97" s="18">
        <v>0</v>
      </c>
      <c r="AA97" s="18"/>
      <c r="AB97" s="18">
        <v>0</v>
      </c>
      <c r="AC97" s="18"/>
      <c r="AD97" s="18">
        <v>0</v>
      </c>
      <c r="AE97" s="18"/>
      <c r="AF97" s="18">
        <v>0</v>
      </c>
      <c r="AH97" s="4">
        <f>SUM(F97:AD97)</f>
        <v>2070990</v>
      </c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</row>
    <row r="98" spans="1:65" s="4" customFormat="1">
      <c r="A98" s="4">
        <v>87</v>
      </c>
      <c r="B98" s="4" t="s">
        <v>133</v>
      </c>
      <c r="D98" s="4" t="s">
        <v>56</v>
      </c>
      <c r="F98" s="4">
        <v>964157</v>
      </c>
      <c r="H98" s="4">
        <v>2028819</v>
      </c>
      <c r="J98" s="18">
        <v>0</v>
      </c>
      <c r="L98" s="4">
        <v>104324</v>
      </c>
      <c r="N98" s="18">
        <v>0</v>
      </c>
      <c r="P98" s="18">
        <v>0</v>
      </c>
      <c r="R98" s="4">
        <v>35018</v>
      </c>
      <c r="T98" s="4">
        <v>13835</v>
      </c>
      <c r="V98" s="4">
        <v>9684</v>
      </c>
      <c r="X98" s="18">
        <v>0</v>
      </c>
      <c r="Z98" s="4">
        <v>0</v>
      </c>
      <c r="AB98" s="18">
        <v>0</v>
      </c>
      <c r="AD98" s="18">
        <v>0</v>
      </c>
      <c r="AF98" s="18">
        <v>0</v>
      </c>
      <c r="AH98" s="4">
        <f>SUM(F98:AD98)</f>
        <v>3155837</v>
      </c>
    </row>
    <row r="99" spans="1:65" s="4" customFormat="1">
      <c r="A99" s="4">
        <v>13</v>
      </c>
      <c r="B99" s="4" t="s">
        <v>18</v>
      </c>
      <c r="D99" s="4" t="s">
        <v>19</v>
      </c>
      <c r="F99" s="4">
        <v>2298462</v>
      </c>
      <c r="H99" s="4">
        <f>1745397+1250</f>
        <v>1746647</v>
      </c>
      <c r="J99" s="4">
        <v>577325</v>
      </c>
      <c r="L99" s="4">
        <v>112813</v>
      </c>
      <c r="N99" s="18">
        <v>0</v>
      </c>
      <c r="P99" s="4">
        <v>0</v>
      </c>
      <c r="R99" s="4">
        <v>900</v>
      </c>
      <c r="T99" s="4">
        <v>76942</v>
      </c>
      <c r="V99" s="4">
        <v>17770</v>
      </c>
      <c r="X99" s="4">
        <v>0</v>
      </c>
      <c r="Z99" s="4">
        <v>0</v>
      </c>
      <c r="AB99" s="4">
        <v>0</v>
      </c>
      <c r="AD99" s="18">
        <v>0</v>
      </c>
      <c r="AF99" s="4">
        <v>0</v>
      </c>
      <c r="AH99" s="4">
        <f>SUM(F99:AD99)</f>
        <v>4830859</v>
      </c>
    </row>
    <row r="100" spans="1:65" s="4" customFormat="1">
      <c r="A100" s="4">
        <v>83</v>
      </c>
      <c r="B100" s="18" t="s">
        <v>134</v>
      </c>
      <c r="C100" s="18"/>
      <c r="D100" s="18" t="s">
        <v>41</v>
      </c>
      <c r="E100" s="18"/>
      <c r="F100" s="1">
        <v>0</v>
      </c>
      <c r="G100" s="1"/>
      <c r="H100" s="1">
        <v>263679.84000000003</v>
      </c>
      <c r="I100" s="1"/>
      <c r="J100" s="1">
        <v>0</v>
      </c>
      <c r="K100" s="1"/>
      <c r="L100" s="1">
        <v>7282.72</v>
      </c>
      <c r="M100" s="1"/>
      <c r="N100" s="1">
        <v>0</v>
      </c>
      <c r="O100" s="1"/>
      <c r="P100" s="1">
        <v>0</v>
      </c>
      <c r="Q100" s="1"/>
      <c r="R100" s="1">
        <v>10351.5</v>
      </c>
      <c r="S100" s="1"/>
      <c r="T100" s="1">
        <v>541.91</v>
      </c>
      <c r="U100" s="1"/>
      <c r="V100" s="1">
        <v>6569.18</v>
      </c>
      <c r="W100" s="1"/>
      <c r="X100" s="1">
        <v>0</v>
      </c>
      <c r="Y100" s="1"/>
      <c r="Z100" s="1">
        <v>0</v>
      </c>
      <c r="AA100" s="1"/>
      <c r="AB100" s="1">
        <v>0</v>
      </c>
      <c r="AC100" s="1"/>
      <c r="AD100" s="1">
        <v>0</v>
      </c>
      <c r="AE100" s="1"/>
      <c r="AF100" s="1">
        <v>0</v>
      </c>
      <c r="AG100" s="18"/>
      <c r="AH100" s="4">
        <f>SUM(F100:AF100)</f>
        <v>288425.14999999997</v>
      </c>
    </row>
    <row r="101" spans="1:65" s="4" customFormat="1">
      <c r="A101" s="4">
        <v>231</v>
      </c>
      <c r="B101" s="4" t="s">
        <v>408</v>
      </c>
      <c r="D101" s="4" t="s">
        <v>66</v>
      </c>
      <c r="F101" s="4">
        <v>923506</v>
      </c>
      <c r="H101" s="4">
        <v>2309181</v>
      </c>
      <c r="J101" s="4">
        <v>15290</v>
      </c>
      <c r="L101" s="4">
        <v>140720</v>
      </c>
      <c r="N101" s="18">
        <v>0</v>
      </c>
      <c r="P101" s="18">
        <v>0</v>
      </c>
      <c r="R101" s="18">
        <v>953</v>
      </c>
      <c r="T101" s="4">
        <v>2582</v>
      </c>
      <c r="V101" s="4">
        <v>21991</v>
      </c>
      <c r="X101" s="18">
        <v>0</v>
      </c>
      <c r="Z101" s="18">
        <v>0</v>
      </c>
      <c r="AB101" s="18">
        <v>0</v>
      </c>
      <c r="AD101" s="18">
        <v>0</v>
      </c>
      <c r="AF101" s="18">
        <v>0</v>
      </c>
      <c r="AH101" s="4">
        <f>SUM(F101:AD101)</f>
        <v>3414223</v>
      </c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</row>
    <row r="102" spans="1:65" s="4" customFormat="1">
      <c r="A102" s="4">
        <v>40</v>
      </c>
      <c r="B102" s="5" t="s">
        <v>135</v>
      </c>
      <c r="C102" s="5"/>
      <c r="D102" s="5" t="s">
        <v>15</v>
      </c>
      <c r="E102" s="5"/>
      <c r="F102" s="4">
        <v>120811</v>
      </c>
      <c r="H102" s="4">
        <v>231479</v>
      </c>
      <c r="J102" s="18">
        <v>0</v>
      </c>
      <c r="L102" s="4">
        <v>1723</v>
      </c>
      <c r="N102" s="18">
        <v>0</v>
      </c>
      <c r="P102" s="18">
        <v>0</v>
      </c>
      <c r="R102" s="4">
        <v>9307</v>
      </c>
      <c r="T102" s="4">
        <v>3075</v>
      </c>
      <c r="V102" s="4">
        <v>3980</v>
      </c>
      <c r="X102" s="18">
        <v>0</v>
      </c>
      <c r="Z102" s="18">
        <v>0</v>
      </c>
      <c r="AB102" s="18">
        <v>0</v>
      </c>
      <c r="AD102" s="18">
        <v>0</v>
      </c>
      <c r="AF102" s="18">
        <v>0</v>
      </c>
      <c r="AH102" s="4">
        <f>SUM(F102:AD102)</f>
        <v>370375</v>
      </c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</row>
    <row r="103" spans="1:65" s="4" customFormat="1">
      <c r="A103" s="4">
        <v>179</v>
      </c>
      <c r="B103" s="4" t="s">
        <v>544</v>
      </c>
      <c r="D103" s="4" t="s">
        <v>137</v>
      </c>
      <c r="F103" s="1">
        <v>0</v>
      </c>
      <c r="G103" s="1"/>
      <c r="H103" s="1">
        <v>2032539.44</v>
      </c>
      <c r="I103" s="1"/>
      <c r="J103" s="1">
        <v>0</v>
      </c>
      <c r="K103" s="1"/>
      <c r="L103" s="1">
        <v>80519.289999999994</v>
      </c>
      <c r="M103" s="1"/>
      <c r="N103" s="1">
        <v>0</v>
      </c>
      <c r="O103" s="1"/>
      <c r="P103" s="1">
        <v>0</v>
      </c>
      <c r="Q103" s="1"/>
      <c r="R103" s="1">
        <v>32485.43</v>
      </c>
      <c r="S103" s="1"/>
      <c r="T103" s="1">
        <v>20472.38</v>
      </c>
      <c r="U103" s="1"/>
      <c r="V103" s="1">
        <v>168118.63</v>
      </c>
      <c r="W103" s="1"/>
      <c r="X103" s="1">
        <v>0</v>
      </c>
      <c r="Y103" s="1"/>
      <c r="Z103" s="1">
        <v>203502</v>
      </c>
      <c r="AA103" s="1"/>
      <c r="AB103" s="1">
        <v>1000000</v>
      </c>
      <c r="AC103" s="1"/>
      <c r="AD103" s="1">
        <v>0</v>
      </c>
      <c r="AE103" s="1"/>
      <c r="AF103" s="1">
        <v>0</v>
      </c>
      <c r="AH103" s="4">
        <f>SUM(F103:AF103)</f>
        <v>3537637.17</v>
      </c>
    </row>
    <row r="104" spans="1:65" s="4" customFormat="1">
      <c r="A104" s="4">
        <v>179</v>
      </c>
      <c r="B104" s="4" t="s">
        <v>356</v>
      </c>
      <c r="D104" s="4" t="s">
        <v>52</v>
      </c>
      <c r="F104" s="1">
        <v>0</v>
      </c>
      <c r="G104" s="1"/>
      <c r="H104" s="1">
        <v>646920.77</v>
      </c>
      <c r="I104" s="1"/>
      <c r="J104" s="1">
        <v>0</v>
      </c>
      <c r="K104" s="1"/>
      <c r="L104" s="1">
        <v>28144.63</v>
      </c>
      <c r="M104" s="1"/>
      <c r="N104" s="1">
        <v>0</v>
      </c>
      <c r="O104" s="1"/>
      <c r="P104" s="1">
        <v>0</v>
      </c>
      <c r="Q104" s="1"/>
      <c r="R104" s="1">
        <v>327459</v>
      </c>
      <c r="S104" s="1"/>
      <c r="T104" s="1">
        <v>672.92</v>
      </c>
      <c r="U104" s="1"/>
      <c r="V104" s="1">
        <v>11268.87</v>
      </c>
      <c r="W104" s="1"/>
      <c r="X104" s="1">
        <v>0</v>
      </c>
      <c r="Y104" s="1"/>
      <c r="Z104" s="1">
        <v>10186.9</v>
      </c>
      <c r="AA104" s="1"/>
      <c r="AB104" s="1">
        <v>0</v>
      </c>
      <c r="AC104" s="1"/>
      <c r="AD104" s="1">
        <v>0</v>
      </c>
      <c r="AE104" s="1"/>
      <c r="AF104" s="1">
        <v>0</v>
      </c>
      <c r="AH104" s="4">
        <f>SUM(F104:AF104)</f>
        <v>1024653.0900000001</v>
      </c>
    </row>
    <row r="105" spans="1:65" s="4" customFormat="1">
      <c r="A105" s="4">
        <v>165</v>
      </c>
      <c r="B105" s="4" t="s">
        <v>138</v>
      </c>
      <c r="D105" s="4" t="s">
        <v>60</v>
      </c>
      <c r="F105" s="1">
        <v>0</v>
      </c>
      <c r="G105" s="1"/>
      <c r="H105" s="1">
        <v>89988.95</v>
      </c>
      <c r="I105" s="1"/>
      <c r="J105" s="1">
        <v>129</v>
      </c>
      <c r="K105" s="1"/>
      <c r="L105" s="1">
        <v>2285.6999999999998</v>
      </c>
      <c r="M105" s="1"/>
      <c r="N105" s="1">
        <v>0</v>
      </c>
      <c r="O105" s="1"/>
      <c r="P105" s="1">
        <v>0</v>
      </c>
      <c r="Q105" s="1"/>
      <c r="R105" s="1">
        <v>20758.66</v>
      </c>
      <c r="S105" s="1"/>
      <c r="T105" s="1">
        <v>97.29</v>
      </c>
      <c r="U105" s="1"/>
      <c r="V105" s="1">
        <v>1065</v>
      </c>
      <c r="W105" s="1"/>
      <c r="X105" s="1">
        <v>0</v>
      </c>
      <c r="Y105" s="1"/>
      <c r="Z105" s="1">
        <v>0</v>
      </c>
      <c r="AA105" s="1"/>
      <c r="AB105" s="1">
        <v>0</v>
      </c>
      <c r="AC105" s="1"/>
      <c r="AD105" s="1">
        <v>0</v>
      </c>
      <c r="AE105" s="1"/>
      <c r="AF105" s="1">
        <v>0</v>
      </c>
      <c r="AH105" s="4">
        <f>SUM(F105:AF105)</f>
        <v>114324.59999999999</v>
      </c>
    </row>
    <row r="106" spans="1:65" s="4" customFormat="1">
      <c r="A106" s="4">
        <v>44</v>
      </c>
      <c r="B106" s="4" t="s">
        <v>139</v>
      </c>
      <c r="D106" s="4" t="s">
        <v>49</v>
      </c>
      <c r="F106" s="18">
        <v>0</v>
      </c>
      <c r="H106" s="4">
        <v>94452</v>
      </c>
      <c r="J106" s="18">
        <v>0</v>
      </c>
      <c r="L106" s="4">
        <v>2784</v>
      </c>
      <c r="N106" s="18">
        <v>0</v>
      </c>
      <c r="P106" s="18">
        <v>0</v>
      </c>
      <c r="R106" s="4">
        <v>9916</v>
      </c>
      <c r="T106" s="4">
        <v>659</v>
      </c>
      <c r="V106" s="4">
        <v>1157</v>
      </c>
      <c r="X106" s="18">
        <v>0</v>
      </c>
      <c r="Z106" s="18">
        <v>0</v>
      </c>
      <c r="AB106" s="18">
        <v>0</v>
      </c>
      <c r="AD106" s="18">
        <v>0</v>
      </c>
      <c r="AF106" s="18">
        <v>0</v>
      </c>
      <c r="AH106" s="4">
        <f>SUM(F106:AD106)</f>
        <v>108968</v>
      </c>
    </row>
    <row r="107" spans="1:65" s="5" customFormat="1">
      <c r="A107" s="4">
        <v>223</v>
      </c>
      <c r="B107" s="4" t="s">
        <v>140</v>
      </c>
      <c r="C107" s="4"/>
      <c r="D107" s="4" t="s">
        <v>53</v>
      </c>
      <c r="E107" s="4"/>
      <c r="F107" s="1">
        <v>0</v>
      </c>
      <c r="G107" s="1"/>
      <c r="H107" s="1">
        <v>1049354.8400000001</v>
      </c>
      <c r="I107" s="1"/>
      <c r="J107" s="1">
        <v>0</v>
      </c>
      <c r="K107" s="1"/>
      <c r="L107" s="1">
        <v>43436.39</v>
      </c>
      <c r="M107" s="1"/>
      <c r="N107" s="1">
        <v>0</v>
      </c>
      <c r="O107" s="1"/>
      <c r="P107" s="1">
        <v>0</v>
      </c>
      <c r="Q107" s="1"/>
      <c r="R107" s="1">
        <v>58204.7</v>
      </c>
      <c r="S107" s="1"/>
      <c r="T107" s="1">
        <v>747.47</v>
      </c>
      <c r="U107" s="1"/>
      <c r="V107" s="1">
        <v>404.99</v>
      </c>
      <c r="W107" s="1"/>
      <c r="X107" s="1">
        <v>0</v>
      </c>
      <c r="Y107" s="1"/>
      <c r="Z107" s="1">
        <v>213000</v>
      </c>
      <c r="AA107" s="1"/>
      <c r="AB107" s="1">
        <v>0</v>
      </c>
      <c r="AC107" s="1"/>
      <c r="AD107" s="1">
        <v>0</v>
      </c>
      <c r="AE107" s="1"/>
      <c r="AF107" s="1">
        <v>0</v>
      </c>
      <c r="AG107" s="4"/>
      <c r="AH107" s="4">
        <f>SUM(F107:AF107)</f>
        <v>1365148.39</v>
      </c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</row>
    <row r="108" spans="1:65" s="4" customFormat="1">
      <c r="A108" s="4">
        <v>35</v>
      </c>
      <c r="B108" s="18" t="s">
        <v>141</v>
      </c>
      <c r="C108" s="18"/>
      <c r="D108" s="18" t="s">
        <v>51</v>
      </c>
      <c r="E108" s="18"/>
      <c r="F108" s="1">
        <v>0</v>
      </c>
      <c r="G108" s="1"/>
      <c r="H108" s="1">
        <v>517421.03</v>
      </c>
      <c r="I108" s="1"/>
      <c r="J108" s="1">
        <v>500</v>
      </c>
      <c r="K108" s="1"/>
      <c r="L108" s="1">
        <v>24586.97</v>
      </c>
      <c r="M108" s="1"/>
      <c r="N108" s="1">
        <v>0</v>
      </c>
      <c r="O108" s="1"/>
      <c r="P108" s="1">
        <v>54</v>
      </c>
      <c r="Q108" s="1"/>
      <c r="R108" s="1">
        <v>8032.6</v>
      </c>
      <c r="S108" s="1"/>
      <c r="T108" s="1">
        <v>47823.01</v>
      </c>
      <c r="U108" s="1"/>
      <c r="V108" s="1">
        <v>24.95</v>
      </c>
      <c r="W108" s="1"/>
      <c r="X108" s="1">
        <v>0</v>
      </c>
      <c r="Y108" s="1"/>
      <c r="Z108" s="1">
        <v>0</v>
      </c>
      <c r="AA108" s="1"/>
      <c r="AB108" s="1">
        <v>0</v>
      </c>
      <c r="AC108" s="1"/>
      <c r="AD108" s="1">
        <v>0</v>
      </c>
      <c r="AE108" s="1"/>
      <c r="AF108" s="1">
        <v>0</v>
      </c>
      <c r="AG108" s="18"/>
      <c r="AH108" s="4">
        <f>SUM(F108:AF108)</f>
        <v>598442.55999999994</v>
      </c>
    </row>
    <row r="109" spans="1:65" s="4" customFormat="1">
      <c r="A109" s="4">
        <v>219</v>
      </c>
      <c r="B109" s="4" t="s">
        <v>300</v>
      </c>
      <c r="D109" s="4" t="s">
        <v>143</v>
      </c>
      <c r="F109" s="18">
        <v>0</v>
      </c>
      <c r="H109" s="4">
        <v>783357</v>
      </c>
      <c r="J109" s="18">
        <v>0</v>
      </c>
      <c r="L109" s="4">
        <v>29783</v>
      </c>
      <c r="N109" s="18">
        <v>0</v>
      </c>
      <c r="P109" s="18">
        <v>0</v>
      </c>
      <c r="R109" s="4">
        <v>23366</v>
      </c>
      <c r="T109" s="4">
        <v>3351</v>
      </c>
      <c r="V109" s="4">
        <v>26944</v>
      </c>
      <c r="X109" s="18">
        <v>0</v>
      </c>
      <c r="Z109" s="18">
        <v>0</v>
      </c>
      <c r="AB109" s="18">
        <v>0</v>
      </c>
      <c r="AD109" s="18">
        <v>0</v>
      </c>
      <c r="AF109" s="18">
        <v>0</v>
      </c>
      <c r="AH109" s="4">
        <f>SUM(F109:AD109)</f>
        <v>866801</v>
      </c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</row>
    <row r="110" spans="1:65" s="4" customFormat="1">
      <c r="A110" s="4">
        <v>119</v>
      </c>
      <c r="B110" s="4" t="s">
        <v>144</v>
      </c>
      <c r="D110" s="4" t="s">
        <v>17</v>
      </c>
      <c r="F110" s="4">
        <v>2474495</v>
      </c>
      <c r="H110" s="4">
        <v>2677917</v>
      </c>
      <c r="J110" s="4">
        <v>500221</v>
      </c>
      <c r="L110" s="4">
        <v>162870</v>
      </c>
      <c r="N110" s="18">
        <v>0</v>
      </c>
      <c r="P110" s="4">
        <v>18959</v>
      </c>
      <c r="R110" s="4">
        <v>15006</v>
      </c>
      <c r="T110" s="4">
        <v>20616</v>
      </c>
      <c r="V110" s="4">
        <v>12042</v>
      </c>
      <c r="X110" s="18">
        <v>0</v>
      </c>
      <c r="Z110" s="18">
        <v>0</v>
      </c>
      <c r="AB110" s="18">
        <v>0</v>
      </c>
      <c r="AD110" s="18">
        <v>0</v>
      </c>
      <c r="AF110" s="18">
        <v>0</v>
      </c>
      <c r="AH110" s="4">
        <f>SUM(F110:AD110)</f>
        <v>5882126</v>
      </c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</row>
    <row r="111" spans="1:65" s="4" customFormat="1">
      <c r="A111" s="4">
        <v>181</v>
      </c>
      <c r="B111" s="18" t="s">
        <v>145</v>
      </c>
      <c r="C111" s="18"/>
      <c r="D111" s="18" t="s">
        <v>54</v>
      </c>
      <c r="E111" s="18"/>
      <c r="F111" s="1">
        <v>0</v>
      </c>
      <c r="G111" s="1"/>
      <c r="H111" s="1">
        <v>600039.43999999994</v>
      </c>
      <c r="I111" s="1"/>
      <c r="J111" s="1">
        <v>0</v>
      </c>
      <c r="K111" s="1"/>
      <c r="L111" s="1">
        <v>16144.93</v>
      </c>
      <c r="M111" s="1"/>
      <c r="N111" s="1">
        <v>0</v>
      </c>
      <c r="O111" s="1"/>
      <c r="P111" s="1">
        <v>0</v>
      </c>
      <c r="Q111" s="1"/>
      <c r="R111" s="1">
        <v>2495</v>
      </c>
      <c r="S111" s="1"/>
      <c r="T111" s="1">
        <v>9248.4500000000007</v>
      </c>
      <c r="U111" s="1"/>
      <c r="V111" s="1">
        <v>4448.6099999999997</v>
      </c>
      <c r="W111" s="1"/>
      <c r="X111" s="1">
        <v>0</v>
      </c>
      <c r="Y111" s="1"/>
      <c r="Z111" s="1">
        <v>0</v>
      </c>
      <c r="AA111" s="1"/>
      <c r="AB111" s="1">
        <v>0</v>
      </c>
      <c r="AC111" s="1"/>
      <c r="AD111" s="1">
        <v>0</v>
      </c>
      <c r="AE111" s="1"/>
      <c r="AF111" s="1">
        <v>0</v>
      </c>
      <c r="AG111" s="18"/>
      <c r="AH111" s="4">
        <f>SUM(F111:AF111)</f>
        <v>632376.42999999993</v>
      </c>
    </row>
    <row r="112" spans="1:65" s="4" customFormat="1" hidden="1">
      <c r="A112" s="4">
        <v>115</v>
      </c>
      <c r="B112" s="4" t="s">
        <v>33</v>
      </c>
      <c r="D112" s="4" t="s">
        <v>55</v>
      </c>
      <c r="F112" s="18"/>
      <c r="H112" s="18"/>
      <c r="J112" s="18"/>
      <c r="L112" s="18"/>
      <c r="N112" s="18"/>
      <c r="P112" s="18"/>
      <c r="R112" s="18"/>
      <c r="T112" s="18"/>
      <c r="V112" s="18"/>
      <c r="X112" s="18"/>
      <c r="Z112" s="18"/>
      <c r="AB112" s="18"/>
      <c r="AD112" s="18"/>
      <c r="AF112" s="18"/>
      <c r="AH112" s="4">
        <f>SUM(F112:AF112)</f>
        <v>0</v>
      </c>
    </row>
    <row r="113" spans="1:65" s="4" customFormat="1">
      <c r="A113" s="4">
        <v>115</v>
      </c>
      <c r="B113" s="4" t="s">
        <v>34</v>
      </c>
      <c r="D113" s="4" t="s">
        <v>26</v>
      </c>
      <c r="F113" s="1">
        <v>0</v>
      </c>
      <c r="G113" s="1"/>
      <c r="H113" s="1">
        <v>107058.5</v>
      </c>
      <c r="I113" s="1"/>
      <c r="J113" s="1">
        <v>0</v>
      </c>
      <c r="K113" s="1"/>
      <c r="L113" s="1">
        <v>4504.25</v>
      </c>
      <c r="M113" s="1"/>
      <c r="N113" s="1">
        <v>0</v>
      </c>
      <c r="O113" s="1"/>
      <c r="P113" s="1">
        <v>0</v>
      </c>
      <c r="Q113" s="1"/>
      <c r="R113" s="1">
        <v>39418.85</v>
      </c>
      <c r="S113" s="1"/>
      <c r="T113" s="1">
        <v>58.63</v>
      </c>
      <c r="U113" s="1"/>
      <c r="V113" s="1">
        <v>350.34</v>
      </c>
      <c r="W113" s="1"/>
      <c r="X113" s="1">
        <v>0</v>
      </c>
      <c r="Y113" s="1"/>
      <c r="Z113" s="1">
        <v>0</v>
      </c>
      <c r="AA113" s="1"/>
      <c r="AB113" s="1">
        <v>0</v>
      </c>
      <c r="AC113" s="1"/>
      <c r="AD113" s="1">
        <v>0</v>
      </c>
      <c r="AE113" s="1"/>
      <c r="AF113" s="1">
        <v>0</v>
      </c>
      <c r="AH113" s="4">
        <f>SUM(F113:AF113)</f>
        <v>151390.57</v>
      </c>
    </row>
    <row r="114" spans="1:65" s="4" customFormat="1">
      <c r="A114" s="4">
        <v>19</v>
      </c>
      <c r="B114" s="4" t="s">
        <v>146</v>
      </c>
      <c r="D114" s="4" t="s">
        <v>56</v>
      </c>
      <c r="F114" s="1">
        <v>0</v>
      </c>
      <c r="G114" s="1"/>
      <c r="H114" s="1">
        <v>504412.55</v>
      </c>
      <c r="I114" s="1"/>
      <c r="J114" s="1">
        <v>0</v>
      </c>
      <c r="K114" s="1"/>
      <c r="L114" s="1">
        <v>22143.27</v>
      </c>
      <c r="M114" s="1"/>
      <c r="N114" s="1">
        <v>0</v>
      </c>
      <c r="O114" s="1"/>
      <c r="P114" s="1">
        <v>0</v>
      </c>
      <c r="Q114" s="1"/>
      <c r="R114" s="1">
        <v>3715.36</v>
      </c>
      <c r="S114" s="1"/>
      <c r="T114" s="1">
        <v>148.4</v>
      </c>
      <c r="U114" s="1"/>
      <c r="V114" s="1">
        <v>4453.04</v>
      </c>
      <c r="W114" s="1"/>
      <c r="X114" s="1">
        <v>0</v>
      </c>
      <c r="Y114" s="1"/>
      <c r="Z114" s="1">
        <v>50000</v>
      </c>
      <c r="AA114" s="1"/>
      <c r="AB114" s="1">
        <v>0</v>
      </c>
      <c r="AC114" s="1"/>
      <c r="AD114" s="1">
        <v>0</v>
      </c>
      <c r="AE114" s="1"/>
      <c r="AF114" s="1">
        <v>0</v>
      </c>
      <c r="AH114" s="4">
        <f>SUM(F114:AF114)</f>
        <v>584872.62</v>
      </c>
    </row>
    <row r="115" spans="1:65" s="4" customFormat="1">
      <c r="A115" s="4">
        <v>22</v>
      </c>
      <c r="B115" s="18" t="s">
        <v>301</v>
      </c>
      <c r="C115" s="18"/>
      <c r="D115" s="18" t="s">
        <v>42</v>
      </c>
      <c r="E115" s="18"/>
      <c r="F115" s="1">
        <v>0</v>
      </c>
      <c r="G115" s="1"/>
      <c r="H115" s="1">
        <v>149326.63</v>
      </c>
      <c r="I115" s="1"/>
      <c r="J115" s="1">
        <v>1927.52</v>
      </c>
      <c r="K115" s="1"/>
      <c r="L115" s="1">
        <v>15389.18</v>
      </c>
      <c r="M115" s="1"/>
      <c r="N115" s="1">
        <v>0</v>
      </c>
      <c r="O115" s="1"/>
      <c r="P115" s="1">
        <v>0</v>
      </c>
      <c r="Q115" s="1"/>
      <c r="R115" s="1">
        <v>1419.79</v>
      </c>
      <c r="S115" s="1"/>
      <c r="T115" s="1">
        <v>10891.5</v>
      </c>
      <c r="U115" s="1"/>
      <c r="V115" s="1">
        <v>940.78</v>
      </c>
      <c r="W115" s="1"/>
      <c r="X115" s="1">
        <v>0</v>
      </c>
      <c r="Y115" s="1"/>
      <c r="Z115" s="1">
        <v>0</v>
      </c>
      <c r="AA115" s="1"/>
      <c r="AB115" s="1">
        <v>0</v>
      </c>
      <c r="AC115" s="1"/>
      <c r="AD115" s="1">
        <v>0</v>
      </c>
      <c r="AE115" s="1"/>
      <c r="AF115" s="1">
        <v>0</v>
      </c>
      <c r="AG115" s="18"/>
      <c r="AH115" s="4">
        <f>SUM(F115:AF115)</f>
        <v>179895.4</v>
      </c>
    </row>
    <row r="116" spans="1:65" s="4" customFormat="1">
      <c r="A116" s="4">
        <v>226</v>
      </c>
      <c r="B116" s="4" t="s">
        <v>147</v>
      </c>
      <c r="D116" s="4" t="s">
        <v>91</v>
      </c>
      <c r="F116" s="4">
        <v>793246</v>
      </c>
      <c r="H116" s="4">
        <f>1406021+1947</f>
        <v>1407968</v>
      </c>
      <c r="J116" s="4">
        <v>195797</v>
      </c>
      <c r="L116" s="4">
        <v>88092</v>
      </c>
      <c r="N116" s="18">
        <v>0</v>
      </c>
      <c r="P116" s="4">
        <v>4565</v>
      </c>
      <c r="R116" s="4">
        <v>37699</v>
      </c>
      <c r="T116" s="4">
        <v>1929</v>
      </c>
      <c r="V116" s="4">
        <v>20674</v>
      </c>
      <c r="X116" s="18">
        <v>0</v>
      </c>
      <c r="Z116" s="18">
        <v>0</v>
      </c>
      <c r="AB116" s="18">
        <v>0</v>
      </c>
      <c r="AD116" s="18">
        <v>0</v>
      </c>
      <c r="AF116" s="18">
        <v>0</v>
      </c>
      <c r="AH116" s="4">
        <f>SUM(F116:AD116)</f>
        <v>2549970</v>
      </c>
    </row>
    <row r="117" spans="1:65" s="4" customFormat="1">
      <c r="A117" s="4">
        <v>12</v>
      </c>
      <c r="B117" s="4" t="s">
        <v>148</v>
      </c>
      <c r="D117" s="4" t="s">
        <v>40</v>
      </c>
      <c r="F117" s="18">
        <v>0</v>
      </c>
      <c r="H117" s="4">
        <v>609072</v>
      </c>
      <c r="J117" s="18">
        <v>0</v>
      </c>
      <c r="L117" s="4">
        <v>38612</v>
      </c>
      <c r="N117" s="18">
        <v>0</v>
      </c>
      <c r="P117" s="18">
        <v>0</v>
      </c>
      <c r="R117" s="4">
        <v>6829</v>
      </c>
      <c r="T117" s="4">
        <v>22939</v>
      </c>
      <c r="V117" s="18">
        <v>0</v>
      </c>
      <c r="X117" s="18">
        <v>0</v>
      </c>
      <c r="Z117" s="4">
        <v>0</v>
      </c>
      <c r="AB117" s="18">
        <v>0</v>
      </c>
      <c r="AD117" s="18">
        <v>0</v>
      </c>
      <c r="AF117" s="18">
        <v>0</v>
      </c>
      <c r="AH117" s="4">
        <f>SUM(F117:AD117)</f>
        <v>677452</v>
      </c>
    </row>
    <row r="118" spans="1:65" s="4" customFormat="1">
      <c r="A118" s="4">
        <v>24</v>
      </c>
      <c r="B118" s="4" t="s">
        <v>545</v>
      </c>
      <c r="D118" s="4" t="s">
        <v>150</v>
      </c>
      <c r="F118" s="4">
        <v>2914446</v>
      </c>
      <c r="H118" s="18">
        <v>1500</v>
      </c>
      <c r="J118" s="4">
        <v>4784129</v>
      </c>
      <c r="L118" s="4">
        <v>190824</v>
      </c>
      <c r="N118" s="18">
        <v>0</v>
      </c>
      <c r="P118" s="18">
        <v>0</v>
      </c>
      <c r="R118" s="4">
        <v>4120</v>
      </c>
      <c r="T118" s="4">
        <v>254820</v>
      </c>
      <c r="V118" s="4">
        <f>12644+27494</f>
        <v>40138</v>
      </c>
      <c r="X118" s="18">
        <v>0</v>
      </c>
      <c r="Z118" s="4">
        <v>0</v>
      </c>
      <c r="AB118" s="18">
        <v>0</v>
      </c>
      <c r="AD118" s="18">
        <v>0</v>
      </c>
      <c r="AF118" s="18">
        <v>0</v>
      </c>
      <c r="AH118" s="4">
        <f>SUM(F118:AD118)</f>
        <v>8189977</v>
      </c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</row>
    <row r="119" spans="1:65" s="4" customFormat="1">
      <c r="A119" s="4">
        <v>18</v>
      </c>
      <c r="B119" s="4" t="s">
        <v>151</v>
      </c>
      <c r="D119" s="4" t="s">
        <v>80</v>
      </c>
      <c r="F119" s="1">
        <v>0</v>
      </c>
      <c r="G119" s="1"/>
      <c r="H119" s="1">
        <v>771441.9</v>
      </c>
      <c r="I119" s="1"/>
      <c r="J119" s="1">
        <v>0</v>
      </c>
      <c r="K119" s="1"/>
      <c r="L119" s="1">
        <v>43039.839999999997</v>
      </c>
      <c r="M119" s="1"/>
      <c r="N119" s="1">
        <v>0</v>
      </c>
      <c r="O119" s="1"/>
      <c r="P119" s="1">
        <v>0</v>
      </c>
      <c r="Q119" s="1"/>
      <c r="R119" s="1">
        <v>108929.26</v>
      </c>
      <c r="S119" s="1"/>
      <c r="T119" s="1">
        <v>1733.65</v>
      </c>
      <c r="U119" s="1"/>
      <c r="V119" s="1">
        <v>3328.99</v>
      </c>
      <c r="W119" s="1"/>
      <c r="X119" s="1">
        <v>0</v>
      </c>
      <c r="Y119" s="1"/>
      <c r="Z119" s="1">
        <v>107351</v>
      </c>
      <c r="AA119" s="1"/>
      <c r="AB119" s="1">
        <v>0</v>
      </c>
      <c r="AC119" s="1"/>
      <c r="AD119" s="1">
        <v>0</v>
      </c>
      <c r="AE119" s="1"/>
      <c r="AF119" s="1">
        <v>0</v>
      </c>
      <c r="AH119" s="4">
        <f>SUM(F119:AF119)</f>
        <v>1035824.64</v>
      </c>
    </row>
    <row r="120" spans="1:65" s="4" customFormat="1">
      <c r="A120" s="4">
        <v>20</v>
      </c>
      <c r="B120" s="4" t="s">
        <v>546</v>
      </c>
      <c r="D120" s="4" t="s">
        <v>152</v>
      </c>
      <c r="F120" s="18">
        <v>0</v>
      </c>
      <c r="H120" s="4">
        <v>1201471</v>
      </c>
      <c r="J120" s="18">
        <v>0</v>
      </c>
      <c r="L120" s="4">
        <v>40359</v>
      </c>
      <c r="N120" s="18">
        <v>0</v>
      </c>
      <c r="P120" s="18">
        <v>0</v>
      </c>
      <c r="R120" s="4">
        <v>6071</v>
      </c>
      <c r="T120" s="4">
        <v>32602</v>
      </c>
      <c r="V120" s="4">
        <v>116395</v>
      </c>
      <c r="X120" s="4">
        <v>3791</v>
      </c>
      <c r="Z120" s="18">
        <v>114182</v>
      </c>
      <c r="AB120" s="18">
        <v>0</v>
      </c>
      <c r="AD120" s="18">
        <v>0</v>
      </c>
      <c r="AF120" s="18">
        <v>0</v>
      </c>
      <c r="AH120" s="4">
        <f>SUM(F120:AD120)</f>
        <v>1514871</v>
      </c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</row>
    <row r="121" spans="1:65" s="4" customFormat="1">
      <c r="A121" s="4">
        <v>102</v>
      </c>
      <c r="B121" s="18" t="s">
        <v>153</v>
      </c>
      <c r="C121" s="18"/>
      <c r="D121" s="18" t="s">
        <v>42</v>
      </c>
      <c r="E121" s="18"/>
      <c r="F121" s="1">
        <v>99681.14</v>
      </c>
      <c r="G121" s="1"/>
      <c r="H121" s="1">
        <v>333884.25</v>
      </c>
      <c r="I121" s="1"/>
      <c r="J121" s="1">
        <v>23373.01</v>
      </c>
      <c r="K121" s="1"/>
      <c r="L121" s="1">
        <v>9542.0499999999993</v>
      </c>
      <c r="M121" s="1"/>
      <c r="N121" s="1">
        <v>0</v>
      </c>
      <c r="O121" s="1"/>
      <c r="P121" s="1">
        <v>0</v>
      </c>
      <c r="Q121" s="1"/>
      <c r="R121" s="1">
        <v>417</v>
      </c>
      <c r="S121" s="1"/>
      <c r="T121" s="1">
        <v>72.16</v>
      </c>
      <c r="U121" s="1"/>
      <c r="V121" s="1">
        <v>25261.68</v>
      </c>
      <c r="W121" s="1"/>
      <c r="X121" s="1">
        <v>0</v>
      </c>
      <c r="Y121" s="1"/>
      <c r="Z121" s="1">
        <v>0</v>
      </c>
      <c r="AA121" s="1"/>
      <c r="AB121" s="1">
        <v>0</v>
      </c>
      <c r="AC121" s="1"/>
      <c r="AD121" s="1">
        <v>0</v>
      </c>
      <c r="AE121" s="1"/>
      <c r="AF121" s="1">
        <v>0</v>
      </c>
      <c r="AG121" s="18"/>
      <c r="AH121" s="4">
        <f>SUM(F121:AF121)</f>
        <v>492231.29</v>
      </c>
    </row>
    <row r="122" spans="1:65" s="4" customFormat="1">
      <c r="A122" s="4">
        <v>4</v>
      </c>
      <c r="B122" s="4" t="s">
        <v>154</v>
      </c>
      <c r="D122" s="4" t="s">
        <v>60</v>
      </c>
      <c r="F122" s="18">
        <v>0</v>
      </c>
      <c r="H122" s="4">
        <v>65070</v>
      </c>
      <c r="J122" s="18">
        <v>0</v>
      </c>
      <c r="L122" s="4">
        <v>1469</v>
      </c>
      <c r="N122" s="18">
        <v>0</v>
      </c>
      <c r="P122" s="18">
        <v>0</v>
      </c>
      <c r="R122" s="4">
        <v>870</v>
      </c>
      <c r="T122" s="4">
        <v>19</v>
      </c>
      <c r="V122" s="4">
        <v>890</v>
      </c>
      <c r="X122" s="18">
        <v>0</v>
      </c>
      <c r="Z122" s="18">
        <v>0</v>
      </c>
      <c r="AB122" s="18">
        <v>0</v>
      </c>
      <c r="AD122" s="18">
        <v>0</v>
      </c>
      <c r="AF122" s="18">
        <v>0</v>
      </c>
      <c r="AH122" s="4">
        <f>SUM(F122:AD122)</f>
        <v>68318</v>
      </c>
    </row>
    <row r="123" spans="1:65" s="4" customFormat="1">
      <c r="A123" s="4">
        <v>173</v>
      </c>
      <c r="B123" s="4" t="s">
        <v>155</v>
      </c>
      <c r="D123" s="4" t="s">
        <v>156</v>
      </c>
      <c r="F123" s="18">
        <v>0</v>
      </c>
      <c r="H123" s="4">
        <v>380049</v>
      </c>
      <c r="J123" s="18">
        <v>0</v>
      </c>
      <c r="L123" s="4">
        <v>22294</v>
      </c>
      <c r="N123" s="18">
        <v>0</v>
      </c>
      <c r="P123" s="18">
        <v>0</v>
      </c>
      <c r="R123" s="18">
        <v>0</v>
      </c>
      <c r="T123" s="4">
        <v>3174</v>
      </c>
      <c r="V123" s="18">
        <v>0</v>
      </c>
      <c r="X123" s="18">
        <v>0</v>
      </c>
      <c r="Z123" s="4">
        <v>30000</v>
      </c>
      <c r="AB123" s="18">
        <v>0</v>
      </c>
      <c r="AD123" s="18">
        <v>0</v>
      </c>
      <c r="AF123" s="18">
        <v>0</v>
      </c>
      <c r="AH123" s="4">
        <f>SUM(F123:AD123)</f>
        <v>435517</v>
      </c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</row>
    <row r="124" spans="1:65" s="4" customFormat="1">
      <c r="A124" s="4">
        <v>168</v>
      </c>
      <c r="B124" s="4" t="s">
        <v>302</v>
      </c>
      <c r="D124" s="4" t="s">
        <v>42</v>
      </c>
      <c r="F124" s="1">
        <v>0</v>
      </c>
      <c r="G124" s="1"/>
      <c r="H124" s="1">
        <v>258893.87</v>
      </c>
      <c r="I124" s="1"/>
      <c r="J124" s="1">
        <v>57205.38</v>
      </c>
      <c r="K124" s="1"/>
      <c r="L124" s="1">
        <v>18986.11</v>
      </c>
      <c r="M124" s="1"/>
      <c r="N124" s="1">
        <v>0</v>
      </c>
      <c r="O124" s="1"/>
      <c r="P124" s="1">
        <v>0</v>
      </c>
      <c r="Q124" s="1"/>
      <c r="R124" s="1">
        <v>19131.22</v>
      </c>
      <c r="S124" s="1"/>
      <c r="T124" s="1">
        <v>135.28</v>
      </c>
      <c r="U124" s="1"/>
      <c r="V124" s="1">
        <v>1138.1199999999999</v>
      </c>
      <c r="W124" s="1"/>
      <c r="X124" s="1">
        <v>11504.43</v>
      </c>
      <c r="Y124" s="1"/>
      <c r="Z124" s="1">
        <v>0</v>
      </c>
      <c r="AA124" s="1"/>
      <c r="AB124" s="1">
        <v>0</v>
      </c>
      <c r="AC124" s="1"/>
      <c r="AD124" s="1">
        <v>0</v>
      </c>
      <c r="AE124" s="1"/>
      <c r="AF124" s="1">
        <v>0</v>
      </c>
      <c r="AH124" s="4">
        <f>SUM(F124:AF124)</f>
        <v>366994.41</v>
      </c>
    </row>
    <row r="125" spans="1:65" s="4" customFormat="1">
      <c r="A125" s="4">
        <v>144</v>
      </c>
      <c r="B125" s="4" t="s">
        <v>157</v>
      </c>
      <c r="D125" s="4" t="s">
        <v>158</v>
      </c>
      <c r="F125" s="4">
        <v>59853</v>
      </c>
      <c r="H125" s="4">
        <v>350963</v>
      </c>
      <c r="J125" s="4">
        <v>16073</v>
      </c>
      <c r="L125" s="4">
        <v>9119</v>
      </c>
      <c r="N125" s="18">
        <v>0</v>
      </c>
      <c r="P125" s="18">
        <v>0</v>
      </c>
      <c r="R125" s="4">
        <v>38805</v>
      </c>
      <c r="T125" s="4">
        <v>71885</v>
      </c>
      <c r="V125" s="4">
        <v>417</v>
      </c>
      <c r="X125" s="18">
        <v>0</v>
      </c>
      <c r="Z125" s="18">
        <v>0</v>
      </c>
      <c r="AB125" s="18">
        <v>0</v>
      </c>
      <c r="AD125" s="18">
        <v>0</v>
      </c>
      <c r="AF125" s="18">
        <v>0</v>
      </c>
      <c r="AH125" s="4">
        <f>SUM(F125:AD125)</f>
        <v>547115</v>
      </c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</row>
    <row r="126" spans="1:65" s="4" customFormat="1">
      <c r="A126" s="4">
        <v>198</v>
      </c>
      <c r="B126" s="18" t="s">
        <v>428</v>
      </c>
      <c r="C126" s="18"/>
      <c r="D126" s="18" t="s">
        <v>56</v>
      </c>
      <c r="E126" s="18"/>
      <c r="F126" s="1">
        <v>155067.54</v>
      </c>
      <c r="G126" s="1"/>
      <c r="H126" s="1">
        <v>305114.40999999997</v>
      </c>
      <c r="I126" s="1"/>
      <c r="J126" s="1">
        <v>21916.799999999999</v>
      </c>
      <c r="K126" s="1"/>
      <c r="L126" s="1">
        <v>12982.27</v>
      </c>
      <c r="M126" s="1"/>
      <c r="N126" s="1">
        <v>0</v>
      </c>
      <c r="O126" s="1"/>
      <c r="P126" s="1">
        <v>0</v>
      </c>
      <c r="Q126" s="1"/>
      <c r="R126" s="1">
        <v>4911.8900000000003</v>
      </c>
      <c r="S126" s="1"/>
      <c r="T126" s="1">
        <v>4145.1400000000003</v>
      </c>
      <c r="U126" s="1"/>
      <c r="V126" s="1">
        <v>465.62</v>
      </c>
      <c r="W126" s="1"/>
      <c r="X126" s="1">
        <v>0</v>
      </c>
      <c r="Y126" s="1"/>
      <c r="Z126" s="1">
        <v>0</v>
      </c>
      <c r="AA126" s="1"/>
      <c r="AB126" s="1">
        <v>0</v>
      </c>
      <c r="AC126" s="1"/>
      <c r="AD126" s="1">
        <v>0</v>
      </c>
      <c r="AE126" s="1"/>
      <c r="AF126" s="1">
        <v>0</v>
      </c>
      <c r="AG126" s="18"/>
      <c r="AH126" s="4">
        <f>SUM(F126:AF126)</f>
        <v>504603.67</v>
      </c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</row>
    <row r="127" spans="1:65" s="4" customFormat="1">
      <c r="A127" s="4">
        <v>33</v>
      </c>
      <c r="B127" s="4" t="s">
        <v>159</v>
      </c>
      <c r="D127" s="4" t="s">
        <v>57</v>
      </c>
      <c r="F127" s="1">
        <v>1142690.28</v>
      </c>
      <c r="G127" s="1"/>
      <c r="H127" s="1">
        <v>0</v>
      </c>
      <c r="I127" s="1"/>
      <c r="J127" s="1">
        <v>4450</v>
      </c>
      <c r="K127" s="1"/>
      <c r="L127" s="1">
        <v>62515.360000000001</v>
      </c>
      <c r="M127" s="1"/>
      <c r="N127" s="1">
        <v>0</v>
      </c>
      <c r="O127" s="1"/>
      <c r="P127" s="1">
        <v>0</v>
      </c>
      <c r="Q127" s="1"/>
      <c r="R127" s="1">
        <v>30046.66</v>
      </c>
      <c r="S127" s="1"/>
      <c r="T127" s="1">
        <v>102983.54</v>
      </c>
      <c r="U127" s="1"/>
      <c r="V127" s="1">
        <v>10828.68</v>
      </c>
      <c r="W127" s="1"/>
      <c r="X127" s="1">
        <v>0</v>
      </c>
      <c r="Y127" s="1"/>
      <c r="Z127" s="1">
        <v>0</v>
      </c>
      <c r="AA127" s="1"/>
      <c r="AB127" s="1">
        <v>0</v>
      </c>
      <c r="AC127" s="1"/>
      <c r="AD127" s="1">
        <v>0</v>
      </c>
      <c r="AE127" s="1"/>
      <c r="AF127" s="1">
        <v>0</v>
      </c>
      <c r="AH127" s="4">
        <f>SUM(F127:AF127)</f>
        <v>1353514.52</v>
      </c>
    </row>
    <row r="128" spans="1:65" s="4" customFormat="1">
      <c r="A128" s="4">
        <v>166</v>
      </c>
      <c r="B128" s="4" t="s">
        <v>160</v>
      </c>
      <c r="D128" s="4" t="s">
        <v>59</v>
      </c>
      <c r="F128" s="4">
        <v>105478</v>
      </c>
      <c r="H128" s="18">
        <v>0</v>
      </c>
      <c r="J128" s="18">
        <v>211</v>
      </c>
      <c r="L128" s="4">
        <v>0</v>
      </c>
      <c r="N128" s="18">
        <v>0</v>
      </c>
      <c r="P128" s="18">
        <v>0</v>
      </c>
      <c r="R128" s="4">
        <v>100</v>
      </c>
      <c r="T128" s="4">
        <v>4917</v>
      </c>
      <c r="V128" s="4">
        <v>979</v>
      </c>
      <c r="X128" s="18">
        <v>0</v>
      </c>
      <c r="Z128" s="18">
        <v>0</v>
      </c>
      <c r="AB128" s="18">
        <v>0</v>
      </c>
      <c r="AD128" s="18">
        <v>0</v>
      </c>
      <c r="AF128" s="18">
        <v>0</v>
      </c>
      <c r="AH128" s="4">
        <f>SUM(F128:AD128)</f>
        <v>111685</v>
      </c>
    </row>
    <row r="129" spans="1:65" s="4" customFormat="1">
      <c r="A129" s="4">
        <v>143</v>
      </c>
      <c r="B129" s="4" t="s">
        <v>547</v>
      </c>
      <c r="D129" s="4" t="s">
        <v>161</v>
      </c>
      <c r="F129" s="1">
        <v>0</v>
      </c>
      <c r="G129" s="1"/>
      <c r="H129" s="1">
        <v>1033231.36</v>
      </c>
      <c r="I129" s="1"/>
      <c r="J129" s="1">
        <v>0</v>
      </c>
      <c r="K129" s="1"/>
      <c r="L129" s="1">
        <v>28455.09</v>
      </c>
      <c r="M129" s="1"/>
      <c r="N129" s="1">
        <v>0</v>
      </c>
      <c r="O129" s="1"/>
      <c r="P129" s="1">
        <v>0</v>
      </c>
      <c r="Q129" s="1"/>
      <c r="R129" s="1">
        <v>2472.9</v>
      </c>
      <c r="S129" s="1"/>
      <c r="T129" s="1">
        <v>503.94</v>
      </c>
      <c r="U129" s="1"/>
      <c r="V129" s="1">
        <v>4545.74</v>
      </c>
      <c r="W129" s="1"/>
      <c r="X129" s="1">
        <v>125</v>
      </c>
      <c r="Y129" s="1"/>
      <c r="Z129" s="1">
        <v>170000</v>
      </c>
      <c r="AA129" s="1"/>
      <c r="AB129" s="1">
        <v>0</v>
      </c>
      <c r="AC129" s="1"/>
      <c r="AD129" s="1">
        <v>0</v>
      </c>
      <c r="AE129" s="1"/>
      <c r="AF129" s="1">
        <v>0</v>
      </c>
      <c r="AH129" s="4">
        <f>SUM(F129:AF129)</f>
        <v>1239334.0299999998</v>
      </c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</row>
    <row r="130" spans="1:65" s="4" customFormat="1">
      <c r="A130" s="4">
        <v>47</v>
      </c>
      <c r="B130" s="4" t="s">
        <v>303</v>
      </c>
      <c r="D130" s="4" t="s">
        <v>40</v>
      </c>
      <c r="F130" s="1">
        <v>0</v>
      </c>
      <c r="G130" s="1"/>
      <c r="H130" s="1">
        <v>182721.55</v>
      </c>
      <c r="I130" s="1"/>
      <c r="J130" s="1">
        <v>0</v>
      </c>
      <c r="K130" s="1"/>
      <c r="L130" s="1">
        <v>2298.89</v>
      </c>
      <c r="M130" s="1"/>
      <c r="N130" s="1">
        <v>0</v>
      </c>
      <c r="O130" s="1"/>
      <c r="P130" s="1">
        <v>0</v>
      </c>
      <c r="Q130" s="1"/>
      <c r="R130" s="1">
        <v>110</v>
      </c>
      <c r="S130" s="1"/>
      <c r="T130" s="1">
        <v>1179.21</v>
      </c>
      <c r="U130" s="1"/>
      <c r="V130" s="1">
        <v>0</v>
      </c>
      <c r="W130" s="1"/>
      <c r="X130" s="1">
        <v>0</v>
      </c>
      <c r="Y130" s="1"/>
      <c r="Z130" s="1">
        <v>0</v>
      </c>
      <c r="AA130" s="1"/>
      <c r="AB130" s="1">
        <v>0</v>
      </c>
      <c r="AC130" s="1"/>
      <c r="AD130" s="1">
        <v>0</v>
      </c>
      <c r="AE130" s="1"/>
      <c r="AF130" s="1">
        <v>0</v>
      </c>
      <c r="AH130" s="4">
        <f>SUM(F130:AF130)</f>
        <v>186309.65</v>
      </c>
    </row>
    <row r="131" spans="1:65" s="4" customFormat="1">
      <c r="A131" s="4">
        <v>42</v>
      </c>
      <c r="B131" s="18" t="s">
        <v>429</v>
      </c>
      <c r="C131" s="18"/>
      <c r="D131" s="18" t="s">
        <v>55</v>
      </c>
      <c r="E131" s="18"/>
      <c r="F131" s="1">
        <v>0</v>
      </c>
      <c r="G131" s="1"/>
      <c r="H131" s="1">
        <v>668202</v>
      </c>
      <c r="I131" s="1"/>
      <c r="J131" s="1">
        <v>0</v>
      </c>
      <c r="K131" s="1"/>
      <c r="L131" s="1">
        <v>17303.330000000002</v>
      </c>
      <c r="M131" s="1"/>
      <c r="N131" s="1">
        <v>0</v>
      </c>
      <c r="O131" s="1"/>
      <c r="P131" s="1">
        <v>1897.5</v>
      </c>
      <c r="Q131" s="1"/>
      <c r="R131" s="1">
        <v>21750.62</v>
      </c>
      <c r="S131" s="1"/>
      <c r="T131" s="1">
        <v>8290.9</v>
      </c>
      <c r="U131" s="1"/>
      <c r="V131" s="1">
        <v>870.08</v>
      </c>
      <c r="W131" s="1"/>
      <c r="X131" s="1">
        <v>0</v>
      </c>
      <c r="Y131" s="1"/>
      <c r="Z131" s="1">
        <v>0</v>
      </c>
      <c r="AA131" s="1"/>
      <c r="AB131" s="1">
        <v>0</v>
      </c>
      <c r="AC131" s="1"/>
      <c r="AD131" s="1">
        <v>0</v>
      </c>
      <c r="AE131" s="1"/>
      <c r="AF131" s="1">
        <v>0</v>
      </c>
      <c r="AG131" s="18"/>
      <c r="AH131" s="4">
        <f>SUM(F131:AF131)</f>
        <v>718314.42999999993</v>
      </c>
    </row>
    <row r="132" spans="1:65" s="4" customFormat="1">
      <c r="A132" s="4">
        <v>151</v>
      </c>
      <c r="B132" s="4" t="s">
        <v>163</v>
      </c>
      <c r="D132" s="4" t="s">
        <v>22</v>
      </c>
      <c r="F132" s="4">
        <v>1409583</v>
      </c>
      <c r="H132" s="4">
        <v>930631</v>
      </c>
      <c r="J132" s="18">
        <v>0</v>
      </c>
      <c r="L132" s="4">
        <v>60875</v>
      </c>
      <c r="N132" s="18">
        <v>0</v>
      </c>
      <c r="P132" s="4">
        <v>34764</v>
      </c>
      <c r="R132" s="18">
        <v>0</v>
      </c>
      <c r="T132" s="4">
        <v>66388</v>
      </c>
      <c r="V132" s="4">
        <v>438</v>
      </c>
      <c r="X132" s="18">
        <v>0</v>
      </c>
      <c r="Z132" s="18">
        <v>0</v>
      </c>
      <c r="AB132" s="18">
        <v>0</v>
      </c>
      <c r="AD132" s="18">
        <v>0</v>
      </c>
      <c r="AF132" s="18">
        <v>0</v>
      </c>
      <c r="AH132" s="4">
        <f>SUM(F132:AD132)</f>
        <v>2502679</v>
      </c>
    </row>
    <row r="133" spans="1:65" s="4" customFormat="1">
      <c r="A133" s="4">
        <v>10</v>
      </c>
      <c r="B133" s="4" t="s">
        <v>164</v>
      </c>
      <c r="D133" s="4" t="s">
        <v>165</v>
      </c>
      <c r="F133" s="4">
        <v>349965</v>
      </c>
      <c r="H133" s="4">
        <v>319672</v>
      </c>
      <c r="J133" s="18">
        <v>0</v>
      </c>
      <c r="L133" s="4">
        <v>31288</v>
      </c>
      <c r="N133" s="18">
        <v>0</v>
      </c>
      <c r="P133" s="18">
        <v>0</v>
      </c>
      <c r="R133" s="4">
        <v>5566</v>
      </c>
      <c r="T133" s="4">
        <v>1272</v>
      </c>
      <c r="V133" s="4">
        <v>7926</v>
      </c>
      <c r="X133" s="18">
        <v>0</v>
      </c>
      <c r="Z133" s="18">
        <v>0</v>
      </c>
      <c r="AB133" s="18">
        <v>0</v>
      </c>
      <c r="AD133" s="18">
        <v>0</v>
      </c>
      <c r="AF133" s="18">
        <v>0</v>
      </c>
      <c r="AH133" s="4">
        <f>SUM(F133:AD133)</f>
        <v>715689</v>
      </c>
    </row>
    <row r="134" spans="1:65" s="4" customFormat="1">
      <c r="A134" s="4">
        <v>63</v>
      </c>
      <c r="B134" s="4" t="s">
        <v>36</v>
      </c>
      <c r="D134" s="4" t="s">
        <v>12</v>
      </c>
      <c r="F134" s="1">
        <v>0</v>
      </c>
      <c r="G134" s="1"/>
      <c r="H134" s="1">
        <v>304535.07</v>
      </c>
      <c r="I134" s="1"/>
      <c r="J134" s="1">
        <v>0</v>
      </c>
      <c r="K134" s="1"/>
      <c r="L134" s="1">
        <v>11211.3</v>
      </c>
      <c r="M134" s="1"/>
      <c r="N134" s="1">
        <v>0</v>
      </c>
      <c r="O134" s="1"/>
      <c r="P134" s="1">
        <v>0</v>
      </c>
      <c r="Q134" s="1"/>
      <c r="R134" s="1">
        <v>27051.439999999999</v>
      </c>
      <c r="S134" s="1"/>
      <c r="T134" s="1">
        <v>192.25</v>
      </c>
      <c r="U134" s="1"/>
      <c r="V134" s="1">
        <v>2100</v>
      </c>
      <c r="W134" s="1"/>
      <c r="X134" s="1">
        <v>0</v>
      </c>
      <c r="Y134" s="1"/>
      <c r="Z134" s="1">
        <v>0</v>
      </c>
      <c r="AA134" s="1"/>
      <c r="AB134" s="1">
        <v>0</v>
      </c>
      <c r="AC134" s="1"/>
      <c r="AD134" s="1">
        <v>0</v>
      </c>
      <c r="AE134" s="1"/>
      <c r="AF134" s="1">
        <v>0</v>
      </c>
      <c r="AH134" s="4">
        <f>SUM(F134:AD134)</f>
        <v>345090.06</v>
      </c>
    </row>
    <row r="135" spans="1:65" s="4" customFormat="1" hidden="1">
      <c r="A135" s="4">
        <v>244</v>
      </c>
      <c r="B135" s="4" t="s">
        <v>36</v>
      </c>
      <c r="D135" s="4" t="s">
        <v>12</v>
      </c>
      <c r="F135" s="18"/>
      <c r="H135" s="18"/>
      <c r="J135" s="18"/>
      <c r="L135" s="18"/>
      <c r="N135" s="18"/>
      <c r="P135" s="18"/>
      <c r="R135" s="18"/>
      <c r="T135" s="18"/>
      <c r="V135" s="18"/>
      <c r="X135" s="18"/>
      <c r="Z135" s="18"/>
      <c r="AB135" s="18"/>
      <c r="AD135" s="18"/>
      <c r="AF135" s="18"/>
      <c r="AH135" s="4">
        <f>SUM(F135:AF135)</f>
        <v>0</v>
      </c>
    </row>
    <row r="136" spans="1:65" s="4" customFormat="1" hidden="1">
      <c r="A136" s="4">
        <v>201</v>
      </c>
      <c r="B136" s="4" t="s">
        <v>166</v>
      </c>
      <c r="D136" s="4" t="s">
        <v>156</v>
      </c>
      <c r="H136" s="18"/>
      <c r="J136" s="18"/>
      <c r="N136" s="18"/>
      <c r="P136" s="18"/>
      <c r="X136" s="18"/>
      <c r="Z136" s="18"/>
      <c r="AB136" s="18"/>
      <c r="AD136" s="18"/>
      <c r="AF136" s="18"/>
      <c r="AH136" s="4">
        <f>SUM(F136:AD136)</f>
        <v>0</v>
      </c>
    </row>
    <row r="137" spans="1:65" s="4" customFormat="1">
      <c r="A137" s="4">
        <v>7</v>
      </c>
      <c r="B137" s="18" t="s">
        <v>336</v>
      </c>
      <c r="C137" s="18"/>
      <c r="D137" s="18" t="s">
        <v>52</v>
      </c>
      <c r="E137" s="18"/>
      <c r="F137" s="1">
        <v>0</v>
      </c>
      <c r="G137" s="1"/>
      <c r="H137" s="1">
        <v>223740.52</v>
      </c>
      <c r="I137" s="1"/>
      <c r="J137" s="1">
        <v>0</v>
      </c>
      <c r="K137" s="1"/>
      <c r="L137" s="1">
        <v>4135.03</v>
      </c>
      <c r="M137" s="1"/>
      <c r="N137" s="1">
        <v>0</v>
      </c>
      <c r="O137" s="1"/>
      <c r="P137" s="1">
        <v>0</v>
      </c>
      <c r="Q137" s="1"/>
      <c r="R137" s="1">
        <v>6387.95</v>
      </c>
      <c r="S137" s="1"/>
      <c r="T137" s="1">
        <v>16812.79</v>
      </c>
      <c r="U137" s="1"/>
      <c r="V137" s="1">
        <v>1873.03</v>
      </c>
      <c r="W137" s="1"/>
      <c r="X137" s="1">
        <v>0</v>
      </c>
      <c r="Y137" s="1"/>
      <c r="Z137" s="1">
        <v>0</v>
      </c>
      <c r="AA137" s="1"/>
      <c r="AB137" s="1">
        <v>0</v>
      </c>
      <c r="AC137" s="1"/>
      <c r="AD137" s="1">
        <v>0</v>
      </c>
      <c r="AE137" s="1"/>
      <c r="AF137" s="1">
        <v>0</v>
      </c>
      <c r="AG137" s="18"/>
      <c r="AH137" s="4">
        <f>SUM(F137:AF137)</f>
        <v>252949.32</v>
      </c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</row>
    <row r="138" spans="1:65" s="4" customFormat="1">
      <c r="A138" s="4">
        <v>239</v>
      </c>
      <c r="B138" s="4" t="s">
        <v>167</v>
      </c>
      <c r="D138" s="4" t="s">
        <v>168</v>
      </c>
      <c r="F138" s="1">
        <v>0</v>
      </c>
      <c r="G138" s="1"/>
      <c r="H138" s="1">
        <v>396449.01</v>
      </c>
      <c r="I138" s="1"/>
      <c r="J138" s="1">
        <v>7800</v>
      </c>
      <c r="K138" s="1"/>
      <c r="L138" s="1">
        <v>16789.900000000001</v>
      </c>
      <c r="M138" s="1"/>
      <c r="N138" s="1">
        <v>0</v>
      </c>
      <c r="O138" s="1"/>
      <c r="P138" s="1">
        <v>0</v>
      </c>
      <c r="Q138" s="1"/>
      <c r="R138" s="1">
        <v>17060.37</v>
      </c>
      <c r="S138" s="1"/>
      <c r="T138" s="1">
        <v>9574.9</v>
      </c>
      <c r="U138" s="1"/>
      <c r="V138" s="1">
        <v>5963.94</v>
      </c>
      <c r="W138" s="1"/>
      <c r="X138" s="1">
        <v>2584.5500000000002</v>
      </c>
      <c r="Y138" s="1"/>
      <c r="Z138" s="1">
        <v>0</v>
      </c>
      <c r="AA138" s="1"/>
      <c r="AB138" s="1">
        <v>0</v>
      </c>
      <c r="AC138" s="1"/>
      <c r="AD138" s="1">
        <v>0</v>
      </c>
      <c r="AE138" s="1"/>
      <c r="AF138" s="1">
        <v>0</v>
      </c>
      <c r="AH138" s="4">
        <f>SUM(F138:AF138)</f>
        <v>456222.67000000004</v>
      </c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</row>
    <row r="139" spans="1:65" s="4" customFormat="1">
      <c r="A139" s="4">
        <v>210</v>
      </c>
      <c r="B139" s="18" t="s">
        <v>335</v>
      </c>
      <c r="C139" s="18"/>
      <c r="D139" s="18" t="s">
        <v>58</v>
      </c>
      <c r="E139" s="18"/>
      <c r="F139" s="1">
        <v>0</v>
      </c>
      <c r="G139" s="1"/>
      <c r="H139" s="1">
        <v>428190.35</v>
      </c>
      <c r="I139" s="1"/>
      <c r="J139" s="1">
        <v>0</v>
      </c>
      <c r="K139" s="1"/>
      <c r="L139" s="1">
        <v>17367.78</v>
      </c>
      <c r="M139" s="1"/>
      <c r="N139" s="1">
        <v>0</v>
      </c>
      <c r="O139" s="1"/>
      <c r="P139" s="1">
        <v>0</v>
      </c>
      <c r="Q139" s="1"/>
      <c r="R139" s="1">
        <v>1597.22</v>
      </c>
      <c r="S139" s="1"/>
      <c r="T139" s="1">
        <v>18065.02</v>
      </c>
      <c r="U139" s="1"/>
      <c r="V139" s="1">
        <v>12284.96</v>
      </c>
      <c r="W139" s="1"/>
      <c r="X139" s="1">
        <v>0</v>
      </c>
      <c r="Y139" s="1"/>
      <c r="Z139" s="1">
        <v>0</v>
      </c>
      <c r="AA139" s="1"/>
      <c r="AB139" s="1">
        <v>0</v>
      </c>
      <c r="AC139" s="1"/>
      <c r="AD139" s="1">
        <v>0</v>
      </c>
      <c r="AE139" s="1"/>
      <c r="AF139" s="1">
        <v>0</v>
      </c>
      <c r="AG139" s="18"/>
      <c r="AH139" s="4">
        <f>SUM(F139:AF139)</f>
        <v>477505.33</v>
      </c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</row>
    <row r="140" spans="1:65" s="4" customFormat="1">
      <c r="A140" s="4">
        <v>66</v>
      </c>
      <c r="B140" s="4" t="s">
        <v>169</v>
      </c>
      <c r="D140" s="4" t="s">
        <v>44</v>
      </c>
      <c r="F140" s="4">
        <v>563902</v>
      </c>
      <c r="H140" s="4">
        <v>30000</v>
      </c>
      <c r="J140" s="18">
        <v>0</v>
      </c>
      <c r="L140" s="4">
        <v>13400</v>
      </c>
      <c r="N140" s="18">
        <v>0</v>
      </c>
      <c r="P140" s="18">
        <v>0</v>
      </c>
      <c r="R140" s="4">
        <v>10563</v>
      </c>
      <c r="T140" s="4">
        <v>11934</v>
      </c>
      <c r="V140" s="4">
        <v>32674</v>
      </c>
      <c r="X140" s="18">
        <v>0</v>
      </c>
      <c r="Z140" s="18">
        <v>0</v>
      </c>
      <c r="AB140" s="18">
        <v>0</v>
      </c>
      <c r="AD140" s="18">
        <v>0</v>
      </c>
      <c r="AF140" s="18">
        <v>0</v>
      </c>
      <c r="AH140" s="4">
        <f>SUM(F140:AD140)</f>
        <v>662473</v>
      </c>
    </row>
    <row r="141" spans="1:65" s="4" customFormat="1">
      <c r="A141" s="4">
        <v>242</v>
      </c>
      <c r="B141" s="4" t="s">
        <v>170</v>
      </c>
      <c r="D141" s="4" t="s">
        <v>171</v>
      </c>
      <c r="F141" s="1">
        <v>0</v>
      </c>
      <c r="G141" s="1"/>
      <c r="H141" s="1">
        <v>1316542.3799999999</v>
      </c>
      <c r="I141" s="1"/>
      <c r="J141" s="1">
        <v>2825</v>
      </c>
      <c r="K141" s="1"/>
      <c r="L141" s="1">
        <v>40148.06</v>
      </c>
      <c r="M141" s="1"/>
      <c r="N141" s="1">
        <v>0</v>
      </c>
      <c r="O141" s="1"/>
      <c r="P141" s="1">
        <v>0</v>
      </c>
      <c r="Q141" s="1"/>
      <c r="R141" s="1">
        <v>614.20000000000005</v>
      </c>
      <c r="S141" s="1"/>
      <c r="T141" s="1">
        <v>42899.3</v>
      </c>
      <c r="U141" s="1"/>
      <c r="V141" s="1">
        <v>3737.74</v>
      </c>
      <c r="W141" s="1"/>
      <c r="X141" s="1">
        <v>0</v>
      </c>
      <c r="Y141" s="1"/>
      <c r="Z141" s="1">
        <v>0</v>
      </c>
      <c r="AA141" s="1"/>
      <c r="AB141" s="1">
        <v>0</v>
      </c>
      <c r="AC141" s="1"/>
      <c r="AD141" s="1">
        <v>0</v>
      </c>
      <c r="AE141" s="1"/>
      <c r="AF141" s="1">
        <v>0</v>
      </c>
      <c r="AH141" s="4">
        <f>SUM(F141:AF141)</f>
        <v>1406766.68</v>
      </c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</row>
    <row r="142" spans="1:65" s="4" customFormat="1">
      <c r="A142" s="4">
        <v>48</v>
      </c>
      <c r="B142" s="18" t="s">
        <v>172</v>
      </c>
      <c r="C142" s="18"/>
      <c r="D142" s="18" t="s">
        <v>42</v>
      </c>
      <c r="E142" s="18"/>
      <c r="F142" s="1">
        <v>105386.57</v>
      </c>
      <c r="G142" s="1"/>
      <c r="H142" s="1">
        <v>219995.77</v>
      </c>
      <c r="I142" s="1"/>
      <c r="J142" s="1">
        <v>14697.58</v>
      </c>
      <c r="K142" s="1"/>
      <c r="L142" s="1">
        <v>6005.3</v>
      </c>
      <c r="M142" s="1"/>
      <c r="N142" s="1">
        <v>0</v>
      </c>
      <c r="O142" s="1"/>
      <c r="P142" s="1">
        <v>0</v>
      </c>
      <c r="Q142" s="1"/>
      <c r="R142" s="1">
        <v>8666.84</v>
      </c>
      <c r="S142" s="1"/>
      <c r="T142" s="1">
        <v>8.24</v>
      </c>
      <c r="U142" s="1"/>
      <c r="V142" s="1">
        <v>674.06</v>
      </c>
      <c r="W142" s="1"/>
      <c r="X142" s="1">
        <v>0</v>
      </c>
      <c r="Y142" s="1"/>
      <c r="Z142" s="1">
        <v>0</v>
      </c>
      <c r="AA142" s="1"/>
      <c r="AB142" s="1">
        <v>0</v>
      </c>
      <c r="AC142" s="1"/>
      <c r="AD142" s="1">
        <v>0</v>
      </c>
      <c r="AE142" s="1"/>
      <c r="AF142" s="1">
        <v>0</v>
      </c>
      <c r="AG142" s="18"/>
      <c r="AH142" s="4">
        <f>SUM(F142:AF142)</f>
        <v>355434.36</v>
      </c>
    </row>
    <row r="143" spans="1:65" s="4" customFormat="1">
      <c r="A143" s="4">
        <v>46</v>
      </c>
      <c r="B143" s="4" t="s">
        <v>173</v>
      </c>
      <c r="D143" s="4" t="s">
        <v>55</v>
      </c>
      <c r="F143" s="1">
        <v>0</v>
      </c>
      <c r="G143" s="1"/>
      <c r="H143" s="1">
        <v>425123.79</v>
      </c>
      <c r="I143" s="1"/>
      <c r="J143" s="1">
        <v>0</v>
      </c>
      <c r="K143" s="1"/>
      <c r="L143" s="1">
        <v>10877.11</v>
      </c>
      <c r="M143" s="1"/>
      <c r="N143" s="1">
        <v>0</v>
      </c>
      <c r="O143" s="1"/>
      <c r="P143" s="1">
        <v>0</v>
      </c>
      <c r="Q143" s="1"/>
      <c r="R143" s="1">
        <v>200</v>
      </c>
      <c r="S143" s="1"/>
      <c r="T143" s="1">
        <v>146.41</v>
      </c>
      <c r="U143" s="1"/>
      <c r="V143" s="1">
        <v>0</v>
      </c>
      <c r="W143" s="1"/>
      <c r="X143" s="1">
        <v>0</v>
      </c>
      <c r="Y143" s="1"/>
      <c r="Z143" s="1">
        <v>0</v>
      </c>
      <c r="AA143" s="1"/>
      <c r="AB143" s="1">
        <v>0</v>
      </c>
      <c r="AC143" s="1"/>
      <c r="AD143" s="1">
        <v>0</v>
      </c>
      <c r="AE143" s="1"/>
      <c r="AF143" s="1">
        <v>0</v>
      </c>
      <c r="AH143" s="4">
        <f>SUM(F143:AF143)</f>
        <v>436347.30999999994</v>
      </c>
    </row>
    <row r="144" spans="1:65" s="4" customFormat="1">
      <c r="A144" s="4">
        <v>37</v>
      </c>
      <c r="B144" s="4" t="s">
        <v>174</v>
      </c>
      <c r="D144" s="4" t="s">
        <v>15</v>
      </c>
      <c r="F144" s="1">
        <v>315144.52</v>
      </c>
      <c r="G144" s="1"/>
      <c r="H144" s="1">
        <v>429082.56</v>
      </c>
      <c r="I144" s="1"/>
      <c r="J144" s="1">
        <v>46232.82</v>
      </c>
      <c r="K144" s="1"/>
      <c r="L144" s="1">
        <v>14623.08</v>
      </c>
      <c r="M144" s="1"/>
      <c r="N144" s="1">
        <v>0</v>
      </c>
      <c r="O144" s="1"/>
      <c r="P144" s="1">
        <v>0</v>
      </c>
      <c r="Q144" s="1"/>
      <c r="R144" s="1">
        <v>13001</v>
      </c>
      <c r="S144" s="1"/>
      <c r="T144" s="1">
        <v>2544.63</v>
      </c>
      <c r="U144" s="1"/>
      <c r="V144" s="1">
        <v>1758.21</v>
      </c>
      <c r="W144" s="1"/>
      <c r="X144" s="1">
        <v>0</v>
      </c>
      <c r="Y144" s="1"/>
      <c r="Z144" s="1">
        <v>0</v>
      </c>
      <c r="AA144" s="1"/>
      <c r="AB144" s="1">
        <v>0</v>
      </c>
      <c r="AC144" s="1"/>
      <c r="AD144" s="1">
        <v>0</v>
      </c>
      <c r="AE144" s="1"/>
      <c r="AF144" s="1">
        <v>12012</v>
      </c>
      <c r="AH144" s="4">
        <f>SUM(F144:AF144)</f>
        <v>834398.82</v>
      </c>
    </row>
    <row r="145" spans="1:65" s="4" customFormat="1">
      <c r="A145" s="4">
        <v>229</v>
      </c>
      <c r="B145" s="13" t="s">
        <v>409</v>
      </c>
      <c r="C145" s="13"/>
      <c r="D145" s="13" t="s">
        <v>19</v>
      </c>
      <c r="E145" s="13"/>
      <c r="F145" s="4">
        <v>2030340</v>
      </c>
      <c r="G145" s="13"/>
      <c r="H145" s="4">
        <v>0</v>
      </c>
      <c r="I145" s="13"/>
      <c r="J145" s="4">
        <v>2166244</v>
      </c>
      <c r="K145" s="13"/>
      <c r="L145" s="4">
        <v>105852</v>
      </c>
      <c r="M145" s="13"/>
      <c r="N145" s="18">
        <v>0</v>
      </c>
      <c r="O145" s="13"/>
      <c r="P145" s="18">
        <v>0</v>
      </c>
      <c r="Q145" s="13"/>
      <c r="R145" s="4">
        <v>8172</v>
      </c>
      <c r="S145" s="13"/>
      <c r="T145" s="4">
        <v>13021</v>
      </c>
      <c r="U145" s="13"/>
      <c r="V145" s="4">
        <v>5244</v>
      </c>
      <c r="W145" s="13"/>
      <c r="X145" s="4">
        <v>0</v>
      </c>
      <c r="Y145" s="13"/>
      <c r="Z145" s="4">
        <v>0</v>
      </c>
      <c r="AA145" s="13"/>
      <c r="AB145" s="4">
        <v>0</v>
      </c>
      <c r="AC145" s="13"/>
      <c r="AD145" s="4">
        <v>0</v>
      </c>
      <c r="AE145" s="13"/>
      <c r="AF145" s="4">
        <v>0</v>
      </c>
      <c r="AG145" s="13"/>
      <c r="AH145" s="4">
        <f>SUM(F145:AD145)</f>
        <v>4328873</v>
      </c>
    </row>
    <row r="146" spans="1:65" s="4" customFormat="1">
      <c r="A146" s="4">
        <v>99</v>
      </c>
      <c r="B146" s="4" t="s">
        <v>9</v>
      </c>
      <c r="D146" s="4" t="s">
        <v>10</v>
      </c>
      <c r="F146" s="4">
        <v>0</v>
      </c>
      <c r="H146" s="4">
        <v>0</v>
      </c>
      <c r="J146" s="4">
        <v>4894499</v>
      </c>
      <c r="L146" s="4">
        <v>244339</v>
      </c>
      <c r="N146" s="18">
        <v>0</v>
      </c>
      <c r="P146" s="4">
        <v>0</v>
      </c>
      <c r="R146" s="4">
        <v>0</v>
      </c>
      <c r="T146" s="4">
        <v>23559</v>
      </c>
      <c r="V146" s="4">
        <v>42688</v>
      </c>
      <c r="X146" s="4">
        <v>0</v>
      </c>
      <c r="Z146" s="4">
        <v>0</v>
      </c>
      <c r="AB146" s="4">
        <v>0</v>
      </c>
      <c r="AD146" s="4">
        <v>0</v>
      </c>
      <c r="AF146" s="4">
        <v>0</v>
      </c>
      <c r="AH146" s="4">
        <f>SUM(F146:AD146)</f>
        <v>5205085</v>
      </c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</row>
    <row r="147" spans="1:65" s="4" customFormat="1">
      <c r="A147" s="4">
        <v>89</v>
      </c>
      <c r="B147" s="18" t="s">
        <v>175</v>
      </c>
      <c r="C147" s="18"/>
      <c r="D147" s="18" t="s">
        <v>53</v>
      </c>
      <c r="E147" s="18"/>
      <c r="F147" s="1">
        <v>0</v>
      </c>
      <c r="G147" s="1"/>
      <c r="H147" s="1">
        <v>678309.27</v>
      </c>
      <c r="I147" s="1"/>
      <c r="J147" s="1">
        <v>1005</v>
      </c>
      <c r="K147" s="1"/>
      <c r="L147" s="1">
        <v>37645.15</v>
      </c>
      <c r="M147" s="1"/>
      <c r="N147" s="1">
        <v>0</v>
      </c>
      <c r="O147" s="1"/>
      <c r="P147" s="1">
        <v>0</v>
      </c>
      <c r="Q147" s="1"/>
      <c r="R147" s="1">
        <v>5153.16</v>
      </c>
      <c r="S147" s="1"/>
      <c r="T147" s="1">
        <v>5101.43</v>
      </c>
      <c r="U147" s="1"/>
      <c r="V147" s="1">
        <v>632.36</v>
      </c>
      <c r="W147" s="1"/>
      <c r="X147" s="1">
        <v>2545.25</v>
      </c>
      <c r="Y147" s="1"/>
      <c r="Z147" s="1">
        <v>0</v>
      </c>
      <c r="AA147" s="1"/>
      <c r="AB147" s="1">
        <v>0</v>
      </c>
      <c r="AC147" s="1"/>
      <c r="AD147" s="1">
        <v>0</v>
      </c>
      <c r="AE147" s="1"/>
      <c r="AF147" s="1">
        <v>0</v>
      </c>
      <c r="AG147" s="18"/>
      <c r="AH147" s="4">
        <f>SUM(F147:AF147)</f>
        <v>730391.62000000011</v>
      </c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</row>
    <row r="148" spans="1:65" s="4" customFormat="1">
      <c r="A148" s="4">
        <v>170</v>
      </c>
      <c r="B148" s="4" t="s">
        <v>304</v>
      </c>
      <c r="D148" s="4" t="s">
        <v>50</v>
      </c>
      <c r="F148" s="1">
        <v>0</v>
      </c>
      <c r="G148" s="1"/>
      <c r="H148" s="1">
        <v>272871.21000000002</v>
      </c>
      <c r="I148" s="1"/>
      <c r="J148" s="1">
        <v>0</v>
      </c>
      <c r="K148" s="1"/>
      <c r="L148" s="1">
        <v>5941.35</v>
      </c>
      <c r="M148" s="1"/>
      <c r="N148" s="1">
        <v>0</v>
      </c>
      <c r="O148" s="1"/>
      <c r="P148" s="1">
        <v>0</v>
      </c>
      <c r="Q148" s="1"/>
      <c r="R148" s="1">
        <v>12681.48</v>
      </c>
      <c r="S148" s="1"/>
      <c r="T148" s="1">
        <v>14647.09</v>
      </c>
      <c r="U148" s="1"/>
      <c r="V148" s="1">
        <v>441.6</v>
      </c>
      <c r="W148" s="1"/>
      <c r="X148" s="1">
        <v>0</v>
      </c>
      <c r="Y148" s="1"/>
      <c r="Z148" s="1">
        <v>0</v>
      </c>
      <c r="AA148" s="1"/>
      <c r="AB148" s="1">
        <v>0</v>
      </c>
      <c r="AC148" s="1"/>
      <c r="AD148" s="1">
        <f>803.9+800000</f>
        <v>800803.9</v>
      </c>
      <c r="AE148" s="1"/>
      <c r="AF148" s="1">
        <v>0</v>
      </c>
      <c r="AH148" s="4">
        <f>SUM(F148:AF148)</f>
        <v>1107386.6299999999</v>
      </c>
    </row>
    <row r="149" spans="1:65">
      <c r="A149" s="4">
        <v>39</v>
      </c>
      <c r="B149" s="4" t="s">
        <v>176</v>
      </c>
      <c r="C149" s="4"/>
      <c r="D149" s="4" t="s">
        <v>50</v>
      </c>
      <c r="E149" s="4"/>
      <c r="F149" s="1">
        <v>0</v>
      </c>
      <c r="G149" s="1"/>
      <c r="H149" s="1">
        <v>439115.58</v>
      </c>
      <c r="I149" s="1"/>
      <c r="J149" s="1">
        <v>0</v>
      </c>
      <c r="K149" s="1"/>
      <c r="L149" s="1">
        <v>7872.14</v>
      </c>
      <c r="M149" s="1"/>
      <c r="N149" s="1">
        <v>0</v>
      </c>
      <c r="O149" s="1"/>
      <c r="P149" s="1">
        <v>0</v>
      </c>
      <c r="Q149" s="1"/>
      <c r="R149" s="1">
        <v>52892.97</v>
      </c>
      <c r="S149" s="1"/>
      <c r="T149" s="1">
        <v>61637.46</v>
      </c>
      <c r="U149" s="1"/>
      <c r="V149" s="1">
        <v>18572.36</v>
      </c>
      <c r="W149" s="1"/>
      <c r="X149" s="1">
        <v>0</v>
      </c>
      <c r="Y149" s="1"/>
      <c r="Z149" s="1">
        <v>81148.5</v>
      </c>
      <c r="AA149" s="1"/>
      <c r="AB149" s="1">
        <v>0</v>
      </c>
      <c r="AC149" s="1"/>
      <c r="AD149" s="1">
        <v>0</v>
      </c>
      <c r="AE149" s="1"/>
      <c r="AF149" s="1">
        <v>0</v>
      </c>
      <c r="AG149" s="4"/>
      <c r="AH149" s="4">
        <f>SUM(F149:AF149)</f>
        <v>661239.01</v>
      </c>
    </row>
    <row r="150" spans="1:65">
      <c r="A150" s="4">
        <v>205</v>
      </c>
      <c r="B150" s="4" t="s">
        <v>177</v>
      </c>
      <c r="C150" s="4"/>
      <c r="D150" s="4" t="s">
        <v>59</v>
      </c>
      <c r="E150" s="4"/>
      <c r="F150" s="1">
        <v>0</v>
      </c>
      <c r="G150" s="1"/>
      <c r="H150" s="1">
        <v>140668.76999999999</v>
      </c>
      <c r="I150" s="1"/>
      <c r="J150" s="1">
        <v>0</v>
      </c>
      <c r="K150" s="1"/>
      <c r="L150" s="1">
        <v>5697.23</v>
      </c>
      <c r="M150" s="1"/>
      <c r="N150" s="1">
        <v>0</v>
      </c>
      <c r="O150" s="1"/>
      <c r="P150" s="1">
        <v>761.57</v>
      </c>
      <c r="Q150" s="1"/>
      <c r="R150" s="1">
        <v>5208.46</v>
      </c>
      <c r="S150" s="1"/>
      <c r="T150" s="1">
        <v>16.059999999999999</v>
      </c>
      <c r="U150" s="1"/>
      <c r="V150" s="1">
        <v>217.21</v>
      </c>
      <c r="W150" s="1"/>
      <c r="X150" s="1">
        <v>0</v>
      </c>
      <c r="Y150" s="1"/>
      <c r="Z150" s="1">
        <v>0</v>
      </c>
      <c r="AA150" s="1"/>
      <c r="AB150" s="1">
        <v>0</v>
      </c>
      <c r="AC150" s="1"/>
      <c r="AD150" s="1">
        <v>0</v>
      </c>
      <c r="AE150" s="1"/>
      <c r="AF150" s="1">
        <v>0</v>
      </c>
      <c r="AG150" s="4"/>
      <c r="AH150" s="4">
        <f>SUM(F150:AF150)</f>
        <v>152569.29999999999</v>
      </c>
    </row>
    <row r="151" spans="1:65" hidden="1">
      <c r="A151" s="4">
        <v>232</v>
      </c>
      <c r="B151" s="4" t="s">
        <v>519</v>
      </c>
      <c r="C151" s="4"/>
      <c r="D151" s="4" t="s">
        <v>40</v>
      </c>
      <c r="E151" s="4"/>
      <c r="F151" s="4"/>
      <c r="G151" s="4"/>
      <c r="H151" s="4"/>
      <c r="I151" s="4"/>
      <c r="J151" s="18"/>
      <c r="K151" s="4"/>
      <c r="L151" s="4"/>
      <c r="M151" s="4"/>
      <c r="N151" s="18"/>
      <c r="O151" s="4"/>
      <c r="P151" s="4"/>
      <c r="Q151" s="4"/>
      <c r="R151" s="4"/>
      <c r="S151" s="4"/>
      <c r="T151" s="4"/>
      <c r="U151" s="4"/>
      <c r="V151" s="4"/>
      <c r="W151" s="4"/>
      <c r="X151" s="18"/>
      <c r="Y151" s="4"/>
      <c r="Z151" s="4"/>
      <c r="AA151" s="4"/>
      <c r="AB151" s="18"/>
      <c r="AC151" s="4"/>
      <c r="AD151" s="18"/>
      <c r="AE151" s="4"/>
      <c r="AF151" s="18"/>
      <c r="AG151" s="4"/>
      <c r="AH151" s="4">
        <f t="shared" ref="AH151:AH157" si="2">SUM(F151:AD151)</f>
        <v>0</v>
      </c>
    </row>
    <row r="152" spans="1:65" s="4" customFormat="1">
      <c r="A152" s="4">
        <v>228</v>
      </c>
      <c r="B152" s="4" t="s">
        <v>178</v>
      </c>
      <c r="D152" s="4" t="s">
        <v>96</v>
      </c>
      <c r="F152" s="18">
        <v>0</v>
      </c>
      <c r="H152" s="4">
        <v>2979723</v>
      </c>
      <c r="J152" s="18">
        <v>0</v>
      </c>
      <c r="L152" s="4">
        <v>72013</v>
      </c>
      <c r="N152" s="18">
        <v>0</v>
      </c>
      <c r="P152" s="4">
        <v>5586</v>
      </c>
      <c r="R152" s="18">
        <v>3881</v>
      </c>
      <c r="T152" s="4">
        <v>12584</v>
      </c>
      <c r="V152" s="4">
        <v>137193</v>
      </c>
      <c r="X152" s="18">
        <v>0</v>
      </c>
      <c r="Z152" s="18">
        <v>0</v>
      </c>
      <c r="AB152" s="18">
        <v>0</v>
      </c>
      <c r="AD152" s="18">
        <v>0</v>
      </c>
      <c r="AF152" s="18">
        <v>0</v>
      </c>
      <c r="AH152" s="4">
        <f t="shared" si="2"/>
        <v>3210980</v>
      </c>
    </row>
    <row r="153" spans="1:65" s="12" customFormat="1">
      <c r="A153" s="4">
        <v>105</v>
      </c>
      <c r="B153" s="4" t="s">
        <v>520</v>
      </c>
      <c r="C153" s="4"/>
      <c r="D153" s="4" t="s">
        <v>86</v>
      </c>
      <c r="E153" s="4"/>
      <c r="F153" s="18">
        <v>0</v>
      </c>
      <c r="G153" s="4"/>
      <c r="H153" s="4">
        <v>1202052</v>
      </c>
      <c r="I153" s="4"/>
      <c r="J153" s="4">
        <v>21007</v>
      </c>
      <c r="K153" s="4"/>
      <c r="L153" s="4">
        <v>23560</v>
      </c>
      <c r="M153" s="4"/>
      <c r="N153" s="18">
        <v>0</v>
      </c>
      <c r="O153" s="4"/>
      <c r="P153" s="4">
        <v>0</v>
      </c>
      <c r="Q153" s="4"/>
      <c r="R153" s="4">
        <v>24099</v>
      </c>
      <c r="S153" s="4"/>
      <c r="T153" s="4">
        <v>1310</v>
      </c>
      <c r="U153" s="4"/>
      <c r="V153" s="4">
        <v>29064</v>
      </c>
      <c r="W153" s="4"/>
      <c r="X153" s="18">
        <v>0</v>
      </c>
      <c r="Y153" s="4"/>
      <c r="Z153" s="18">
        <v>0</v>
      </c>
      <c r="AA153" s="4"/>
      <c r="AB153" s="18">
        <v>0</v>
      </c>
      <c r="AC153" s="4"/>
      <c r="AD153" s="18">
        <v>0</v>
      </c>
      <c r="AE153" s="4"/>
      <c r="AF153" s="18">
        <v>0</v>
      </c>
      <c r="AG153" s="4"/>
      <c r="AH153" s="4">
        <f t="shared" si="2"/>
        <v>1301092</v>
      </c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</row>
    <row r="154" spans="1:65" s="4" customFormat="1">
      <c r="A154" s="4">
        <v>182</v>
      </c>
      <c r="B154" s="4" t="s">
        <v>521</v>
      </c>
      <c r="D154" s="4" t="s">
        <v>179</v>
      </c>
      <c r="F154" s="4">
        <v>0</v>
      </c>
      <c r="H154" s="18">
        <v>811209</v>
      </c>
      <c r="J154" s="18">
        <v>0</v>
      </c>
      <c r="L154" s="4">
        <v>40937</v>
      </c>
      <c r="N154" s="18">
        <v>0</v>
      </c>
      <c r="P154" s="18">
        <v>0</v>
      </c>
      <c r="R154" s="4">
        <v>650</v>
      </c>
      <c r="T154" s="4">
        <v>43182</v>
      </c>
      <c r="V154" s="4">
        <v>30660</v>
      </c>
      <c r="X154" s="18">
        <v>0</v>
      </c>
      <c r="Z154" s="18">
        <v>0</v>
      </c>
      <c r="AB154" s="18">
        <v>0</v>
      </c>
      <c r="AD154" s="18">
        <v>0</v>
      </c>
      <c r="AF154" s="18">
        <v>0</v>
      </c>
      <c r="AH154" s="4">
        <f t="shared" si="2"/>
        <v>926638</v>
      </c>
    </row>
    <row r="155" spans="1:65" s="4" customFormat="1">
      <c r="A155" s="4">
        <v>27</v>
      </c>
      <c r="B155" s="4" t="s">
        <v>11</v>
      </c>
      <c r="D155" s="4" t="s">
        <v>12</v>
      </c>
      <c r="F155" s="4">
        <v>335606</v>
      </c>
      <c r="H155" s="4">
        <v>0</v>
      </c>
      <c r="J155" s="18">
        <v>532194</v>
      </c>
      <c r="L155" s="4">
        <v>22631</v>
      </c>
      <c r="N155" s="18">
        <v>0</v>
      </c>
      <c r="P155" s="18">
        <v>0</v>
      </c>
      <c r="R155" s="4">
        <v>3719</v>
      </c>
      <c r="T155" s="4">
        <v>16672</v>
      </c>
      <c r="V155" s="4">
        <v>329</v>
      </c>
      <c r="X155" s="18">
        <v>0</v>
      </c>
      <c r="Z155" s="18">
        <v>0</v>
      </c>
      <c r="AB155" s="18">
        <v>0</v>
      </c>
      <c r="AD155" s="18">
        <v>0</v>
      </c>
      <c r="AF155" s="18">
        <v>0</v>
      </c>
      <c r="AH155" s="4">
        <f t="shared" si="2"/>
        <v>911151</v>
      </c>
    </row>
    <row r="156" spans="1:65" s="4" customFormat="1">
      <c r="A156" s="4">
        <v>114</v>
      </c>
      <c r="B156" s="10" t="s">
        <v>510</v>
      </c>
      <c r="C156" s="10"/>
      <c r="D156" s="10" t="s">
        <v>82</v>
      </c>
      <c r="E156" s="10"/>
      <c r="F156" s="4">
        <v>1413</v>
      </c>
      <c r="G156" s="13"/>
      <c r="H156" s="4">
        <v>561542</v>
      </c>
      <c r="I156" s="13"/>
      <c r="J156" s="4">
        <v>0</v>
      </c>
      <c r="K156" s="13"/>
      <c r="L156" s="4">
        <v>16613</v>
      </c>
      <c r="M156" s="13"/>
      <c r="N156" s="4">
        <v>0</v>
      </c>
      <c r="O156" s="13"/>
      <c r="P156" s="4">
        <v>341</v>
      </c>
      <c r="Q156" s="13"/>
      <c r="R156" s="4">
        <v>9661</v>
      </c>
      <c r="S156" s="13"/>
      <c r="T156" s="4">
        <v>1365</v>
      </c>
      <c r="U156" s="13"/>
      <c r="V156" s="4">
        <v>643</v>
      </c>
      <c r="W156" s="13"/>
      <c r="X156" s="18">
        <v>0</v>
      </c>
      <c r="Y156" s="13"/>
      <c r="Z156" s="18">
        <v>0</v>
      </c>
      <c r="AA156" s="13"/>
      <c r="AB156" s="18">
        <v>0</v>
      </c>
      <c r="AC156" s="13"/>
      <c r="AD156" s="18">
        <v>0</v>
      </c>
      <c r="AE156" s="13"/>
      <c r="AF156" s="18">
        <v>0</v>
      </c>
      <c r="AG156" s="13"/>
      <c r="AH156" s="4">
        <f t="shared" si="2"/>
        <v>591578</v>
      </c>
    </row>
    <row r="157" spans="1:65">
      <c r="A157" s="4">
        <v>67</v>
      </c>
      <c r="B157" s="4" t="s">
        <v>180</v>
      </c>
      <c r="C157" s="4"/>
      <c r="D157" s="4" t="s">
        <v>56</v>
      </c>
      <c r="E157" s="4"/>
      <c r="F157" s="18">
        <v>0</v>
      </c>
      <c r="G157" s="4"/>
      <c r="H157" s="4">
        <v>0</v>
      </c>
      <c r="I157" s="4"/>
      <c r="J157" s="18">
        <v>3694465</v>
      </c>
      <c r="K157" s="4"/>
      <c r="L157" s="4">
        <v>0</v>
      </c>
      <c r="M157" s="4"/>
      <c r="N157" s="18">
        <v>0</v>
      </c>
      <c r="O157" s="4"/>
      <c r="P157" s="18">
        <v>127341</v>
      </c>
      <c r="Q157" s="4"/>
      <c r="R157" s="4">
        <f>9674+351</f>
        <v>10025</v>
      </c>
      <c r="S157" s="4"/>
      <c r="T157" s="4">
        <v>6449</v>
      </c>
      <c r="U157" s="4"/>
      <c r="V157" s="4">
        <v>21787</v>
      </c>
      <c r="W157" s="4"/>
      <c r="X157" s="18">
        <v>0</v>
      </c>
      <c r="Y157" s="4"/>
      <c r="Z157" s="18">
        <v>0</v>
      </c>
      <c r="AA157" s="4"/>
      <c r="AB157" s="18">
        <v>0</v>
      </c>
      <c r="AC157" s="4"/>
      <c r="AD157" s="4">
        <v>359</v>
      </c>
      <c r="AE157" s="4"/>
      <c r="AF157" s="18">
        <v>0</v>
      </c>
      <c r="AG157" s="4"/>
      <c r="AH157" s="4">
        <f t="shared" si="2"/>
        <v>3860426</v>
      </c>
    </row>
    <row r="158" spans="1:65" s="4" customFormat="1">
      <c r="A158" s="4">
        <v>225</v>
      </c>
      <c r="B158" s="4" t="s">
        <v>305</v>
      </c>
      <c r="D158" s="4" t="s">
        <v>25</v>
      </c>
      <c r="F158" s="1">
        <v>528743.93000000005</v>
      </c>
      <c r="G158" s="1"/>
      <c r="H158" s="1">
        <v>0</v>
      </c>
      <c r="I158" s="1"/>
      <c r="J158" s="1">
        <v>500</v>
      </c>
      <c r="K158" s="1"/>
      <c r="L158" s="1">
        <v>23496.22</v>
      </c>
      <c r="M158" s="1"/>
      <c r="N158" s="1">
        <v>0</v>
      </c>
      <c r="O158" s="1"/>
      <c r="P158" s="1">
        <v>10216.290000000001</v>
      </c>
      <c r="Q158" s="1"/>
      <c r="R158" s="1">
        <v>13950.42</v>
      </c>
      <c r="S158" s="1"/>
      <c r="T158" s="1">
        <v>0</v>
      </c>
      <c r="U158" s="1"/>
      <c r="V158" s="1">
        <v>5805.34</v>
      </c>
      <c r="W158" s="1"/>
      <c r="X158" s="1">
        <v>438</v>
      </c>
      <c r="Y158" s="1"/>
      <c r="Z158" s="1">
        <v>41000</v>
      </c>
      <c r="AA158" s="1"/>
      <c r="AB158" s="1">
        <v>0</v>
      </c>
      <c r="AC158" s="1"/>
      <c r="AD158" s="1">
        <v>0</v>
      </c>
      <c r="AE158" s="1"/>
      <c r="AF158" s="1">
        <v>0</v>
      </c>
      <c r="AH158" s="4">
        <f>SUM(F158:AF158)</f>
        <v>624150.20000000007</v>
      </c>
    </row>
    <row r="159" spans="1:65" s="4" customFormat="1">
      <c r="A159" s="4">
        <v>224</v>
      </c>
      <c r="B159" s="4" t="s">
        <v>182</v>
      </c>
      <c r="D159" s="4" t="s">
        <v>15</v>
      </c>
      <c r="F159" s="4">
        <v>282504</v>
      </c>
      <c r="H159" s="18">
        <v>0</v>
      </c>
      <c r="J159" s="4">
        <v>652926</v>
      </c>
      <c r="L159" s="4">
        <v>35048</v>
      </c>
      <c r="N159" s="18">
        <v>0</v>
      </c>
      <c r="P159" s="18">
        <v>0</v>
      </c>
      <c r="R159" s="4">
        <v>10552</v>
      </c>
      <c r="T159" s="4">
        <v>5235</v>
      </c>
      <c r="V159" s="4">
        <v>5260</v>
      </c>
      <c r="X159" s="18">
        <v>0</v>
      </c>
      <c r="Z159" s="18">
        <v>0</v>
      </c>
      <c r="AB159" s="18">
        <v>0</v>
      </c>
      <c r="AD159" s="18">
        <v>0</v>
      </c>
      <c r="AF159" s="18">
        <v>0</v>
      </c>
      <c r="AH159" s="4">
        <f>SUM(F159:AD159)</f>
        <v>991525</v>
      </c>
    </row>
    <row r="160" spans="1:65" s="4" customFormat="1">
      <c r="A160" s="4">
        <v>184</v>
      </c>
      <c r="B160" s="4" t="s">
        <v>548</v>
      </c>
      <c r="D160" s="4" t="s">
        <v>183</v>
      </c>
      <c r="F160" s="4">
        <v>3412429</v>
      </c>
      <c r="H160" s="4">
        <v>3613195</v>
      </c>
      <c r="J160" s="4">
        <v>428630</v>
      </c>
      <c r="L160" s="4">
        <v>234886</v>
      </c>
      <c r="N160" s="18">
        <v>0</v>
      </c>
      <c r="P160" s="4">
        <v>0</v>
      </c>
      <c r="R160" s="4">
        <v>26472</v>
      </c>
      <c r="T160" s="4">
        <v>78115</v>
      </c>
      <c r="V160" s="4">
        <v>144604</v>
      </c>
      <c r="X160" s="18">
        <v>0</v>
      </c>
      <c r="Z160" s="18">
        <v>0</v>
      </c>
      <c r="AB160" s="18">
        <v>0</v>
      </c>
      <c r="AD160" s="18">
        <v>0</v>
      </c>
      <c r="AF160" s="18">
        <v>0</v>
      </c>
      <c r="AH160" s="4">
        <f>SUM(F160:AD160)</f>
        <v>7938331</v>
      </c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</row>
    <row r="161" spans="1:65" s="4" customFormat="1">
      <c r="A161" s="4">
        <v>212</v>
      </c>
      <c r="B161" s="4" t="s">
        <v>184</v>
      </c>
      <c r="D161" s="4" t="s">
        <v>101</v>
      </c>
      <c r="F161" s="1">
        <v>0</v>
      </c>
      <c r="G161" s="1"/>
      <c r="H161" s="1">
        <v>49624.4</v>
      </c>
      <c r="I161" s="1"/>
      <c r="J161" s="1">
        <v>0</v>
      </c>
      <c r="K161" s="1"/>
      <c r="L161" s="1">
        <v>5140.21</v>
      </c>
      <c r="M161" s="1"/>
      <c r="N161" s="1">
        <v>0</v>
      </c>
      <c r="O161" s="1"/>
      <c r="P161" s="1">
        <v>0</v>
      </c>
      <c r="Q161" s="1"/>
      <c r="R161" s="1">
        <v>0</v>
      </c>
      <c r="S161" s="1"/>
      <c r="T161" s="1">
        <v>823.98</v>
      </c>
      <c r="U161" s="1"/>
      <c r="V161" s="1">
        <v>0</v>
      </c>
      <c r="W161" s="1"/>
      <c r="X161" s="1">
        <v>0</v>
      </c>
      <c r="Y161" s="1"/>
      <c r="Z161" s="1">
        <v>0</v>
      </c>
      <c r="AA161" s="1"/>
      <c r="AB161" s="1">
        <v>0</v>
      </c>
      <c r="AC161" s="1"/>
      <c r="AD161" s="1">
        <v>0</v>
      </c>
      <c r="AE161" s="1"/>
      <c r="AF161" s="1">
        <v>0</v>
      </c>
      <c r="AH161" s="4">
        <f>SUM(F161:AF161)</f>
        <v>55588.590000000004</v>
      </c>
    </row>
    <row r="162" spans="1:65">
      <c r="A162" s="4">
        <v>124</v>
      </c>
      <c r="B162" s="4" t="s">
        <v>185</v>
      </c>
      <c r="C162" s="4"/>
      <c r="D162" s="4" t="s">
        <v>186</v>
      </c>
      <c r="E162" s="4"/>
      <c r="F162" s="18">
        <v>0</v>
      </c>
      <c r="G162" s="4"/>
      <c r="H162" s="4">
        <v>1978367</v>
      </c>
      <c r="I162" s="4"/>
      <c r="J162" s="18">
        <v>0</v>
      </c>
      <c r="K162" s="4"/>
      <c r="L162" s="4">
        <v>56743</v>
      </c>
      <c r="M162" s="4"/>
      <c r="N162" s="18">
        <v>0</v>
      </c>
      <c r="O162" s="4"/>
      <c r="P162" s="18">
        <v>0</v>
      </c>
      <c r="Q162" s="4"/>
      <c r="R162" s="4">
        <v>15150</v>
      </c>
      <c r="S162" s="4"/>
      <c r="T162" s="4">
        <v>27342</v>
      </c>
      <c r="U162" s="4"/>
      <c r="V162" s="4">
        <v>65351</v>
      </c>
      <c r="W162" s="4"/>
      <c r="X162" s="18">
        <v>0</v>
      </c>
      <c r="Y162" s="4"/>
      <c r="Z162" s="18">
        <v>0</v>
      </c>
      <c r="AA162" s="4"/>
      <c r="AB162" s="18">
        <v>0</v>
      </c>
      <c r="AC162" s="4"/>
      <c r="AD162" s="18">
        <v>0</v>
      </c>
      <c r="AE162" s="4"/>
      <c r="AF162" s="18">
        <v>0</v>
      </c>
      <c r="AG162" s="4"/>
      <c r="AH162" s="4">
        <f>SUM(F162:AD162)</f>
        <v>2142953</v>
      </c>
    </row>
    <row r="163" spans="1:65">
      <c r="A163" s="4">
        <v>38</v>
      </c>
      <c r="B163" s="18" t="s">
        <v>401</v>
      </c>
      <c r="C163" s="18"/>
      <c r="D163" s="18" t="s">
        <v>13</v>
      </c>
      <c r="E163" s="18"/>
      <c r="F163" s="1">
        <v>0</v>
      </c>
      <c r="G163" s="1"/>
      <c r="H163" s="1">
        <v>940118.35</v>
      </c>
      <c r="I163" s="1"/>
      <c r="J163" s="1">
        <v>38700</v>
      </c>
      <c r="K163" s="1"/>
      <c r="L163" s="1">
        <v>35033.69</v>
      </c>
      <c r="M163" s="1"/>
      <c r="N163" s="1">
        <v>0</v>
      </c>
      <c r="O163" s="1"/>
      <c r="P163" s="1">
        <v>0</v>
      </c>
      <c r="Q163" s="1"/>
      <c r="R163" s="1">
        <v>22835.14</v>
      </c>
      <c r="S163" s="1"/>
      <c r="T163" s="1">
        <v>1129.1600000000001</v>
      </c>
      <c r="U163" s="1"/>
      <c r="V163" s="1">
        <v>7459.83</v>
      </c>
      <c r="W163" s="1"/>
      <c r="X163" s="1">
        <v>0</v>
      </c>
      <c r="Y163" s="1"/>
      <c r="Z163" s="1">
        <v>29900</v>
      </c>
      <c r="AA163" s="1"/>
      <c r="AB163" s="1">
        <v>0</v>
      </c>
      <c r="AC163" s="1"/>
      <c r="AD163" s="1">
        <v>0</v>
      </c>
      <c r="AE163" s="1"/>
      <c r="AF163" s="1">
        <v>0</v>
      </c>
      <c r="AG163" s="18"/>
      <c r="AH163" s="4">
        <f>SUM(F163:AF163)</f>
        <v>1075176.17</v>
      </c>
    </row>
    <row r="164" spans="1:65" s="4" customFormat="1">
      <c r="N164" s="18"/>
      <c r="P164" s="18"/>
      <c r="R164" s="18"/>
      <c r="X164" s="18"/>
      <c r="Z164" s="18"/>
      <c r="AB164" s="18"/>
      <c r="AD164" s="18"/>
      <c r="AF164" s="18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</row>
    <row r="165" spans="1:65" s="4" customFormat="1">
      <c r="N165" s="18"/>
      <c r="P165" s="18"/>
      <c r="R165" s="18"/>
      <c r="X165" s="18"/>
      <c r="Z165" s="18"/>
      <c r="AB165" s="18"/>
      <c r="AD165" s="18"/>
      <c r="AF165" s="18"/>
      <c r="AH165" s="27" t="s">
        <v>538</v>
      </c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</row>
    <row r="166" spans="1:65">
      <c r="B166" s="3" t="s">
        <v>491</v>
      </c>
    </row>
    <row r="167" spans="1:65">
      <c r="B167" s="3" t="s">
        <v>565</v>
      </c>
    </row>
    <row r="168" spans="1:65">
      <c r="B168" s="24" t="s">
        <v>7</v>
      </c>
    </row>
    <row r="169" spans="1:65" s="19" customFormat="1">
      <c r="H169" s="19" t="s">
        <v>279</v>
      </c>
    </row>
    <row r="170" spans="1:65" s="19" customFormat="1">
      <c r="F170" s="19" t="s">
        <v>31</v>
      </c>
      <c r="H170" s="19" t="s">
        <v>280</v>
      </c>
      <c r="P170" s="19" t="s">
        <v>29</v>
      </c>
      <c r="R170" s="19" t="s">
        <v>286</v>
      </c>
      <c r="X170" s="19" t="s">
        <v>291</v>
      </c>
      <c r="AD170" s="19" t="s">
        <v>0</v>
      </c>
    </row>
    <row r="171" spans="1:65" s="19" customFormat="1" ht="12" customHeight="1">
      <c r="F171" s="19" t="s">
        <v>0</v>
      </c>
      <c r="H171" s="19" t="s">
        <v>281</v>
      </c>
      <c r="J171" s="19" t="s">
        <v>345</v>
      </c>
      <c r="L171" s="19" t="s">
        <v>283</v>
      </c>
      <c r="P171" s="19" t="s">
        <v>285</v>
      </c>
      <c r="R171" s="19" t="s">
        <v>287</v>
      </c>
      <c r="T171" s="19" t="s">
        <v>289</v>
      </c>
      <c r="X171" s="19" t="s">
        <v>292</v>
      </c>
      <c r="AD171" s="19" t="s">
        <v>293</v>
      </c>
      <c r="AF171" s="19" t="s">
        <v>509</v>
      </c>
    </row>
    <row r="172" spans="1:65" s="19" customFormat="1" ht="12" customHeight="1">
      <c r="A172" s="19" t="s">
        <v>525</v>
      </c>
      <c r="B172" s="20" t="s">
        <v>5</v>
      </c>
      <c r="D172" s="20" t="s">
        <v>6</v>
      </c>
      <c r="F172" s="20" t="s">
        <v>278</v>
      </c>
      <c r="H172" s="20" t="s">
        <v>282</v>
      </c>
      <c r="J172" s="20" t="s">
        <v>346</v>
      </c>
      <c r="L172" s="20" t="s">
        <v>284</v>
      </c>
      <c r="N172" s="20" t="s">
        <v>505</v>
      </c>
      <c r="P172" s="20" t="s">
        <v>507</v>
      </c>
      <c r="R172" s="20" t="s">
        <v>288</v>
      </c>
      <c r="T172" s="20" t="s">
        <v>290</v>
      </c>
      <c r="V172" s="20" t="s">
        <v>1</v>
      </c>
      <c r="X172" s="20" t="s">
        <v>32</v>
      </c>
      <c r="Z172" s="20" t="s">
        <v>479</v>
      </c>
      <c r="AB172" s="20" t="s">
        <v>480</v>
      </c>
      <c r="AD172" s="20" t="s">
        <v>294</v>
      </c>
      <c r="AF172" s="20" t="s">
        <v>395</v>
      </c>
      <c r="AH172" s="29" t="s">
        <v>28</v>
      </c>
    </row>
    <row r="173" spans="1:65" s="4" customFormat="1">
      <c r="A173" s="4">
        <v>209</v>
      </c>
      <c r="B173" s="21" t="s">
        <v>187</v>
      </c>
      <c r="C173" s="21"/>
      <c r="D173" s="21" t="s">
        <v>183</v>
      </c>
      <c r="E173" s="21"/>
      <c r="F173" s="2">
        <v>0</v>
      </c>
      <c r="G173" s="2"/>
      <c r="H173" s="2">
        <v>452691.49</v>
      </c>
      <c r="I173" s="2"/>
      <c r="J173" s="2">
        <v>3900</v>
      </c>
      <c r="K173" s="2"/>
      <c r="L173" s="2">
        <v>24978.59</v>
      </c>
      <c r="M173" s="2"/>
      <c r="N173" s="2">
        <v>0</v>
      </c>
      <c r="O173" s="2"/>
      <c r="P173" s="2">
        <v>0</v>
      </c>
      <c r="Q173" s="2"/>
      <c r="R173" s="2">
        <v>8721.6200000000008</v>
      </c>
      <c r="S173" s="2"/>
      <c r="T173" s="2">
        <v>18542.810000000001</v>
      </c>
      <c r="U173" s="2"/>
      <c r="V173" s="2">
        <v>2254.9899999999998</v>
      </c>
      <c r="W173" s="2"/>
      <c r="X173" s="2">
        <v>0</v>
      </c>
      <c r="Y173" s="2"/>
      <c r="Z173" s="2">
        <v>0</v>
      </c>
      <c r="AA173" s="2"/>
      <c r="AB173" s="2">
        <v>0</v>
      </c>
      <c r="AC173" s="2"/>
      <c r="AD173" s="2">
        <v>0</v>
      </c>
      <c r="AE173" s="2"/>
      <c r="AF173" s="2">
        <v>0</v>
      </c>
      <c r="AG173" s="21"/>
      <c r="AH173" s="5">
        <f>SUM(F173:AF173)</f>
        <v>511089.5</v>
      </c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</row>
    <row r="174" spans="1:65" s="4" customFormat="1">
      <c r="A174" s="4">
        <v>23</v>
      </c>
      <c r="B174" s="18" t="s">
        <v>188</v>
      </c>
      <c r="C174" s="18"/>
      <c r="D174" s="18" t="s">
        <v>53</v>
      </c>
      <c r="E174" s="18"/>
      <c r="F174" s="1">
        <v>161.74</v>
      </c>
      <c r="G174" s="1"/>
      <c r="H174" s="1">
        <v>539158.04</v>
      </c>
      <c r="I174" s="1"/>
      <c r="J174" s="1">
        <v>2238</v>
      </c>
      <c r="K174" s="1"/>
      <c r="L174" s="1">
        <v>20344.900000000001</v>
      </c>
      <c r="M174" s="1"/>
      <c r="N174" s="1">
        <v>0</v>
      </c>
      <c r="O174" s="1"/>
      <c r="P174" s="1">
        <v>0</v>
      </c>
      <c r="Q174" s="1"/>
      <c r="R174" s="1">
        <v>3373.37</v>
      </c>
      <c r="S174" s="1"/>
      <c r="T174" s="1">
        <v>10160.42</v>
      </c>
      <c r="U174" s="1"/>
      <c r="V174" s="1">
        <v>1499.23</v>
      </c>
      <c r="W174" s="1"/>
      <c r="X174" s="1">
        <v>0</v>
      </c>
      <c r="Y174" s="1"/>
      <c r="Z174" s="1">
        <v>0</v>
      </c>
      <c r="AA174" s="1"/>
      <c r="AB174" s="1">
        <v>0</v>
      </c>
      <c r="AC174" s="1"/>
      <c r="AD174" s="1">
        <v>0</v>
      </c>
      <c r="AE174" s="1"/>
      <c r="AF174" s="1">
        <v>0</v>
      </c>
      <c r="AG174" s="18"/>
      <c r="AH174" s="4">
        <f>SUM(F174:AF174)</f>
        <v>576935.70000000007</v>
      </c>
    </row>
    <row r="175" spans="1:65" s="4" customFormat="1">
      <c r="A175" s="4">
        <v>241</v>
      </c>
      <c r="B175" s="4" t="s">
        <v>189</v>
      </c>
      <c r="D175" s="4" t="s">
        <v>60</v>
      </c>
      <c r="F175" s="1">
        <v>0</v>
      </c>
      <c r="G175" s="1"/>
      <c r="H175" s="1">
        <v>450425.49</v>
      </c>
      <c r="I175" s="1"/>
      <c r="J175" s="1">
        <v>0</v>
      </c>
      <c r="K175" s="1"/>
      <c r="L175" s="1">
        <v>21780.36</v>
      </c>
      <c r="M175" s="1"/>
      <c r="N175" s="1">
        <v>0</v>
      </c>
      <c r="O175" s="1"/>
      <c r="P175" s="1">
        <v>0</v>
      </c>
      <c r="Q175" s="1"/>
      <c r="R175" s="1">
        <v>21087.43</v>
      </c>
      <c r="S175" s="1"/>
      <c r="T175" s="1">
        <v>495112.73</v>
      </c>
      <c r="U175" s="1"/>
      <c r="V175" s="1">
        <v>8069.19</v>
      </c>
      <c r="W175" s="1"/>
      <c r="X175" s="1">
        <v>0</v>
      </c>
      <c r="Y175" s="1"/>
      <c r="Z175" s="1">
        <v>0</v>
      </c>
      <c r="AA175" s="1"/>
      <c r="AB175" s="1">
        <v>0</v>
      </c>
      <c r="AC175" s="1"/>
      <c r="AD175" s="1">
        <v>0</v>
      </c>
      <c r="AE175" s="1"/>
      <c r="AF175" s="1">
        <v>1225.06</v>
      </c>
      <c r="AH175" s="4">
        <f>SUM(F175:AF175)</f>
        <v>997700.26</v>
      </c>
    </row>
    <row r="176" spans="1:65" s="4" customFormat="1">
      <c r="A176" s="4">
        <v>246</v>
      </c>
      <c r="B176" s="4" t="s">
        <v>190</v>
      </c>
      <c r="D176" s="4" t="s">
        <v>191</v>
      </c>
      <c r="F176" s="4">
        <v>546474</v>
      </c>
      <c r="H176" s="4">
        <v>608753</v>
      </c>
      <c r="J176" s="4">
        <v>260482</v>
      </c>
      <c r="L176" s="4">
        <v>66350</v>
      </c>
      <c r="N176" s="18">
        <v>0</v>
      </c>
      <c r="P176" s="18">
        <v>0</v>
      </c>
      <c r="R176" s="4">
        <v>18201</v>
      </c>
      <c r="T176" s="4">
        <v>2314</v>
      </c>
      <c r="V176" s="18">
        <v>0</v>
      </c>
      <c r="X176" s="18">
        <v>0</v>
      </c>
      <c r="Z176" s="18">
        <v>0</v>
      </c>
      <c r="AB176" s="18">
        <v>0</v>
      </c>
      <c r="AD176" s="18">
        <v>0</v>
      </c>
      <c r="AF176" s="18">
        <v>0</v>
      </c>
      <c r="AH176" s="4">
        <f>SUM(F176:AD176)</f>
        <v>1502574</v>
      </c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</row>
    <row r="177" spans="1:65" s="4" customFormat="1">
      <c r="A177" s="4">
        <v>157</v>
      </c>
      <c r="B177" s="18" t="s">
        <v>192</v>
      </c>
      <c r="C177" s="18"/>
      <c r="D177" s="18" t="s">
        <v>53</v>
      </c>
      <c r="E177" s="18"/>
      <c r="F177" s="1">
        <v>0</v>
      </c>
      <c r="G177" s="1"/>
      <c r="H177" s="1">
        <v>1040611.92</v>
      </c>
      <c r="I177" s="1"/>
      <c r="J177" s="1">
        <v>0</v>
      </c>
      <c r="K177" s="1"/>
      <c r="L177" s="1">
        <v>54460.13</v>
      </c>
      <c r="M177" s="1"/>
      <c r="N177" s="1">
        <v>0</v>
      </c>
      <c r="O177" s="1"/>
      <c r="P177" s="1">
        <v>0</v>
      </c>
      <c r="Q177" s="1"/>
      <c r="R177" s="1">
        <v>4332.95</v>
      </c>
      <c r="S177" s="1"/>
      <c r="T177" s="1">
        <v>14290.52</v>
      </c>
      <c r="U177" s="1"/>
      <c r="V177" s="1">
        <v>27532.41</v>
      </c>
      <c r="W177" s="1"/>
      <c r="X177" s="1">
        <v>0</v>
      </c>
      <c r="Y177" s="1"/>
      <c r="Z177" s="1">
        <v>0</v>
      </c>
      <c r="AA177" s="1"/>
      <c r="AB177" s="1">
        <v>0</v>
      </c>
      <c r="AC177" s="1"/>
      <c r="AD177" s="1">
        <v>0</v>
      </c>
      <c r="AE177" s="1"/>
      <c r="AF177" s="1">
        <v>0</v>
      </c>
      <c r="AG177" s="18"/>
      <c r="AH177" s="4">
        <f>SUM(F177:AF177)</f>
        <v>1141227.93</v>
      </c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</row>
    <row r="178" spans="1:65" s="4" customFormat="1">
      <c r="A178" s="4">
        <v>43</v>
      </c>
      <c r="B178" s="18" t="s">
        <v>430</v>
      </c>
      <c r="C178" s="18"/>
      <c r="D178" s="18" t="s">
        <v>25</v>
      </c>
      <c r="E178" s="18"/>
      <c r="F178" s="1">
        <v>744851.2</v>
      </c>
      <c r="G178" s="1"/>
      <c r="H178" s="1">
        <v>1286889.77</v>
      </c>
      <c r="I178" s="1"/>
      <c r="J178" s="1">
        <v>112960.71</v>
      </c>
      <c r="K178" s="1"/>
      <c r="L178" s="1">
        <v>49647.38</v>
      </c>
      <c r="M178" s="1"/>
      <c r="N178" s="1">
        <v>0</v>
      </c>
      <c r="O178" s="1"/>
      <c r="P178" s="1">
        <v>0</v>
      </c>
      <c r="Q178" s="1"/>
      <c r="R178" s="1">
        <v>58655.9</v>
      </c>
      <c r="S178" s="1"/>
      <c r="T178" s="1">
        <v>1425.35</v>
      </c>
      <c r="U178" s="1"/>
      <c r="V178" s="1">
        <v>23050.38</v>
      </c>
      <c r="W178" s="1"/>
      <c r="X178" s="1">
        <v>3667.43</v>
      </c>
      <c r="Y178" s="1"/>
      <c r="Z178" s="1">
        <v>0</v>
      </c>
      <c r="AA178" s="1"/>
      <c r="AB178" s="1">
        <v>0</v>
      </c>
      <c r="AC178" s="1"/>
      <c r="AD178" s="1">
        <v>0</v>
      </c>
      <c r="AE178" s="1"/>
      <c r="AF178" s="1">
        <v>0</v>
      </c>
      <c r="AG178" s="18"/>
      <c r="AH178" s="4">
        <f>SUM(F178:AF178)</f>
        <v>2281148.12</v>
      </c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</row>
    <row r="179" spans="1:65" s="4" customFormat="1">
      <c r="A179" s="4">
        <v>28</v>
      </c>
      <c r="B179" s="3" t="s">
        <v>337</v>
      </c>
      <c r="D179" s="4" t="s">
        <v>137</v>
      </c>
      <c r="F179" s="1">
        <v>0</v>
      </c>
      <c r="G179" s="1"/>
      <c r="H179" s="1">
        <v>253885.92</v>
      </c>
      <c r="I179" s="1"/>
      <c r="J179" s="1">
        <v>0</v>
      </c>
      <c r="K179" s="1"/>
      <c r="L179" s="1">
        <v>9435.0499999999993</v>
      </c>
      <c r="M179" s="1"/>
      <c r="N179" s="1">
        <v>0</v>
      </c>
      <c r="O179" s="1"/>
      <c r="P179" s="1">
        <v>0</v>
      </c>
      <c r="Q179" s="1"/>
      <c r="R179" s="1">
        <v>120029.08</v>
      </c>
      <c r="S179" s="1"/>
      <c r="T179" s="1">
        <v>13007.53</v>
      </c>
      <c r="U179" s="1"/>
      <c r="V179" s="1">
        <v>344.47</v>
      </c>
      <c r="W179" s="1"/>
      <c r="X179" s="1">
        <v>0</v>
      </c>
      <c r="Y179" s="1"/>
      <c r="Z179" s="1">
        <v>0</v>
      </c>
      <c r="AA179" s="1"/>
      <c r="AB179" s="1">
        <v>0</v>
      </c>
      <c r="AC179" s="1"/>
      <c r="AD179" s="1">
        <v>0</v>
      </c>
      <c r="AE179" s="1"/>
      <c r="AF179" s="1">
        <v>0</v>
      </c>
      <c r="AH179" s="4">
        <f>SUM(F179:AF179)</f>
        <v>396702.05000000005</v>
      </c>
    </row>
    <row r="180" spans="1:65" s="4" customFormat="1">
      <c r="A180" s="4">
        <v>113</v>
      </c>
      <c r="B180" s="4" t="s">
        <v>411</v>
      </c>
      <c r="D180" s="4" t="s">
        <v>55</v>
      </c>
      <c r="F180" s="18">
        <v>0</v>
      </c>
      <c r="H180" s="4">
        <v>871644</v>
      </c>
      <c r="J180" s="4">
        <v>1000</v>
      </c>
      <c r="L180" s="4">
        <v>25186</v>
      </c>
      <c r="N180" s="18">
        <v>0</v>
      </c>
      <c r="P180" s="18">
        <v>0</v>
      </c>
      <c r="R180" s="4">
        <v>65687</v>
      </c>
      <c r="T180" s="4">
        <v>8675</v>
      </c>
      <c r="V180" s="4">
        <v>15299</v>
      </c>
      <c r="X180" s="18">
        <v>0</v>
      </c>
      <c r="Z180" s="18">
        <v>0</v>
      </c>
      <c r="AB180" s="18">
        <v>0</v>
      </c>
      <c r="AD180" s="18">
        <v>0</v>
      </c>
      <c r="AF180" s="18">
        <v>0</v>
      </c>
      <c r="AH180" s="4">
        <f>SUM(F180:AD180)</f>
        <v>987491</v>
      </c>
    </row>
    <row r="181" spans="1:65" s="4" customFormat="1">
      <c r="A181" s="4">
        <v>136</v>
      </c>
      <c r="B181" s="18" t="s">
        <v>194</v>
      </c>
      <c r="C181" s="18"/>
      <c r="D181" s="18" t="s">
        <v>61</v>
      </c>
      <c r="E181" s="18"/>
      <c r="F181" s="1">
        <v>0</v>
      </c>
      <c r="G181" s="1"/>
      <c r="H181" s="1">
        <v>252044.54</v>
      </c>
      <c r="I181" s="1"/>
      <c r="J181" s="1">
        <v>0</v>
      </c>
      <c r="K181" s="1"/>
      <c r="L181" s="1">
        <v>7483.63</v>
      </c>
      <c r="M181" s="1"/>
      <c r="N181" s="1">
        <v>0</v>
      </c>
      <c r="O181" s="1"/>
      <c r="P181" s="1">
        <v>0</v>
      </c>
      <c r="Q181" s="1"/>
      <c r="R181" s="1">
        <v>2468.85</v>
      </c>
      <c r="S181" s="1"/>
      <c r="T181" s="1">
        <v>400.3</v>
      </c>
      <c r="U181" s="1"/>
      <c r="V181" s="1">
        <v>1179.3599999999999</v>
      </c>
      <c r="W181" s="1"/>
      <c r="X181" s="1">
        <v>0</v>
      </c>
      <c r="Y181" s="1"/>
      <c r="Z181" s="1">
        <v>0</v>
      </c>
      <c r="AA181" s="1"/>
      <c r="AB181" s="1">
        <v>0</v>
      </c>
      <c r="AC181" s="1"/>
      <c r="AD181" s="1">
        <v>0</v>
      </c>
      <c r="AE181" s="1"/>
      <c r="AF181" s="1">
        <v>0</v>
      </c>
      <c r="AG181" s="18"/>
      <c r="AH181" s="4">
        <f>SUM(F181:AF181)</f>
        <v>263576.68</v>
      </c>
    </row>
    <row r="182" spans="1:65" s="4" customFormat="1">
      <c r="A182" s="4">
        <v>160</v>
      </c>
      <c r="B182" s="5" t="s">
        <v>549</v>
      </c>
      <c r="C182" s="5"/>
      <c r="D182" s="5" t="s">
        <v>20</v>
      </c>
      <c r="E182" s="5"/>
      <c r="F182" s="4">
        <v>5008137</v>
      </c>
      <c r="H182" s="4">
        <v>3151354</v>
      </c>
      <c r="J182" s="18">
        <v>0</v>
      </c>
      <c r="L182" s="4">
        <v>188654</v>
      </c>
      <c r="N182" s="18">
        <v>0</v>
      </c>
      <c r="P182" s="18">
        <v>0</v>
      </c>
      <c r="R182" s="4">
        <v>10496</v>
      </c>
      <c r="T182" s="4">
        <v>14469</v>
      </c>
      <c r="V182" s="4">
        <v>29987</v>
      </c>
      <c r="X182" s="18">
        <v>0</v>
      </c>
      <c r="Z182" s="18">
        <v>0</v>
      </c>
      <c r="AB182" s="18">
        <v>0</v>
      </c>
      <c r="AD182" s="18">
        <v>0</v>
      </c>
      <c r="AF182" s="18">
        <v>0</v>
      </c>
      <c r="AH182" s="4">
        <f>SUM(F182:AD182)</f>
        <v>8403097</v>
      </c>
    </row>
    <row r="183" spans="1:65" s="4" customFormat="1">
      <c r="A183" s="4">
        <v>190</v>
      </c>
      <c r="B183" s="18" t="s">
        <v>460</v>
      </c>
      <c r="C183" s="18"/>
      <c r="D183" s="18" t="s">
        <v>404</v>
      </c>
      <c r="E183" s="18"/>
      <c r="F183" s="1">
        <v>0</v>
      </c>
      <c r="G183" s="1"/>
      <c r="H183" s="1">
        <v>706830.62</v>
      </c>
      <c r="I183" s="1"/>
      <c r="J183" s="1">
        <v>0</v>
      </c>
      <c r="K183" s="1"/>
      <c r="L183" s="1">
        <v>18421.759999999998</v>
      </c>
      <c r="M183" s="1"/>
      <c r="N183" s="1">
        <v>0</v>
      </c>
      <c r="O183" s="1"/>
      <c r="P183" s="1">
        <v>0</v>
      </c>
      <c r="Q183" s="1"/>
      <c r="R183" s="1">
        <v>8491.9599999999991</v>
      </c>
      <c r="S183" s="1"/>
      <c r="T183" s="1">
        <v>16912.650000000001</v>
      </c>
      <c r="U183" s="1"/>
      <c r="V183" s="1">
        <v>21394.76</v>
      </c>
      <c r="W183" s="1"/>
      <c r="X183" s="1">
        <v>0</v>
      </c>
      <c r="Y183" s="1"/>
      <c r="Z183" s="1">
        <v>0</v>
      </c>
      <c r="AA183" s="1"/>
      <c r="AB183" s="1">
        <v>0</v>
      </c>
      <c r="AC183" s="1"/>
      <c r="AD183" s="1">
        <v>0</v>
      </c>
      <c r="AE183" s="1"/>
      <c r="AF183" s="1">
        <v>0</v>
      </c>
      <c r="AG183" s="18"/>
      <c r="AH183" s="4">
        <f>SUM(F183:AF183)</f>
        <v>772051.75</v>
      </c>
    </row>
    <row r="184" spans="1:65" s="4" customFormat="1">
      <c r="A184" s="4">
        <v>149</v>
      </c>
      <c r="B184" s="4" t="s">
        <v>14</v>
      </c>
      <c r="D184" s="4" t="s">
        <v>15</v>
      </c>
      <c r="F184" s="4">
        <v>2267092</v>
      </c>
      <c r="H184" s="4">
        <v>1573568</v>
      </c>
      <c r="J184" s="18">
        <v>0</v>
      </c>
      <c r="L184" s="4">
        <v>94732</v>
      </c>
      <c r="N184" s="18">
        <v>0</v>
      </c>
      <c r="P184" s="4">
        <v>10800</v>
      </c>
      <c r="R184" s="4">
        <v>10609</v>
      </c>
      <c r="T184" s="4">
        <v>3401</v>
      </c>
      <c r="V184" s="4">
        <v>6343</v>
      </c>
      <c r="X184" s="18">
        <v>0</v>
      </c>
      <c r="Z184" s="18">
        <v>0</v>
      </c>
      <c r="AB184" s="18">
        <v>0</v>
      </c>
      <c r="AD184" s="18">
        <v>0</v>
      </c>
      <c r="AF184" s="18">
        <v>0</v>
      </c>
      <c r="AH184" s="4">
        <f>SUM(F184:AD184)</f>
        <v>3966545</v>
      </c>
    </row>
    <row r="185" spans="1:65" s="4" customFormat="1">
      <c r="A185" s="4">
        <v>128</v>
      </c>
      <c r="B185" s="18" t="s">
        <v>550</v>
      </c>
      <c r="C185" s="18"/>
      <c r="D185" s="18" t="s">
        <v>49</v>
      </c>
      <c r="E185" s="18"/>
      <c r="F185" s="1">
        <v>0</v>
      </c>
      <c r="G185" s="1"/>
      <c r="H185" s="1">
        <v>778948.37</v>
      </c>
      <c r="I185" s="1"/>
      <c r="J185" s="1">
        <v>0</v>
      </c>
      <c r="K185" s="1"/>
      <c r="L185" s="1">
        <v>11262.58</v>
      </c>
      <c r="M185" s="1"/>
      <c r="N185" s="1">
        <v>0</v>
      </c>
      <c r="O185" s="1"/>
      <c r="P185" s="1">
        <v>0</v>
      </c>
      <c r="Q185" s="1"/>
      <c r="R185" s="1">
        <v>735.75</v>
      </c>
      <c r="S185" s="1"/>
      <c r="T185" s="1">
        <v>1596.86</v>
      </c>
      <c r="U185" s="1"/>
      <c r="V185" s="1">
        <v>7820.47</v>
      </c>
      <c r="W185" s="1"/>
      <c r="X185" s="1">
        <v>0</v>
      </c>
      <c r="Y185" s="1"/>
      <c r="Z185" s="1">
        <v>0</v>
      </c>
      <c r="AA185" s="1"/>
      <c r="AB185" s="1">
        <v>0</v>
      </c>
      <c r="AC185" s="1"/>
      <c r="AD185" s="1">
        <v>0</v>
      </c>
      <c r="AE185" s="1"/>
      <c r="AF185" s="1">
        <v>0</v>
      </c>
      <c r="AG185" s="18"/>
      <c r="AH185" s="4">
        <f>SUM(F185:AF185)</f>
        <v>800364.02999999991</v>
      </c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</row>
    <row r="186" spans="1:65" s="4" customFormat="1">
      <c r="A186" s="4">
        <v>110</v>
      </c>
      <c r="B186" s="4" t="s">
        <v>195</v>
      </c>
      <c r="D186" s="4" t="s">
        <v>10</v>
      </c>
      <c r="F186" s="4">
        <v>0</v>
      </c>
      <c r="H186" s="4">
        <v>4498183</v>
      </c>
      <c r="J186" s="4">
        <v>0</v>
      </c>
      <c r="L186" s="4">
        <v>250130</v>
      </c>
      <c r="N186" s="18">
        <v>0</v>
      </c>
      <c r="P186" s="4">
        <v>15970</v>
      </c>
      <c r="R186" s="4">
        <v>27578</v>
      </c>
      <c r="T186" s="4">
        <v>59844</v>
      </c>
      <c r="V186" s="4">
        <v>20018</v>
      </c>
      <c r="X186" s="4">
        <v>0</v>
      </c>
      <c r="Z186" s="4">
        <v>0</v>
      </c>
      <c r="AB186" s="4">
        <v>0</v>
      </c>
      <c r="AD186" s="4">
        <v>0</v>
      </c>
      <c r="AF186" s="4">
        <v>0</v>
      </c>
      <c r="AH186" s="4">
        <f>SUM(F186:AD186)</f>
        <v>4871723</v>
      </c>
    </row>
    <row r="187" spans="1:65" s="4" customFormat="1">
      <c r="A187" s="4">
        <v>253</v>
      </c>
      <c r="B187" s="4" t="s">
        <v>196</v>
      </c>
      <c r="D187" s="4" t="s">
        <v>165</v>
      </c>
      <c r="F187" s="1">
        <v>337106.65</v>
      </c>
      <c r="G187" s="1"/>
      <c r="H187" s="1">
        <v>339298.55</v>
      </c>
      <c r="I187" s="1"/>
      <c r="J187" s="1">
        <v>44940.69</v>
      </c>
      <c r="K187" s="1"/>
      <c r="L187" s="1">
        <v>18193.509999999998</v>
      </c>
      <c r="M187" s="1"/>
      <c r="N187" s="1">
        <v>0</v>
      </c>
      <c r="O187" s="1"/>
      <c r="P187" s="1">
        <v>0</v>
      </c>
      <c r="Q187" s="1"/>
      <c r="R187" s="1">
        <v>1500.13</v>
      </c>
      <c r="S187" s="1"/>
      <c r="T187" s="1">
        <v>12523.44</v>
      </c>
      <c r="U187" s="1"/>
      <c r="V187" s="1">
        <v>960</v>
      </c>
      <c r="W187" s="1"/>
      <c r="X187" s="1">
        <v>183</v>
      </c>
      <c r="Y187" s="1"/>
      <c r="Z187" s="1">
        <v>0</v>
      </c>
      <c r="AA187" s="1"/>
      <c r="AB187" s="1">
        <v>0</v>
      </c>
      <c r="AC187" s="1"/>
      <c r="AD187" s="1">
        <v>0</v>
      </c>
      <c r="AE187" s="1"/>
      <c r="AF187" s="1">
        <v>0</v>
      </c>
      <c r="AH187" s="4">
        <f>SUM(F187:AF187)</f>
        <v>754705.96999999986</v>
      </c>
    </row>
    <row r="188" spans="1:65" s="4" customFormat="1">
      <c r="A188" s="4">
        <v>1</v>
      </c>
      <c r="B188" s="4" t="s">
        <v>197</v>
      </c>
      <c r="D188" s="4" t="s">
        <v>52</v>
      </c>
      <c r="F188" s="1">
        <v>0</v>
      </c>
      <c r="G188" s="1"/>
      <c r="H188" s="1">
        <v>344399.4</v>
      </c>
      <c r="I188" s="1"/>
      <c r="J188" s="1">
        <v>0</v>
      </c>
      <c r="K188" s="1"/>
      <c r="L188" s="1">
        <v>10057.98</v>
      </c>
      <c r="M188" s="1"/>
      <c r="N188" s="1">
        <v>0</v>
      </c>
      <c r="O188" s="1"/>
      <c r="P188" s="1">
        <v>0</v>
      </c>
      <c r="Q188" s="1"/>
      <c r="R188" s="1">
        <v>4425.99</v>
      </c>
      <c r="S188" s="1"/>
      <c r="T188" s="1">
        <v>10706.74</v>
      </c>
      <c r="U188" s="1"/>
      <c r="V188" s="1">
        <v>236.17</v>
      </c>
      <c r="W188" s="1"/>
      <c r="X188" s="1">
        <v>0</v>
      </c>
      <c r="Y188" s="1"/>
      <c r="Z188" s="1">
        <v>0</v>
      </c>
      <c r="AA188" s="1"/>
      <c r="AB188" s="1">
        <v>0</v>
      </c>
      <c r="AC188" s="1"/>
      <c r="AD188" s="1">
        <v>0</v>
      </c>
      <c r="AE188" s="1"/>
      <c r="AF188" s="1">
        <v>0</v>
      </c>
      <c r="AH188" s="4">
        <f>SUM(F188:AF188)</f>
        <v>369826.27999999997</v>
      </c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</row>
    <row r="189" spans="1:65" s="4" customFormat="1">
      <c r="A189" s="4">
        <v>73</v>
      </c>
      <c r="B189" s="4" t="s">
        <v>198</v>
      </c>
      <c r="D189" s="4" t="s">
        <v>25</v>
      </c>
      <c r="F189" s="1">
        <v>30.2</v>
      </c>
      <c r="G189" s="1"/>
      <c r="H189" s="1">
        <v>685638.32</v>
      </c>
      <c r="I189" s="1"/>
      <c r="J189" s="1">
        <v>0</v>
      </c>
      <c r="K189" s="1"/>
      <c r="L189" s="1">
        <v>23621.03</v>
      </c>
      <c r="M189" s="1"/>
      <c r="N189" s="1">
        <v>0</v>
      </c>
      <c r="O189" s="1"/>
      <c r="P189" s="1">
        <v>0</v>
      </c>
      <c r="Q189" s="1"/>
      <c r="R189" s="1">
        <v>6330.25</v>
      </c>
      <c r="S189" s="1"/>
      <c r="T189" s="1">
        <v>415.87</v>
      </c>
      <c r="U189" s="1"/>
      <c r="V189" s="1">
        <v>1865.08</v>
      </c>
      <c r="W189" s="1"/>
      <c r="X189" s="1">
        <v>0</v>
      </c>
      <c r="Y189" s="1"/>
      <c r="Z189" s="1">
        <v>0</v>
      </c>
      <c r="AA189" s="1"/>
      <c r="AB189" s="1">
        <v>0</v>
      </c>
      <c r="AC189" s="1"/>
      <c r="AD189" s="1">
        <v>0</v>
      </c>
      <c r="AE189" s="1"/>
      <c r="AF189" s="1">
        <v>0</v>
      </c>
      <c r="AH189" s="4">
        <f>SUM(F189:AF189)</f>
        <v>717900.74999999988</v>
      </c>
    </row>
    <row r="190" spans="1:65" s="4" customFormat="1">
      <c r="A190" s="4">
        <v>163</v>
      </c>
      <c r="B190" s="4" t="s">
        <v>306</v>
      </c>
      <c r="D190" s="4" t="s">
        <v>62</v>
      </c>
      <c r="F190" s="1">
        <v>0</v>
      </c>
      <c r="G190" s="1"/>
      <c r="H190" s="1">
        <v>210618.78</v>
      </c>
      <c r="I190" s="1"/>
      <c r="J190" s="1">
        <v>0</v>
      </c>
      <c r="K190" s="1"/>
      <c r="L190" s="1">
        <v>7947.8</v>
      </c>
      <c r="M190" s="1"/>
      <c r="N190" s="1">
        <v>0</v>
      </c>
      <c r="O190" s="1"/>
      <c r="P190" s="1">
        <v>0</v>
      </c>
      <c r="Q190" s="1"/>
      <c r="R190" s="1">
        <v>76421.119999999995</v>
      </c>
      <c r="S190" s="1"/>
      <c r="T190" s="1">
        <v>2321.65</v>
      </c>
      <c r="U190" s="1"/>
      <c r="V190" s="1">
        <v>8516.33</v>
      </c>
      <c r="W190" s="1"/>
      <c r="X190" s="1">
        <v>0</v>
      </c>
      <c r="Y190" s="1"/>
      <c r="Z190" s="1">
        <v>0</v>
      </c>
      <c r="AA190" s="1"/>
      <c r="AB190" s="1">
        <v>0</v>
      </c>
      <c r="AC190" s="1"/>
      <c r="AD190" s="1">
        <v>0</v>
      </c>
      <c r="AE190" s="1"/>
      <c r="AF190" s="1">
        <v>0</v>
      </c>
      <c r="AH190" s="4">
        <f>SUM(F190:AF190)</f>
        <v>305825.68</v>
      </c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</row>
    <row r="191" spans="1:65" s="4" customFormat="1">
      <c r="A191" s="4">
        <v>146</v>
      </c>
      <c r="B191" s="18" t="s">
        <v>478</v>
      </c>
      <c r="C191" s="18"/>
      <c r="D191" s="18" t="s">
        <v>63</v>
      </c>
      <c r="E191" s="18"/>
      <c r="F191" s="1">
        <v>0</v>
      </c>
      <c r="G191" s="1"/>
      <c r="H191" s="1">
        <v>459539.07</v>
      </c>
      <c r="I191" s="1"/>
      <c r="J191" s="1">
        <v>0</v>
      </c>
      <c r="K191" s="1"/>
      <c r="L191" s="1">
        <v>16710.02</v>
      </c>
      <c r="M191" s="1"/>
      <c r="N191" s="1">
        <v>0</v>
      </c>
      <c r="O191" s="1"/>
      <c r="P191" s="1">
        <v>0</v>
      </c>
      <c r="Q191" s="1"/>
      <c r="R191" s="1">
        <v>217.95</v>
      </c>
      <c r="S191" s="1"/>
      <c r="T191" s="1">
        <v>184.61</v>
      </c>
      <c r="U191" s="1"/>
      <c r="V191" s="1">
        <v>3309.29</v>
      </c>
      <c r="W191" s="1"/>
      <c r="X191" s="1">
        <v>0</v>
      </c>
      <c r="Y191" s="1"/>
      <c r="Z191" s="1">
        <v>0</v>
      </c>
      <c r="AA191" s="1"/>
      <c r="AB191" s="1">
        <v>0</v>
      </c>
      <c r="AC191" s="1"/>
      <c r="AD191" s="1">
        <v>0</v>
      </c>
      <c r="AE191" s="1"/>
      <c r="AF191" s="1">
        <v>0</v>
      </c>
      <c r="AG191" s="18"/>
      <c r="AH191" s="4">
        <f>SUM(F191:AF191)</f>
        <v>479960.94</v>
      </c>
    </row>
    <row r="192" spans="1:65" s="4" customFormat="1">
      <c r="A192" s="4">
        <v>227</v>
      </c>
      <c r="B192" s="4" t="s">
        <v>200</v>
      </c>
      <c r="D192" s="4" t="s">
        <v>88</v>
      </c>
      <c r="F192" s="4">
        <v>98741</v>
      </c>
      <c r="H192" s="18">
        <v>0</v>
      </c>
      <c r="J192" s="18">
        <v>0</v>
      </c>
      <c r="L192" s="4">
        <v>3504</v>
      </c>
      <c r="N192" s="18">
        <v>0</v>
      </c>
      <c r="P192" s="18">
        <v>0</v>
      </c>
      <c r="R192" s="4">
        <v>28234</v>
      </c>
      <c r="T192" s="4">
        <v>3842</v>
      </c>
      <c r="V192" s="4">
        <v>179</v>
      </c>
      <c r="X192" s="18">
        <v>0</v>
      </c>
      <c r="Z192" s="18">
        <v>0</v>
      </c>
      <c r="AB192" s="18">
        <v>0</v>
      </c>
      <c r="AD192" s="18">
        <v>0</v>
      </c>
      <c r="AF192" s="18">
        <v>0</v>
      </c>
      <c r="AH192" s="4">
        <f>SUM(F192:AD192)</f>
        <v>134500</v>
      </c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</row>
    <row r="193" spans="1:65" s="4" customFormat="1">
      <c r="A193" s="4">
        <v>108</v>
      </c>
      <c r="B193" s="4" t="s">
        <v>201</v>
      </c>
      <c r="D193" s="4" t="s">
        <v>202</v>
      </c>
      <c r="F193" s="18">
        <v>0</v>
      </c>
      <c r="H193" s="4">
        <v>219444</v>
      </c>
      <c r="J193" s="18">
        <v>0</v>
      </c>
      <c r="L193" s="4">
        <v>9456</v>
      </c>
      <c r="N193" s="18">
        <v>0</v>
      </c>
      <c r="P193" s="18">
        <v>0</v>
      </c>
      <c r="R193" s="4">
        <v>7916</v>
      </c>
      <c r="T193" s="4">
        <v>9631</v>
      </c>
      <c r="V193" s="4">
        <v>3304</v>
      </c>
      <c r="X193" s="18">
        <v>0</v>
      </c>
      <c r="Z193" s="18">
        <v>0</v>
      </c>
      <c r="AB193" s="18">
        <v>0</v>
      </c>
      <c r="AD193" s="18">
        <v>0</v>
      </c>
      <c r="AF193" s="18">
        <v>0</v>
      </c>
      <c r="AH193" s="4">
        <f>SUM(F193:AD193)</f>
        <v>249751</v>
      </c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</row>
    <row r="194" spans="1:65" s="4" customFormat="1">
      <c r="A194" s="4">
        <v>72</v>
      </c>
      <c r="B194" s="4" t="s">
        <v>203</v>
      </c>
      <c r="D194" s="4" t="s">
        <v>15</v>
      </c>
      <c r="F194" s="4">
        <v>1012017</v>
      </c>
      <c r="H194" s="4">
        <v>1355049</v>
      </c>
      <c r="J194" s="4">
        <v>254197</v>
      </c>
      <c r="L194" s="4">
        <v>92801</v>
      </c>
      <c r="N194" s="18">
        <v>0</v>
      </c>
      <c r="P194" s="18">
        <v>0</v>
      </c>
      <c r="R194" s="4">
        <v>7065</v>
      </c>
      <c r="T194" s="4">
        <v>2474</v>
      </c>
      <c r="V194" s="4">
        <v>1884</v>
      </c>
      <c r="X194" s="18">
        <v>0</v>
      </c>
      <c r="Z194" s="18">
        <v>0</v>
      </c>
      <c r="AB194" s="18">
        <v>0</v>
      </c>
      <c r="AD194" s="18">
        <v>0</v>
      </c>
      <c r="AF194" s="18">
        <v>0</v>
      </c>
      <c r="AH194" s="4">
        <f>SUM(F194:AD194)</f>
        <v>2725487</v>
      </c>
    </row>
    <row r="195" spans="1:65" s="4" customFormat="1">
      <c r="A195" s="4">
        <v>21</v>
      </c>
      <c r="B195" s="4" t="s">
        <v>204</v>
      </c>
      <c r="D195" s="4" t="s">
        <v>67</v>
      </c>
      <c r="F195" s="18">
        <v>0</v>
      </c>
      <c r="H195" s="4">
        <v>228638</v>
      </c>
      <c r="J195" s="18">
        <v>4500</v>
      </c>
      <c r="L195" s="4">
        <v>13213</v>
      </c>
      <c r="N195" s="18">
        <v>0</v>
      </c>
      <c r="P195" s="4">
        <v>6550</v>
      </c>
      <c r="R195" s="4">
        <v>103651</v>
      </c>
      <c r="T195" s="4">
        <v>1571</v>
      </c>
      <c r="V195" s="4">
        <v>31603</v>
      </c>
      <c r="X195" s="18">
        <v>0</v>
      </c>
      <c r="Z195" s="18">
        <v>0</v>
      </c>
      <c r="AB195" s="18">
        <v>0</v>
      </c>
      <c r="AD195" s="18">
        <v>0</v>
      </c>
      <c r="AF195" s="18">
        <v>0</v>
      </c>
      <c r="AH195" s="4">
        <f>SUM(F195:AD195)</f>
        <v>389726</v>
      </c>
    </row>
    <row r="196" spans="1:65" s="4" customFormat="1">
      <c r="A196" s="4">
        <v>125</v>
      </c>
      <c r="B196" s="4" t="s">
        <v>205</v>
      </c>
      <c r="D196" s="4" t="s">
        <v>12</v>
      </c>
      <c r="F196" s="1">
        <v>0</v>
      </c>
      <c r="G196" s="1"/>
      <c r="H196" s="1">
        <v>188575.64</v>
      </c>
      <c r="I196" s="1"/>
      <c r="J196" s="1">
        <v>1750</v>
      </c>
      <c r="K196" s="1"/>
      <c r="L196" s="1">
        <v>3950.91</v>
      </c>
      <c r="M196" s="1"/>
      <c r="N196" s="1">
        <v>0</v>
      </c>
      <c r="O196" s="1"/>
      <c r="P196" s="1">
        <v>0</v>
      </c>
      <c r="Q196" s="1"/>
      <c r="R196" s="1">
        <v>2292.3200000000002</v>
      </c>
      <c r="S196" s="1"/>
      <c r="T196" s="1">
        <v>7727.82</v>
      </c>
      <c r="U196" s="1"/>
      <c r="V196" s="1">
        <v>39.270000000000003</v>
      </c>
      <c r="W196" s="1"/>
      <c r="X196" s="1">
        <v>0</v>
      </c>
      <c r="Y196" s="1"/>
      <c r="Z196" s="1">
        <v>0</v>
      </c>
      <c r="AA196" s="1"/>
      <c r="AB196" s="1">
        <v>0</v>
      </c>
      <c r="AC196" s="1"/>
      <c r="AD196" s="1">
        <v>0</v>
      </c>
      <c r="AE196" s="1"/>
      <c r="AF196" s="1">
        <v>0</v>
      </c>
      <c r="AH196" s="4">
        <f>SUM(F196:AF196)</f>
        <v>204335.96000000002</v>
      </c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</row>
    <row r="197" spans="1:65" s="4" customFormat="1">
      <c r="A197" s="4">
        <v>140</v>
      </c>
      <c r="B197" s="4" t="s">
        <v>402</v>
      </c>
      <c r="D197" s="4" t="s">
        <v>16</v>
      </c>
      <c r="F197" s="4">
        <v>154214</v>
      </c>
      <c r="H197" s="4">
        <v>0</v>
      </c>
      <c r="J197" s="4">
        <v>1350215</v>
      </c>
      <c r="L197" s="4">
        <v>0</v>
      </c>
      <c r="N197" s="18">
        <v>0</v>
      </c>
      <c r="P197" s="4">
        <v>37522</v>
      </c>
      <c r="R197" s="4">
        <v>0</v>
      </c>
      <c r="T197" s="4">
        <v>6254</v>
      </c>
      <c r="V197" s="4">
        <v>7652</v>
      </c>
      <c r="X197" s="4">
        <v>0</v>
      </c>
      <c r="Z197" s="4">
        <v>0</v>
      </c>
      <c r="AB197" s="4">
        <v>0</v>
      </c>
      <c r="AD197" s="4">
        <v>0</v>
      </c>
      <c r="AF197" s="4">
        <v>0</v>
      </c>
      <c r="AH197" s="4">
        <f>SUM(F197:AD197)</f>
        <v>1555857</v>
      </c>
    </row>
    <row r="198" spans="1:65" s="4" customFormat="1">
      <c r="A198" s="4">
        <v>187</v>
      </c>
      <c r="B198" s="4" t="s">
        <v>551</v>
      </c>
      <c r="D198" s="4" t="s">
        <v>207</v>
      </c>
      <c r="F198" s="4">
        <v>0</v>
      </c>
      <c r="H198" s="4">
        <v>0</v>
      </c>
      <c r="J198" s="4">
        <v>2545825</v>
      </c>
      <c r="L198" s="18">
        <v>97399</v>
      </c>
      <c r="N198" s="4">
        <v>13193</v>
      </c>
      <c r="P198" s="4">
        <v>0</v>
      </c>
      <c r="R198" s="4">
        <v>44737</v>
      </c>
      <c r="T198" s="4">
        <v>2316</v>
      </c>
      <c r="V198" s="4">
        <v>11034</v>
      </c>
      <c r="X198" s="18">
        <v>0</v>
      </c>
      <c r="Z198" s="18">
        <v>184975</v>
      </c>
      <c r="AB198" s="18">
        <v>0</v>
      </c>
      <c r="AD198" s="18">
        <v>0</v>
      </c>
      <c r="AF198" s="18">
        <v>0</v>
      </c>
      <c r="AH198" s="4">
        <f>SUM(F198:AD198)</f>
        <v>2899479</v>
      </c>
    </row>
    <row r="199" spans="1:65" s="4" customFormat="1">
      <c r="A199" s="4">
        <v>17</v>
      </c>
      <c r="B199" s="4" t="s">
        <v>307</v>
      </c>
      <c r="D199" s="4" t="s">
        <v>59</v>
      </c>
      <c r="F199" s="4">
        <v>219764</v>
      </c>
      <c r="H199" s="4">
        <v>443849</v>
      </c>
      <c r="J199" s="18">
        <v>0</v>
      </c>
      <c r="L199" s="4">
        <v>14276</v>
      </c>
      <c r="N199" s="18">
        <v>0</v>
      </c>
      <c r="P199" s="18">
        <v>0</v>
      </c>
      <c r="R199" s="4">
        <v>14173</v>
      </c>
      <c r="T199" s="4">
        <v>17199</v>
      </c>
      <c r="V199" s="4">
        <v>4413</v>
      </c>
      <c r="X199" s="18">
        <v>0</v>
      </c>
      <c r="Z199" s="18">
        <v>0</v>
      </c>
      <c r="AB199" s="18">
        <v>0</v>
      </c>
      <c r="AD199" s="18">
        <v>0</v>
      </c>
      <c r="AF199" s="18">
        <v>0</v>
      </c>
      <c r="AH199" s="4">
        <f>SUM(F199:AD199)</f>
        <v>713674</v>
      </c>
    </row>
    <row r="200" spans="1:65" s="4" customFormat="1">
      <c r="A200" s="4">
        <v>109</v>
      </c>
      <c r="B200" s="18" t="s">
        <v>431</v>
      </c>
      <c r="C200" s="18"/>
      <c r="D200" s="18" t="s">
        <v>208</v>
      </c>
      <c r="E200" s="18"/>
      <c r="F200" s="1">
        <v>0</v>
      </c>
      <c r="G200" s="1"/>
      <c r="H200" s="1">
        <v>1786416.66</v>
      </c>
      <c r="I200" s="1"/>
      <c r="J200" s="1">
        <v>2947.61</v>
      </c>
      <c r="K200" s="1"/>
      <c r="L200" s="1">
        <v>35251.410000000003</v>
      </c>
      <c r="M200" s="1"/>
      <c r="N200" s="1">
        <v>0</v>
      </c>
      <c r="O200" s="1"/>
      <c r="P200" s="1">
        <v>0</v>
      </c>
      <c r="Q200" s="1"/>
      <c r="R200" s="1">
        <v>49898.31</v>
      </c>
      <c r="S200" s="1"/>
      <c r="T200" s="1">
        <v>3529.88</v>
      </c>
      <c r="U200" s="1"/>
      <c r="V200" s="1">
        <v>19275.47</v>
      </c>
      <c r="W200" s="1"/>
      <c r="X200" s="1">
        <v>4000</v>
      </c>
      <c r="Y200" s="1"/>
      <c r="Z200" s="1">
        <v>0</v>
      </c>
      <c r="AA200" s="1"/>
      <c r="AB200" s="1">
        <v>0</v>
      </c>
      <c r="AC200" s="1"/>
      <c r="AD200" s="1">
        <v>0</v>
      </c>
      <c r="AE200" s="1"/>
      <c r="AF200" s="1">
        <v>0</v>
      </c>
      <c r="AG200" s="18"/>
      <c r="AH200" s="4">
        <f>SUM(F200:AF200)</f>
        <v>1901319.3399999999</v>
      </c>
    </row>
    <row r="201" spans="1:65" s="4" customFormat="1" hidden="1">
      <c r="A201" s="4">
        <v>207</v>
      </c>
      <c r="B201" s="4" t="s">
        <v>412</v>
      </c>
      <c r="D201" s="4" t="s">
        <v>55</v>
      </c>
      <c r="F201" s="18"/>
      <c r="H201" s="18"/>
      <c r="N201" s="18"/>
      <c r="P201" s="18"/>
      <c r="R201" s="18"/>
      <c r="X201" s="18"/>
      <c r="AB201" s="18"/>
      <c r="AD201" s="18"/>
      <c r="AF201" s="18"/>
      <c r="AH201" s="4">
        <f>SUM(F201:AD201)</f>
        <v>0</v>
      </c>
    </row>
    <row r="202" spans="1:65" s="4" customFormat="1">
      <c r="A202" s="4">
        <v>243</v>
      </c>
      <c r="B202" s="18" t="s">
        <v>432</v>
      </c>
      <c r="C202" s="18"/>
      <c r="D202" s="18" t="s">
        <v>113</v>
      </c>
      <c r="E202" s="18"/>
      <c r="F202" s="1">
        <v>0</v>
      </c>
      <c r="G202" s="1"/>
      <c r="H202" s="1">
        <v>476212.82</v>
      </c>
      <c r="I202" s="1"/>
      <c r="J202" s="1">
        <v>0</v>
      </c>
      <c r="K202" s="1"/>
      <c r="L202" s="1">
        <v>15798.68</v>
      </c>
      <c r="M202" s="1"/>
      <c r="N202" s="1">
        <v>0</v>
      </c>
      <c r="O202" s="1"/>
      <c r="P202" s="1">
        <v>0</v>
      </c>
      <c r="Q202" s="1"/>
      <c r="R202" s="1">
        <v>3850</v>
      </c>
      <c r="S202" s="1"/>
      <c r="T202" s="1">
        <v>220.99</v>
      </c>
      <c r="U202" s="1"/>
      <c r="V202" s="1">
        <v>7261.14</v>
      </c>
      <c r="W202" s="1"/>
      <c r="X202" s="1">
        <v>0</v>
      </c>
      <c r="Y202" s="1"/>
      <c r="Z202" s="1">
        <v>0</v>
      </c>
      <c r="AA202" s="1"/>
      <c r="AB202" s="1">
        <v>0</v>
      </c>
      <c r="AC202" s="1"/>
      <c r="AD202" s="1">
        <v>0</v>
      </c>
      <c r="AE202" s="1"/>
      <c r="AF202" s="1">
        <v>0</v>
      </c>
      <c r="AG202" s="18"/>
      <c r="AH202" s="4">
        <f>SUM(F202:AF202)</f>
        <v>503343.63</v>
      </c>
    </row>
    <row r="203" spans="1:65" s="4" customFormat="1">
      <c r="A203" s="4">
        <v>6</v>
      </c>
      <c r="B203" s="4" t="s">
        <v>338</v>
      </c>
      <c r="D203" s="4" t="s">
        <v>88</v>
      </c>
      <c r="F203" s="4">
        <v>212840</v>
      </c>
      <c r="H203" s="18">
        <v>0</v>
      </c>
      <c r="J203" s="18">
        <v>0</v>
      </c>
      <c r="L203" s="4">
        <v>9782</v>
      </c>
      <c r="N203" s="18">
        <v>0</v>
      </c>
      <c r="P203" s="18">
        <v>0</v>
      </c>
      <c r="R203" s="4">
        <v>3556</v>
      </c>
      <c r="T203" s="4">
        <v>4178</v>
      </c>
      <c r="V203" s="4">
        <v>11170</v>
      </c>
      <c r="X203" s="18">
        <v>0</v>
      </c>
      <c r="Z203" s="18">
        <v>26709</v>
      </c>
      <c r="AB203" s="18">
        <v>0</v>
      </c>
      <c r="AD203" s="18">
        <v>0</v>
      </c>
      <c r="AF203" s="18">
        <v>0</v>
      </c>
      <c r="AH203" s="4">
        <f>SUM(F203:AD203)</f>
        <v>268235</v>
      </c>
    </row>
    <row r="204" spans="1:65" s="4" customFormat="1">
      <c r="A204" s="4">
        <v>68</v>
      </c>
      <c r="B204" s="18" t="s">
        <v>209</v>
      </c>
      <c r="C204" s="18"/>
      <c r="D204" s="18" t="s">
        <v>80</v>
      </c>
      <c r="E204" s="18"/>
      <c r="F204" s="1">
        <v>0</v>
      </c>
      <c r="G204" s="1"/>
      <c r="H204" s="1">
        <v>262618.5</v>
      </c>
      <c r="I204" s="1"/>
      <c r="J204" s="1">
        <v>0</v>
      </c>
      <c r="K204" s="1"/>
      <c r="L204" s="1">
        <v>5622.11</v>
      </c>
      <c r="M204" s="1"/>
      <c r="N204" s="1">
        <v>0</v>
      </c>
      <c r="O204" s="1"/>
      <c r="P204" s="1">
        <v>0</v>
      </c>
      <c r="Q204" s="1"/>
      <c r="R204" s="1">
        <v>465</v>
      </c>
      <c r="S204" s="1"/>
      <c r="T204" s="1">
        <v>1045.22</v>
      </c>
      <c r="U204" s="1"/>
      <c r="V204" s="1">
        <v>1636.88</v>
      </c>
      <c r="W204" s="1"/>
      <c r="X204" s="1">
        <v>0</v>
      </c>
      <c r="Y204" s="1"/>
      <c r="Z204" s="1">
        <v>0</v>
      </c>
      <c r="AA204" s="1"/>
      <c r="AB204" s="1">
        <v>0</v>
      </c>
      <c r="AC204" s="1"/>
      <c r="AD204" s="1">
        <v>0</v>
      </c>
      <c r="AE204" s="1"/>
      <c r="AF204" s="1">
        <v>0</v>
      </c>
      <c r="AG204" s="18"/>
      <c r="AH204" s="4">
        <f>SUM(F204:AF204)</f>
        <v>271387.70999999996</v>
      </c>
    </row>
    <row r="205" spans="1:65" s="4" customFormat="1">
      <c r="A205" s="4">
        <v>196</v>
      </c>
      <c r="B205" s="18" t="s">
        <v>433</v>
      </c>
      <c r="C205" s="18"/>
      <c r="D205" s="18" t="s">
        <v>65</v>
      </c>
      <c r="E205" s="18"/>
      <c r="F205" s="1">
        <v>0</v>
      </c>
      <c r="G205" s="1"/>
      <c r="H205" s="1">
        <v>103159.25</v>
      </c>
      <c r="I205" s="1"/>
      <c r="J205" s="1">
        <v>0</v>
      </c>
      <c r="K205" s="1"/>
      <c r="L205" s="1">
        <v>2448.89</v>
      </c>
      <c r="M205" s="1"/>
      <c r="N205" s="1">
        <v>0</v>
      </c>
      <c r="O205" s="1"/>
      <c r="P205" s="1">
        <v>0</v>
      </c>
      <c r="Q205" s="1"/>
      <c r="R205" s="1">
        <v>290.20999999999998</v>
      </c>
      <c r="S205" s="1"/>
      <c r="T205" s="1">
        <v>0</v>
      </c>
      <c r="U205" s="1"/>
      <c r="V205" s="1">
        <v>5235.04</v>
      </c>
      <c r="W205" s="1"/>
      <c r="X205" s="1">
        <v>0</v>
      </c>
      <c r="Y205" s="1"/>
      <c r="Z205" s="1">
        <v>0</v>
      </c>
      <c r="AA205" s="1"/>
      <c r="AB205" s="1">
        <v>0</v>
      </c>
      <c r="AC205" s="1"/>
      <c r="AD205" s="1">
        <v>0</v>
      </c>
      <c r="AE205" s="1"/>
      <c r="AF205" s="1">
        <v>0</v>
      </c>
      <c r="AG205" s="18"/>
      <c r="AH205" s="4">
        <f>SUM(F205:AF205)</f>
        <v>111133.39</v>
      </c>
    </row>
    <row r="206" spans="1:65" s="4" customFormat="1">
      <c r="A206" s="4">
        <v>45</v>
      </c>
      <c r="B206" s="4" t="s">
        <v>210</v>
      </c>
      <c r="D206" s="4" t="s">
        <v>26</v>
      </c>
      <c r="F206" s="1">
        <v>40927.360000000001</v>
      </c>
      <c r="G206" s="1"/>
      <c r="H206" s="1">
        <v>243575.26</v>
      </c>
      <c r="I206" s="1"/>
      <c r="J206" s="1">
        <v>11938.89</v>
      </c>
      <c r="K206" s="1"/>
      <c r="L206" s="1">
        <v>10244.379999999999</v>
      </c>
      <c r="M206" s="1"/>
      <c r="N206" s="1">
        <v>0</v>
      </c>
      <c r="O206" s="1"/>
      <c r="P206" s="1">
        <v>0</v>
      </c>
      <c r="Q206" s="1"/>
      <c r="R206" s="1">
        <v>3968.93</v>
      </c>
      <c r="S206" s="1"/>
      <c r="T206" s="1">
        <v>0</v>
      </c>
      <c r="U206" s="1"/>
      <c r="V206" s="1">
        <v>12719.87</v>
      </c>
      <c r="W206" s="1"/>
      <c r="X206" s="1">
        <v>90.11</v>
      </c>
      <c r="Y206" s="1"/>
      <c r="Z206" s="1">
        <v>0</v>
      </c>
      <c r="AA206" s="1"/>
      <c r="AB206" s="1">
        <v>0</v>
      </c>
      <c r="AC206" s="1"/>
      <c r="AD206" s="1">
        <v>0</v>
      </c>
      <c r="AE206" s="1"/>
      <c r="AF206" s="1">
        <v>0</v>
      </c>
      <c r="AH206" s="4">
        <f>SUM(F206:AF206)</f>
        <v>323464.8</v>
      </c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</row>
    <row r="207" spans="1:65" s="4" customFormat="1">
      <c r="A207" s="4">
        <v>88</v>
      </c>
      <c r="B207" s="4" t="s">
        <v>211</v>
      </c>
      <c r="D207" s="4" t="s">
        <v>55</v>
      </c>
      <c r="F207" s="4">
        <v>107586</v>
      </c>
      <c r="H207" s="4">
        <v>513867</v>
      </c>
      <c r="J207" s="4">
        <v>16145</v>
      </c>
      <c r="L207" s="4">
        <v>11327</v>
      </c>
      <c r="N207" s="18">
        <v>0</v>
      </c>
      <c r="P207" s="18">
        <v>0</v>
      </c>
      <c r="R207" s="4">
        <v>902</v>
      </c>
      <c r="T207" s="4">
        <v>2195</v>
      </c>
      <c r="V207" s="4">
        <v>258</v>
      </c>
      <c r="X207" s="18">
        <v>0</v>
      </c>
      <c r="Z207" s="18">
        <v>0</v>
      </c>
      <c r="AB207" s="18">
        <v>0</v>
      </c>
      <c r="AD207" s="18">
        <v>0</v>
      </c>
      <c r="AF207" s="18">
        <v>0</v>
      </c>
      <c r="AH207" s="4">
        <f>SUM(F207:AD207)</f>
        <v>652280</v>
      </c>
    </row>
    <row r="208" spans="1:65" s="4" customFormat="1">
      <c r="A208" s="22">
        <v>197.1</v>
      </c>
      <c r="B208" s="4" t="s">
        <v>214</v>
      </c>
      <c r="D208" s="4" t="s">
        <v>41</v>
      </c>
      <c r="F208" s="1">
        <v>0</v>
      </c>
      <c r="G208" s="1"/>
      <c r="H208" s="1">
        <v>117237.83</v>
      </c>
      <c r="I208" s="1"/>
      <c r="J208" s="1">
        <v>0</v>
      </c>
      <c r="K208" s="1"/>
      <c r="L208" s="1">
        <v>4566.88</v>
      </c>
      <c r="M208" s="1"/>
      <c r="N208" s="1">
        <v>0</v>
      </c>
      <c r="O208" s="1"/>
      <c r="P208" s="1">
        <v>0</v>
      </c>
      <c r="Q208" s="1"/>
      <c r="R208" s="1">
        <v>1343.56</v>
      </c>
      <c r="S208" s="1"/>
      <c r="T208" s="1">
        <v>224.94</v>
      </c>
      <c r="U208" s="1"/>
      <c r="V208" s="1">
        <v>89.75</v>
      </c>
      <c r="W208" s="1"/>
      <c r="X208" s="1">
        <v>468.35</v>
      </c>
      <c r="Y208" s="1"/>
      <c r="Z208" s="1">
        <v>0</v>
      </c>
      <c r="AA208" s="1"/>
      <c r="AB208" s="1">
        <v>0</v>
      </c>
      <c r="AC208" s="1"/>
      <c r="AD208" s="1">
        <v>0</v>
      </c>
      <c r="AE208" s="1"/>
      <c r="AF208" s="1">
        <v>0</v>
      </c>
      <c r="AH208" s="4">
        <f>SUM(F208:AF208)</f>
        <v>123931.31000000001</v>
      </c>
    </row>
    <row r="209" spans="1:65" s="4" customFormat="1">
      <c r="A209" s="4">
        <v>92</v>
      </c>
      <c r="B209" s="18" t="s">
        <v>215</v>
      </c>
      <c r="C209" s="18"/>
      <c r="D209" s="18" t="s">
        <v>64</v>
      </c>
      <c r="E209" s="18"/>
      <c r="F209" s="1">
        <v>0</v>
      </c>
      <c r="G209" s="1"/>
      <c r="H209" s="1">
        <v>314873</v>
      </c>
      <c r="I209" s="1"/>
      <c r="J209" s="1">
        <v>0</v>
      </c>
      <c r="K209" s="1"/>
      <c r="L209" s="1">
        <v>9565.19</v>
      </c>
      <c r="M209" s="1"/>
      <c r="N209" s="1">
        <v>0</v>
      </c>
      <c r="O209" s="1"/>
      <c r="P209" s="1">
        <v>0</v>
      </c>
      <c r="Q209" s="1"/>
      <c r="R209" s="1">
        <v>6217.35</v>
      </c>
      <c r="S209" s="1"/>
      <c r="T209" s="1">
        <v>3686.87</v>
      </c>
      <c r="U209" s="1"/>
      <c r="V209" s="1">
        <v>2343.27</v>
      </c>
      <c r="W209" s="1"/>
      <c r="X209" s="1">
        <v>135</v>
      </c>
      <c r="Y209" s="1"/>
      <c r="Z209" s="1">
        <v>0</v>
      </c>
      <c r="AA209" s="1"/>
      <c r="AB209" s="1">
        <v>0</v>
      </c>
      <c r="AC209" s="1"/>
      <c r="AD209" s="1">
        <v>0</v>
      </c>
      <c r="AE209" s="1"/>
      <c r="AF209" s="1">
        <v>0</v>
      </c>
      <c r="AG209" s="18"/>
      <c r="AH209" s="4">
        <f>SUM(F209:AF209)</f>
        <v>336820.68</v>
      </c>
    </row>
    <row r="210" spans="1:65" s="4" customFormat="1">
      <c r="A210" s="4">
        <v>139</v>
      </c>
      <c r="B210" s="4" t="s">
        <v>216</v>
      </c>
      <c r="D210" s="4" t="s">
        <v>25</v>
      </c>
      <c r="F210" s="4">
        <v>169051</v>
      </c>
      <c r="H210" s="4">
        <v>0</v>
      </c>
      <c r="J210" s="4">
        <v>1291109</v>
      </c>
      <c r="L210" s="4">
        <v>69881</v>
      </c>
      <c r="N210" s="18">
        <v>0</v>
      </c>
      <c r="P210" s="4">
        <v>0</v>
      </c>
      <c r="R210" s="4">
        <v>12998</v>
      </c>
      <c r="T210" s="4">
        <v>8743</v>
      </c>
      <c r="V210" s="4">
        <v>2586</v>
      </c>
      <c r="X210" s="4">
        <v>0</v>
      </c>
      <c r="Z210" s="4">
        <v>0</v>
      </c>
      <c r="AB210" s="4">
        <v>0</v>
      </c>
      <c r="AD210" s="4">
        <v>0</v>
      </c>
      <c r="AF210" s="4">
        <v>0</v>
      </c>
      <c r="AH210" s="4">
        <f>SUM(F210:AD210)</f>
        <v>1554368</v>
      </c>
    </row>
    <row r="211" spans="1:65" s="4" customFormat="1">
      <c r="B211" s="4" t="s">
        <v>567</v>
      </c>
      <c r="D211" s="4" t="s">
        <v>55</v>
      </c>
      <c r="F211" s="4">
        <v>0</v>
      </c>
      <c r="H211" s="4">
        <f>450+382295</f>
        <v>382745</v>
      </c>
      <c r="J211" s="4">
        <v>0</v>
      </c>
      <c r="L211" s="4">
        <v>350135</v>
      </c>
      <c r="N211" s="18">
        <v>0</v>
      </c>
      <c r="P211" s="4">
        <v>0</v>
      </c>
      <c r="R211" s="4">
        <v>0</v>
      </c>
      <c r="T211" s="4">
        <v>15721</v>
      </c>
      <c r="V211" s="4">
        <v>89484</v>
      </c>
      <c r="X211" s="4">
        <v>0</v>
      </c>
      <c r="Z211" s="4">
        <v>0</v>
      </c>
      <c r="AB211" s="4">
        <v>0</v>
      </c>
      <c r="AD211" s="4">
        <v>0</v>
      </c>
      <c r="AF211" s="4">
        <v>0</v>
      </c>
      <c r="AH211" s="4">
        <f>SUM(F211:AD211)</f>
        <v>838085</v>
      </c>
    </row>
    <row r="212" spans="1:65" s="4" customFormat="1">
      <c r="A212" s="4">
        <v>132</v>
      </c>
      <c r="B212" s="4" t="s">
        <v>414</v>
      </c>
      <c r="D212" s="4" t="s">
        <v>64</v>
      </c>
      <c r="F212" s="18">
        <v>0</v>
      </c>
      <c r="H212" s="18">
        <v>0</v>
      </c>
      <c r="J212" s="18">
        <v>0</v>
      </c>
      <c r="L212" s="18">
        <v>0</v>
      </c>
      <c r="N212" s="18">
        <v>0</v>
      </c>
      <c r="P212" s="4">
        <v>8766</v>
      </c>
      <c r="R212" s="18">
        <v>0</v>
      </c>
      <c r="T212" s="4">
        <v>1202</v>
      </c>
      <c r="V212" s="18">
        <v>0</v>
      </c>
      <c r="X212" s="18">
        <v>0</v>
      </c>
      <c r="Z212" s="4">
        <v>283</v>
      </c>
      <c r="AB212" s="18">
        <v>0</v>
      </c>
      <c r="AD212" s="18">
        <v>0</v>
      </c>
      <c r="AF212" s="18">
        <v>0</v>
      </c>
      <c r="AH212" s="4">
        <f>SUM(F212:AD212)</f>
        <v>10251</v>
      </c>
    </row>
    <row r="213" spans="1:65" s="4" customFormat="1">
      <c r="A213" s="4">
        <v>9</v>
      </c>
      <c r="B213" s="4" t="s">
        <v>217</v>
      </c>
      <c r="D213" s="4" t="s">
        <v>88</v>
      </c>
      <c r="F213" s="1">
        <v>135352.75</v>
      </c>
      <c r="G213" s="1"/>
      <c r="H213" s="1">
        <v>577890.47</v>
      </c>
      <c r="I213" s="1"/>
      <c r="J213" s="1">
        <v>37562.949999999997</v>
      </c>
      <c r="K213" s="1"/>
      <c r="L213" s="1">
        <v>26440.41</v>
      </c>
      <c r="M213" s="1"/>
      <c r="N213" s="1">
        <v>0</v>
      </c>
      <c r="O213" s="1"/>
      <c r="P213" s="1">
        <v>0</v>
      </c>
      <c r="Q213" s="1"/>
      <c r="R213" s="1">
        <v>29644</v>
      </c>
      <c r="S213" s="1"/>
      <c r="T213" s="1">
        <v>7728.24</v>
      </c>
      <c r="U213" s="1"/>
      <c r="V213" s="1">
        <v>30751.41</v>
      </c>
      <c r="W213" s="1"/>
      <c r="X213" s="1">
        <v>0</v>
      </c>
      <c r="Y213" s="1"/>
      <c r="Z213" s="1">
        <v>0</v>
      </c>
      <c r="AA213" s="1"/>
      <c r="AB213" s="1">
        <v>0</v>
      </c>
      <c r="AC213" s="1"/>
      <c r="AD213" s="1">
        <v>0</v>
      </c>
      <c r="AE213" s="1"/>
      <c r="AF213" s="1">
        <v>0</v>
      </c>
      <c r="AH213" s="4">
        <f>SUM(F213:AF213)</f>
        <v>845370.23</v>
      </c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</row>
    <row r="214" spans="1:65" s="4" customFormat="1">
      <c r="A214" s="4">
        <v>107</v>
      </c>
      <c r="B214" s="4" t="s">
        <v>218</v>
      </c>
      <c r="D214" s="4" t="s">
        <v>156</v>
      </c>
      <c r="F214" s="4">
        <v>253366</v>
      </c>
      <c r="H214" s="18">
        <v>0</v>
      </c>
      <c r="J214" s="18">
        <v>1000</v>
      </c>
      <c r="L214" s="4">
        <v>12668</v>
      </c>
      <c r="N214" s="18">
        <v>0</v>
      </c>
      <c r="P214" s="18">
        <v>0</v>
      </c>
      <c r="R214" s="4">
        <v>125</v>
      </c>
      <c r="T214" s="4">
        <v>972</v>
      </c>
      <c r="V214" s="4">
        <v>4739</v>
      </c>
      <c r="X214" s="18">
        <v>0</v>
      </c>
      <c r="Z214" s="18">
        <v>0</v>
      </c>
      <c r="AB214" s="18">
        <v>0</v>
      </c>
      <c r="AD214" s="18">
        <v>0</v>
      </c>
      <c r="AF214" s="18">
        <v>0</v>
      </c>
      <c r="AH214" s="4">
        <f>SUM(F214:AD214)</f>
        <v>272870</v>
      </c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</row>
    <row r="215" spans="1:65" s="4" customFormat="1">
      <c r="A215" s="4">
        <v>240</v>
      </c>
      <c r="B215" s="4" t="s">
        <v>219</v>
      </c>
      <c r="D215" s="4" t="s">
        <v>168</v>
      </c>
      <c r="F215" s="18">
        <v>0</v>
      </c>
      <c r="H215" s="4">
        <v>212729</v>
      </c>
      <c r="J215" s="18">
        <v>0</v>
      </c>
      <c r="L215" s="4">
        <v>9608</v>
      </c>
      <c r="N215" s="18">
        <v>0</v>
      </c>
      <c r="P215" s="18">
        <v>0</v>
      </c>
      <c r="R215" s="4">
        <v>4060</v>
      </c>
      <c r="T215" s="4">
        <v>13581</v>
      </c>
      <c r="V215" s="4">
        <v>438</v>
      </c>
      <c r="X215" s="18">
        <v>0</v>
      </c>
      <c r="Z215" s="18">
        <v>0</v>
      </c>
      <c r="AB215" s="18">
        <v>0</v>
      </c>
      <c r="AD215" s="18">
        <v>0</v>
      </c>
      <c r="AF215" s="18">
        <v>0</v>
      </c>
      <c r="AH215" s="4">
        <f>SUM(F215:AD215)</f>
        <v>240416</v>
      </c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</row>
    <row r="216" spans="1:65" s="4" customFormat="1">
      <c r="A216" s="4">
        <v>237</v>
      </c>
      <c r="B216" s="4" t="s">
        <v>220</v>
      </c>
      <c r="D216" s="4" t="s">
        <v>56</v>
      </c>
      <c r="F216" s="1">
        <v>528307.49</v>
      </c>
      <c r="G216" s="1"/>
      <c r="H216" s="1">
        <v>365466.27</v>
      </c>
      <c r="I216" s="1"/>
      <c r="J216" s="1">
        <v>103508.91</v>
      </c>
      <c r="K216" s="1"/>
      <c r="L216" s="1">
        <v>35643.21</v>
      </c>
      <c r="M216" s="1"/>
      <c r="N216" s="1">
        <v>0</v>
      </c>
      <c r="O216" s="1"/>
      <c r="P216" s="1">
        <v>0</v>
      </c>
      <c r="Q216" s="1"/>
      <c r="R216" s="1">
        <v>32394.73</v>
      </c>
      <c r="S216" s="1"/>
      <c r="T216" s="1">
        <v>467.88</v>
      </c>
      <c r="U216" s="1"/>
      <c r="V216" s="1">
        <v>1586.77</v>
      </c>
      <c r="W216" s="1"/>
      <c r="X216" s="1">
        <v>0</v>
      </c>
      <c r="Y216" s="1"/>
      <c r="Z216" s="1">
        <v>0</v>
      </c>
      <c r="AA216" s="1"/>
      <c r="AB216" s="1">
        <v>0</v>
      </c>
      <c r="AC216" s="1"/>
      <c r="AD216" s="1">
        <v>0</v>
      </c>
      <c r="AE216" s="1"/>
      <c r="AF216" s="1">
        <v>0</v>
      </c>
      <c r="AH216" s="4">
        <f>SUM(F216:AF216)</f>
        <v>1067375.26</v>
      </c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</row>
    <row r="217" spans="1:65" s="5" customFormat="1">
      <c r="A217" s="4">
        <v>167</v>
      </c>
      <c r="B217" s="4" t="s">
        <v>222</v>
      </c>
      <c r="C217" s="4"/>
      <c r="D217" s="4" t="s">
        <v>223</v>
      </c>
      <c r="E217" s="4"/>
      <c r="F217" s="4">
        <v>124852</v>
      </c>
      <c r="G217" s="4"/>
      <c r="H217" s="4">
        <v>33079</v>
      </c>
      <c r="I217" s="4"/>
      <c r="J217" s="4">
        <v>544661</v>
      </c>
      <c r="K217" s="4"/>
      <c r="L217" s="4">
        <v>41094</v>
      </c>
      <c r="M217" s="4"/>
      <c r="N217" s="18">
        <v>0</v>
      </c>
      <c r="O217" s="4"/>
      <c r="P217" s="4">
        <v>0</v>
      </c>
      <c r="Q217" s="4"/>
      <c r="R217" s="4">
        <v>35254</v>
      </c>
      <c r="S217" s="4"/>
      <c r="T217" s="4">
        <v>26742</v>
      </c>
      <c r="U217" s="4"/>
      <c r="V217" s="4">
        <v>988</v>
      </c>
      <c r="W217" s="4"/>
      <c r="X217" s="4">
        <v>0</v>
      </c>
      <c r="Y217" s="4"/>
      <c r="Z217" s="4">
        <v>0</v>
      </c>
      <c r="AA217" s="4"/>
      <c r="AB217" s="4">
        <v>0</v>
      </c>
      <c r="AC217" s="4"/>
      <c r="AD217" s="4">
        <v>0</v>
      </c>
      <c r="AE217" s="4"/>
      <c r="AF217" s="4">
        <v>0</v>
      </c>
      <c r="AG217" s="4"/>
      <c r="AH217" s="4">
        <f>SUM(F217:AD217)</f>
        <v>806670</v>
      </c>
    </row>
    <row r="218" spans="1:65" s="4" customFormat="1">
      <c r="A218" s="4">
        <v>217</v>
      </c>
      <c r="B218" s="18" t="s">
        <v>224</v>
      </c>
      <c r="C218" s="18"/>
      <c r="D218" s="18" t="s">
        <v>40</v>
      </c>
      <c r="E218" s="18"/>
      <c r="F218" s="1">
        <v>251833.97</v>
      </c>
      <c r="G218" s="1"/>
      <c r="H218" s="1">
        <v>497408.64</v>
      </c>
      <c r="I218" s="1"/>
      <c r="J218" s="1">
        <v>34595.550000000003</v>
      </c>
      <c r="K218" s="1"/>
      <c r="L218" s="1">
        <v>25085.86</v>
      </c>
      <c r="M218" s="1"/>
      <c r="N218" s="1">
        <v>0</v>
      </c>
      <c r="O218" s="1"/>
      <c r="P218" s="1">
        <v>0</v>
      </c>
      <c r="Q218" s="1"/>
      <c r="R218" s="1">
        <v>1615</v>
      </c>
      <c r="S218" s="1"/>
      <c r="T218" s="1">
        <v>22688.58</v>
      </c>
      <c r="U218" s="1"/>
      <c r="V218" s="1">
        <v>272.11</v>
      </c>
      <c r="W218" s="1"/>
      <c r="X218" s="1">
        <v>0</v>
      </c>
      <c r="Y218" s="1"/>
      <c r="Z218" s="1">
        <v>0</v>
      </c>
      <c r="AA218" s="1"/>
      <c r="AB218" s="1">
        <v>0</v>
      </c>
      <c r="AC218" s="1"/>
      <c r="AD218" s="1">
        <v>0</v>
      </c>
      <c r="AE218" s="1"/>
      <c r="AF218" s="1">
        <v>0</v>
      </c>
      <c r="AG218" s="18"/>
      <c r="AH218" s="4">
        <f>SUM(F218:AF218)</f>
        <v>833499.71</v>
      </c>
    </row>
    <row r="219" spans="1:65" s="4" customFormat="1">
      <c r="A219" s="4">
        <v>193</v>
      </c>
      <c r="B219" s="18" t="s">
        <v>435</v>
      </c>
      <c r="C219" s="18"/>
      <c r="D219" s="18" t="s">
        <v>59</v>
      </c>
      <c r="E219" s="18"/>
      <c r="F219" s="1">
        <v>25295.43</v>
      </c>
      <c r="G219" s="1"/>
      <c r="H219" s="1">
        <v>188723.29</v>
      </c>
      <c r="I219" s="1"/>
      <c r="J219" s="1">
        <v>0</v>
      </c>
      <c r="K219" s="1"/>
      <c r="L219" s="1">
        <v>3941.69</v>
      </c>
      <c r="M219" s="1"/>
      <c r="N219" s="1">
        <v>0</v>
      </c>
      <c r="O219" s="1"/>
      <c r="P219" s="1">
        <v>0</v>
      </c>
      <c r="Q219" s="1"/>
      <c r="R219" s="1">
        <v>1200.8499999999999</v>
      </c>
      <c r="S219" s="1"/>
      <c r="T219" s="1">
        <v>7560.96</v>
      </c>
      <c r="U219" s="1"/>
      <c r="V219" s="1">
        <v>2792.64</v>
      </c>
      <c r="W219" s="1"/>
      <c r="X219" s="1">
        <v>163.80000000000001</v>
      </c>
      <c r="Y219" s="1"/>
      <c r="Z219" s="1">
        <v>0</v>
      </c>
      <c r="AA219" s="1"/>
      <c r="AB219" s="1">
        <v>0</v>
      </c>
      <c r="AC219" s="1"/>
      <c r="AD219" s="1">
        <v>0</v>
      </c>
      <c r="AE219" s="1"/>
      <c r="AF219" s="1">
        <v>0</v>
      </c>
      <c r="AG219" s="18"/>
      <c r="AH219" s="4">
        <f>SUM(F219:AF219)</f>
        <v>229678.66</v>
      </c>
    </row>
    <row r="220" spans="1:65" s="4" customFormat="1">
      <c r="A220" s="4">
        <v>191</v>
      </c>
      <c r="B220" s="4" t="s">
        <v>226</v>
      </c>
      <c r="D220" s="4" t="s">
        <v>227</v>
      </c>
      <c r="F220" s="18">
        <v>0</v>
      </c>
      <c r="H220" s="4">
        <v>608578</v>
      </c>
      <c r="J220" s="18">
        <v>0</v>
      </c>
      <c r="L220" s="4">
        <v>35359</v>
      </c>
      <c r="N220" s="18">
        <v>0</v>
      </c>
      <c r="P220" s="18">
        <v>0</v>
      </c>
      <c r="R220" s="4">
        <v>8294</v>
      </c>
      <c r="T220" s="4">
        <v>25343</v>
      </c>
      <c r="V220" s="4">
        <v>12249</v>
      </c>
      <c r="X220" s="18">
        <v>0</v>
      </c>
      <c r="Z220" s="18">
        <v>0</v>
      </c>
      <c r="AB220" s="18">
        <v>0</v>
      </c>
      <c r="AD220" s="18">
        <v>0</v>
      </c>
      <c r="AF220" s="18">
        <v>0</v>
      </c>
      <c r="AH220" s="4">
        <f>SUM(F220:AD220)</f>
        <v>689823</v>
      </c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</row>
    <row r="221" spans="1:65" s="4" customFormat="1">
      <c r="A221" s="4">
        <v>255</v>
      </c>
      <c r="B221" s="4" t="s">
        <v>229</v>
      </c>
      <c r="D221" s="4" t="s">
        <v>64</v>
      </c>
      <c r="F221" s="1">
        <v>0</v>
      </c>
      <c r="G221" s="1"/>
      <c r="H221" s="1">
        <v>311128.43</v>
      </c>
      <c r="I221" s="1"/>
      <c r="J221" s="1">
        <v>0</v>
      </c>
      <c r="K221" s="1"/>
      <c r="L221" s="1">
        <v>10925.74</v>
      </c>
      <c r="M221" s="1"/>
      <c r="N221" s="1">
        <v>0</v>
      </c>
      <c r="O221" s="1"/>
      <c r="P221" s="1">
        <v>0</v>
      </c>
      <c r="Q221" s="1"/>
      <c r="R221" s="1">
        <v>2678.93</v>
      </c>
      <c r="S221" s="1"/>
      <c r="T221" s="1">
        <v>9961.82</v>
      </c>
      <c r="U221" s="1"/>
      <c r="V221" s="1">
        <v>1125.69</v>
      </c>
      <c r="W221" s="1"/>
      <c r="X221" s="1">
        <v>0</v>
      </c>
      <c r="Y221" s="1"/>
      <c r="Z221" s="1">
        <v>0</v>
      </c>
      <c r="AA221" s="1"/>
      <c r="AB221" s="1">
        <v>80000</v>
      </c>
      <c r="AC221" s="1"/>
      <c r="AD221" s="1">
        <v>0</v>
      </c>
      <c r="AE221" s="1"/>
      <c r="AF221" s="1">
        <v>0</v>
      </c>
      <c r="AH221" s="4">
        <f>SUM(F221:AF221)</f>
        <v>415820.61</v>
      </c>
    </row>
    <row r="222" spans="1:65" s="4" customFormat="1">
      <c r="A222" s="4">
        <v>214</v>
      </c>
      <c r="B222" s="4" t="s">
        <v>230</v>
      </c>
      <c r="D222" s="4" t="s">
        <v>22</v>
      </c>
      <c r="F222" s="1">
        <v>114239.38</v>
      </c>
      <c r="G222" s="1"/>
      <c r="H222" s="1">
        <v>313109.31</v>
      </c>
      <c r="I222" s="1"/>
      <c r="J222" s="1">
        <v>9960.2099999999991</v>
      </c>
      <c r="K222" s="1"/>
      <c r="L222" s="1">
        <v>5917.56</v>
      </c>
      <c r="M222" s="1"/>
      <c r="N222" s="1">
        <v>0</v>
      </c>
      <c r="O222" s="1"/>
      <c r="P222" s="1">
        <v>0</v>
      </c>
      <c r="Q222" s="1"/>
      <c r="R222" s="1">
        <v>0</v>
      </c>
      <c r="S222" s="1"/>
      <c r="T222" s="1">
        <v>114.82</v>
      </c>
      <c r="U222" s="1"/>
      <c r="V222" s="1">
        <v>6972.14</v>
      </c>
      <c r="W222" s="1"/>
      <c r="X222" s="1">
        <v>0</v>
      </c>
      <c r="Y222" s="1"/>
      <c r="Z222" s="1">
        <v>0</v>
      </c>
      <c r="AA222" s="1"/>
      <c r="AB222" s="1">
        <v>0</v>
      </c>
      <c r="AC222" s="1"/>
      <c r="AD222" s="1">
        <v>0</v>
      </c>
      <c r="AE222" s="1"/>
      <c r="AF222" s="1">
        <v>0</v>
      </c>
      <c r="AH222" s="4">
        <f>SUM(F222:AF222)</f>
        <v>450313.42000000004</v>
      </c>
    </row>
    <row r="223" spans="1:65" s="4" customFormat="1">
      <c r="A223" s="4">
        <v>129</v>
      </c>
      <c r="B223" s="18" t="s">
        <v>552</v>
      </c>
      <c r="C223" s="18"/>
      <c r="D223" s="18" t="s">
        <v>65</v>
      </c>
      <c r="E223" s="18"/>
      <c r="F223" s="1">
        <v>82716.56</v>
      </c>
      <c r="G223" s="1"/>
      <c r="H223" s="1">
        <v>886133.59</v>
      </c>
      <c r="I223" s="1"/>
      <c r="J223" s="1">
        <v>29542.49</v>
      </c>
      <c r="K223" s="1"/>
      <c r="L223" s="1">
        <v>31923.279999999999</v>
      </c>
      <c r="M223" s="1"/>
      <c r="N223" s="1">
        <v>0</v>
      </c>
      <c r="O223" s="1"/>
      <c r="P223" s="1">
        <v>0</v>
      </c>
      <c r="Q223" s="1"/>
      <c r="R223" s="1">
        <v>4899.5600000000004</v>
      </c>
      <c r="S223" s="1"/>
      <c r="T223" s="1">
        <v>439.45</v>
      </c>
      <c r="U223" s="1"/>
      <c r="V223" s="1">
        <v>50948.25</v>
      </c>
      <c r="W223" s="1"/>
      <c r="X223" s="1">
        <v>350</v>
      </c>
      <c r="Y223" s="1"/>
      <c r="Z223" s="1">
        <v>0</v>
      </c>
      <c r="AA223" s="1"/>
      <c r="AB223" s="1">
        <v>0</v>
      </c>
      <c r="AC223" s="1"/>
      <c r="AD223" s="1">
        <v>0</v>
      </c>
      <c r="AE223" s="1"/>
      <c r="AF223" s="1">
        <v>0</v>
      </c>
      <c r="AG223" s="18"/>
      <c r="AH223" s="4">
        <f>SUM(F223:AF223)</f>
        <v>1086953.18</v>
      </c>
    </row>
    <row r="224" spans="1:65" s="4" customFormat="1">
      <c r="A224" s="4">
        <v>200</v>
      </c>
      <c r="B224" s="4" t="s">
        <v>231</v>
      </c>
      <c r="D224" s="4" t="s">
        <v>67</v>
      </c>
      <c r="F224" s="18">
        <v>0</v>
      </c>
      <c r="H224" s="4">
        <v>211050</v>
      </c>
      <c r="J224" s="18">
        <v>0</v>
      </c>
      <c r="L224" s="4">
        <v>3313</v>
      </c>
      <c r="N224" s="18">
        <v>0</v>
      </c>
      <c r="P224" s="18">
        <v>0</v>
      </c>
      <c r="R224" s="4">
        <v>380</v>
      </c>
      <c r="T224" s="4">
        <v>169</v>
      </c>
      <c r="V224" s="4">
        <v>3558</v>
      </c>
      <c r="X224" s="18">
        <v>0</v>
      </c>
      <c r="Z224" s="18">
        <v>0</v>
      </c>
      <c r="AB224" s="18">
        <v>0</v>
      </c>
      <c r="AD224" s="18">
        <v>0</v>
      </c>
      <c r="AF224" s="18">
        <v>0</v>
      </c>
      <c r="AH224" s="4">
        <f>SUM(F224:AD224)</f>
        <v>218470</v>
      </c>
    </row>
    <row r="225" spans="1:65" s="4" customFormat="1">
      <c r="A225" s="4">
        <v>172</v>
      </c>
      <c r="B225" s="4" t="s">
        <v>232</v>
      </c>
      <c r="D225" s="4" t="s">
        <v>15</v>
      </c>
      <c r="F225" s="1">
        <v>518906.05</v>
      </c>
      <c r="G225" s="1"/>
      <c r="H225" s="1">
        <v>324786.27</v>
      </c>
      <c r="I225" s="1"/>
      <c r="J225" s="1">
        <v>26176.07</v>
      </c>
      <c r="K225" s="1"/>
      <c r="L225" s="1">
        <v>24106.22</v>
      </c>
      <c r="M225" s="1"/>
      <c r="N225" s="1">
        <v>0</v>
      </c>
      <c r="O225" s="1"/>
      <c r="P225" s="1">
        <v>0</v>
      </c>
      <c r="Q225" s="1"/>
      <c r="R225" s="1">
        <v>3000</v>
      </c>
      <c r="S225" s="1"/>
      <c r="T225" s="1">
        <v>4148.6899999999996</v>
      </c>
      <c r="U225" s="1"/>
      <c r="V225" s="1">
        <v>26066.47</v>
      </c>
      <c r="W225" s="1"/>
      <c r="X225" s="1">
        <v>40</v>
      </c>
      <c r="Y225" s="1"/>
      <c r="Z225" s="1">
        <v>0</v>
      </c>
      <c r="AA225" s="1"/>
      <c r="AB225" s="1">
        <v>0</v>
      </c>
      <c r="AC225" s="1"/>
      <c r="AD225" s="1">
        <v>0</v>
      </c>
      <c r="AE225" s="1"/>
      <c r="AF225" s="1">
        <v>0</v>
      </c>
      <c r="AH225" s="4">
        <f>SUM(F225:AF225)</f>
        <v>927229.7699999999</v>
      </c>
    </row>
    <row r="226" spans="1:65" s="4" customFormat="1">
      <c r="A226" s="4">
        <v>213</v>
      </c>
      <c r="B226" s="4" t="s">
        <v>233</v>
      </c>
      <c r="D226" s="4" t="s">
        <v>234</v>
      </c>
      <c r="F226" s="4">
        <v>0</v>
      </c>
      <c r="H226" s="4">
        <v>0</v>
      </c>
      <c r="J226" s="4">
        <v>1501639</v>
      </c>
      <c r="L226" s="4">
        <v>64946</v>
      </c>
      <c r="N226" s="18">
        <v>0</v>
      </c>
      <c r="P226" s="4">
        <v>0</v>
      </c>
      <c r="R226" s="4">
        <v>1790</v>
      </c>
      <c r="T226" s="4">
        <v>78049</v>
      </c>
      <c r="V226" s="4">
        <v>7212</v>
      </c>
      <c r="X226" s="4">
        <v>0</v>
      </c>
      <c r="Z226" s="4">
        <v>0</v>
      </c>
      <c r="AB226" s="4">
        <v>0</v>
      </c>
      <c r="AD226" s="4">
        <v>0</v>
      </c>
      <c r="AF226" s="4">
        <v>0</v>
      </c>
      <c r="AH226" s="4">
        <f>SUM(F226:AD226)</f>
        <v>1653636</v>
      </c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</row>
    <row r="227" spans="1:65" s="4" customFormat="1">
      <c r="A227" s="4">
        <v>122</v>
      </c>
      <c r="B227" s="4" t="s">
        <v>309</v>
      </c>
      <c r="D227" s="4" t="s">
        <v>66</v>
      </c>
      <c r="F227" s="1">
        <v>0</v>
      </c>
      <c r="G227" s="1"/>
      <c r="H227" s="1">
        <v>858757.68</v>
      </c>
      <c r="I227" s="1"/>
      <c r="J227" s="1">
        <v>0</v>
      </c>
      <c r="K227" s="1"/>
      <c r="L227" s="1">
        <v>37434.959999999999</v>
      </c>
      <c r="M227" s="1"/>
      <c r="N227" s="1">
        <v>0</v>
      </c>
      <c r="O227" s="1"/>
      <c r="P227" s="1">
        <v>0</v>
      </c>
      <c r="Q227" s="1"/>
      <c r="R227" s="1">
        <v>15112</v>
      </c>
      <c r="S227" s="1"/>
      <c r="T227" s="1">
        <v>1573.05</v>
      </c>
      <c r="U227" s="1"/>
      <c r="V227" s="1">
        <v>3741.32</v>
      </c>
      <c r="W227" s="1"/>
      <c r="X227" s="1">
        <v>0</v>
      </c>
      <c r="Y227" s="1"/>
      <c r="Z227" s="1">
        <v>0</v>
      </c>
      <c r="AA227" s="1"/>
      <c r="AB227" s="1">
        <v>0</v>
      </c>
      <c r="AC227" s="1"/>
      <c r="AD227" s="1">
        <v>0</v>
      </c>
      <c r="AE227" s="1"/>
      <c r="AF227" s="1">
        <v>0</v>
      </c>
      <c r="AH227" s="4">
        <f>SUM(F227:AF227)</f>
        <v>916619.01</v>
      </c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</row>
    <row r="228" spans="1:65" s="4" customFormat="1" hidden="1">
      <c r="A228" s="4">
        <v>257</v>
      </c>
      <c r="B228" s="4" t="s">
        <v>532</v>
      </c>
      <c r="D228" s="4" t="s">
        <v>52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H228" s="4">
        <f>SUM(F228:AF228)</f>
        <v>0</v>
      </c>
    </row>
    <row r="229" spans="1:65" s="4" customFormat="1">
      <c r="A229" s="4">
        <v>236</v>
      </c>
      <c r="B229" s="4" t="s">
        <v>235</v>
      </c>
      <c r="D229" s="4" t="s">
        <v>12</v>
      </c>
      <c r="F229" s="1">
        <v>174571.58</v>
      </c>
      <c r="G229" s="1"/>
      <c r="H229" s="1">
        <v>350465.02</v>
      </c>
      <c r="I229" s="1"/>
      <c r="J229" s="1">
        <v>21930.29</v>
      </c>
      <c r="K229" s="1"/>
      <c r="L229" s="1">
        <v>21699.68</v>
      </c>
      <c r="M229" s="1"/>
      <c r="N229" s="1">
        <v>0</v>
      </c>
      <c r="O229" s="1"/>
      <c r="P229" s="1">
        <v>0</v>
      </c>
      <c r="Q229" s="1"/>
      <c r="R229" s="1">
        <v>9009.73</v>
      </c>
      <c r="S229" s="1"/>
      <c r="T229" s="1">
        <v>2567.5100000000002</v>
      </c>
      <c r="U229" s="1"/>
      <c r="V229" s="1">
        <v>1529.8</v>
      </c>
      <c r="W229" s="1"/>
      <c r="X229" s="1">
        <v>0</v>
      </c>
      <c r="Y229" s="1"/>
      <c r="Z229" s="1">
        <v>0</v>
      </c>
      <c r="AA229" s="1"/>
      <c r="AB229" s="1">
        <v>0</v>
      </c>
      <c r="AC229" s="1"/>
      <c r="AD229" s="1">
        <v>0</v>
      </c>
      <c r="AE229" s="1"/>
      <c r="AF229" s="1">
        <v>0</v>
      </c>
      <c r="AH229" s="4">
        <f>SUM(F229:AF229)</f>
        <v>581773.6100000001</v>
      </c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</row>
    <row r="230" spans="1:65" s="4" customFormat="1">
      <c r="A230" s="4">
        <v>59</v>
      </c>
      <c r="B230" s="4" t="s">
        <v>553</v>
      </c>
      <c r="D230" s="4" t="s">
        <v>171</v>
      </c>
      <c r="F230" s="18">
        <v>0</v>
      </c>
      <c r="H230" s="4">
        <v>2070881</v>
      </c>
      <c r="J230" s="18">
        <v>9712</v>
      </c>
      <c r="L230" s="4">
        <v>44798</v>
      </c>
      <c r="N230" s="18">
        <v>0</v>
      </c>
      <c r="P230" s="4">
        <v>38730</v>
      </c>
      <c r="R230" s="4">
        <v>18395</v>
      </c>
      <c r="T230" s="4">
        <v>13779</v>
      </c>
      <c r="V230" s="4">
        <v>32148</v>
      </c>
      <c r="X230" s="18">
        <v>0</v>
      </c>
      <c r="Z230" s="18">
        <v>100000</v>
      </c>
      <c r="AB230" s="18">
        <v>0</v>
      </c>
      <c r="AD230" s="18">
        <v>0</v>
      </c>
      <c r="AF230" s="18">
        <v>0</v>
      </c>
      <c r="AH230" s="4">
        <f t="shared" ref="AH230:AH235" si="3">SUM(F230:AD230)</f>
        <v>2328443</v>
      </c>
    </row>
    <row r="231" spans="1:65" s="4" customFormat="1">
      <c r="B231" s="4" t="s">
        <v>568</v>
      </c>
      <c r="D231" s="4" t="s">
        <v>156</v>
      </c>
      <c r="F231" s="18">
        <v>633415</v>
      </c>
      <c r="H231" s="4">
        <v>0</v>
      </c>
      <c r="J231" s="18">
        <v>0</v>
      </c>
      <c r="L231" s="4">
        <v>16609</v>
      </c>
      <c r="N231" s="18">
        <v>0</v>
      </c>
      <c r="P231" s="4">
        <v>0</v>
      </c>
      <c r="R231" s="4">
        <v>10214</v>
      </c>
      <c r="T231" s="4">
        <v>723</v>
      </c>
      <c r="V231" s="4">
        <v>5095</v>
      </c>
      <c r="X231" s="18">
        <v>0</v>
      </c>
      <c r="Z231" s="18">
        <v>0</v>
      </c>
      <c r="AB231" s="18">
        <v>0</v>
      </c>
      <c r="AD231" s="18">
        <v>0</v>
      </c>
      <c r="AF231" s="18">
        <v>0</v>
      </c>
      <c r="AH231" s="4">
        <f t="shared" si="3"/>
        <v>666056</v>
      </c>
    </row>
    <row r="232" spans="1:65" s="4" customFormat="1">
      <c r="A232" s="4">
        <v>74</v>
      </c>
      <c r="B232" s="4" t="s">
        <v>416</v>
      </c>
      <c r="D232" s="4" t="s">
        <v>19</v>
      </c>
      <c r="F232" s="4">
        <v>4090217</v>
      </c>
      <c r="H232" s="4">
        <v>1130660</v>
      </c>
      <c r="J232" s="18">
        <v>0</v>
      </c>
      <c r="L232" s="4">
        <v>89029</v>
      </c>
      <c r="N232" s="18">
        <v>0</v>
      </c>
      <c r="P232" s="18">
        <v>0</v>
      </c>
      <c r="R232" s="4">
        <v>665</v>
      </c>
      <c r="T232" s="4">
        <v>30479</v>
      </c>
      <c r="V232" s="4">
        <v>35316</v>
      </c>
      <c r="X232" s="18">
        <v>0</v>
      </c>
      <c r="Z232" s="4">
        <v>121</v>
      </c>
      <c r="AB232" s="18">
        <v>0</v>
      </c>
      <c r="AD232" s="18">
        <v>0</v>
      </c>
      <c r="AF232" s="18">
        <v>0</v>
      </c>
      <c r="AH232" s="4">
        <f t="shared" si="3"/>
        <v>5376487</v>
      </c>
    </row>
    <row r="233" spans="1:65" s="4" customFormat="1">
      <c r="A233" s="4">
        <v>249</v>
      </c>
      <c r="B233" s="4" t="s">
        <v>23</v>
      </c>
      <c r="D233" s="4" t="s">
        <v>24</v>
      </c>
      <c r="F233" s="4">
        <v>0</v>
      </c>
      <c r="H233" s="4">
        <v>2426309</v>
      </c>
      <c r="J233" s="18">
        <v>0</v>
      </c>
      <c r="L233" s="4">
        <v>67825</v>
      </c>
      <c r="N233" s="18">
        <v>0</v>
      </c>
      <c r="P233" s="18">
        <v>14009</v>
      </c>
      <c r="R233" s="4">
        <v>0</v>
      </c>
      <c r="T233" s="4">
        <v>2853</v>
      </c>
      <c r="V233" s="4">
        <v>8844</v>
      </c>
      <c r="X233" s="18">
        <v>0</v>
      </c>
      <c r="Z233" s="18">
        <v>0</v>
      </c>
      <c r="AB233" s="18">
        <v>0</v>
      </c>
      <c r="AD233" s="18">
        <v>0</v>
      </c>
      <c r="AF233" s="18">
        <v>0</v>
      </c>
      <c r="AH233" s="4">
        <f t="shared" si="3"/>
        <v>2519840</v>
      </c>
    </row>
    <row r="234" spans="1:65" s="4" customFormat="1">
      <c r="A234" s="4">
        <v>208</v>
      </c>
      <c r="B234" s="4" t="s">
        <v>554</v>
      </c>
      <c r="D234" s="4" t="s">
        <v>101</v>
      </c>
      <c r="F234" s="18">
        <v>1089406</v>
      </c>
      <c r="H234" s="18">
        <v>0</v>
      </c>
      <c r="J234" s="4">
        <v>0</v>
      </c>
      <c r="L234" s="4">
        <v>11596</v>
      </c>
      <c r="N234" s="18">
        <v>0</v>
      </c>
      <c r="P234" s="18">
        <v>180</v>
      </c>
      <c r="R234" s="4">
        <v>26702</v>
      </c>
      <c r="T234" s="18">
        <v>757</v>
      </c>
      <c r="V234" s="4">
        <v>20752</v>
      </c>
      <c r="X234" s="18">
        <v>0</v>
      </c>
      <c r="Z234" s="18">
        <v>0</v>
      </c>
      <c r="AB234" s="18">
        <v>0</v>
      </c>
      <c r="AD234" s="18">
        <v>0</v>
      </c>
      <c r="AF234" s="18">
        <v>0</v>
      </c>
      <c r="AH234" s="4">
        <f t="shared" si="3"/>
        <v>1149393</v>
      </c>
    </row>
    <row r="235" spans="1:65" s="4" customFormat="1">
      <c r="B235" s="4" t="s">
        <v>569</v>
      </c>
      <c r="C235" s="13"/>
      <c r="D235" s="13" t="s">
        <v>527</v>
      </c>
      <c r="F235" s="18">
        <v>0</v>
      </c>
      <c r="H235" s="18">
        <v>0</v>
      </c>
      <c r="J235" s="4">
        <v>38473931</v>
      </c>
      <c r="L235" s="4">
        <v>1986173</v>
      </c>
      <c r="N235" s="18">
        <v>0</v>
      </c>
      <c r="P235" s="18">
        <v>0</v>
      </c>
      <c r="R235" s="4">
        <v>25136</v>
      </c>
      <c r="T235" s="18">
        <v>74751</v>
      </c>
      <c r="V235" s="4">
        <v>654875</v>
      </c>
      <c r="X235" s="18">
        <v>0</v>
      </c>
      <c r="Z235" s="18">
        <v>4845706</v>
      </c>
      <c r="AB235" s="18">
        <v>0</v>
      </c>
      <c r="AD235" s="18">
        <v>0</v>
      </c>
      <c r="AF235" s="18">
        <v>0</v>
      </c>
      <c r="AH235" s="4">
        <f t="shared" si="3"/>
        <v>46060572</v>
      </c>
    </row>
    <row r="236" spans="1:65" s="4" customFormat="1">
      <c r="A236" s="4">
        <v>64</v>
      </c>
      <c r="B236" s="18" t="s">
        <v>236</v>
      </c>
      <c r="C236" s="18"/>
      <c r="D236" s="18" t="s">
        <v>45</v>
      </c>
      <c r="E236" s="18"/>
      <c r="F236" s="1">
        <v>0</v>
      </c>
      <c r="G236" s="1"/>
      <c r="H236" s="1">
        <v>445109.66</v>
      </c>
      <c r="I236" s="1"/>
      <c r="J236" s="1">
        <v>0</v>
      </c>
      <c r="K236" s="1"/>
      <c r="L236" s="1">
        <v>22564.53</v>
      </c>
      <c r="M236" s="1"/>
      <c r="N236" s="1">
        <v>0</v>
      </c>
      <c r="O236" s="1"/>
      <c r="P236" s="1">
        <v>0</v>
      </c>
      <c r="Q236" s="1"/>
      <c r="R236" s="1">
        <v>1937</v>
      </c>
      <c r="S236" s="1"/>
      <c r="T236" s="1">
        <v>843.51</v>
      </c>
      <c r="U236" s="1"/>
      <c r="V236" s="1">
        <v>8148.75</v>
      </c>
      <c r="W236" s="1"/>
      <c r="X236" s="1">
        <v>0</v>
      </c>
      <c r="Y236" s="1"/>
      <c r="Z236" s="1">
        <v>0</v>
      </c>
      <c r="AA236" s="1"/>
      <c r="AB236" s="1">
        <v>0</v>
      </c>
      <c r="AC236" s="1"/>
      <c r="AD236" s="1">
        <v>0</v>
      </c>
      <c r="AE236" s="1"/>
      <c r="AF236" s="1">
        <v>0</v>
      </c>
      <c r="AG236" s="18"/>
      <c r="AH236" s="4">
        <f>SUM(F236:AF236)</f>
        <v>478603.44999999995</v>
      </c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</row>
    <row r="237" spans="1:65" s="4" customFormat="1">
      <c r="A237" s="4">
        <v>188</v>
      </c>
      <c r="B237" s="18" t="s">
        <v>530</v>
      </c>
      <c r="C237" s="18"/>
      <c r="D237" s="18" t="s">
        <v>531</v>
      </c>
      <c r="E237" s="18"/>
      <c r="F237" s="1">
        <v>0</v>
      </c>
      <c r="G237" s="1"/>
      <c r="H237" s="1">
        <v>1033149.2</v>
      </c>
      <c r="I237" s="1"/>
      <c r="J237" s="1">
        <v>1978.28</v>
      </c>
      <c r="K237" s="1"/>
      <c r="L237" s="1">
        <v>17218.169999999998</v>
      </c>
      <c r="M237" s="1"/>
      <c r="N237" s="1">
        <v>0</v>
      </c>
      <c r="O237" s="1"/>
      <c r="P237" s="1">
        <v>0</v>
      </c>
      <c r="Q237" s="1"/>
      <c r="R237" s="1">
        <v>0</v>
      </c>
      <c r="S237" s="1"/>
      <c r="T237" s="1">
        <v>42242.8</v>
      </c>
      <c r="U237" s="1"/>
      <c r="V237" s="1">
        <v>11594.38</v>
      </c>
      <c r="W237" s="1"/>
      <c r="X237" s="1">
        <v>0</v>
      </c>
      <c r="Y237" s="1"/>
      <c r="Z237" s="1">
        <v>0</v>
      </c>
      <c r="AA237" s="1"/>
      <c r="AB237" s="1">
        <v>1500</v>
      </c>
      <c r="AC237" s="1"/>
      <c r="AD237" s="1">
        <v>0</v>
      </c>
      <c r="AE237" s="1"/>
      <c r="AF237" s="1">
        <v>0</v>
      </c>
      <c r="AG237" s="18"/>
      <c r="AH237" s="4">
        <f>SUM(F237:AF237)</f>
        <v>1107682.8299999998</v>
      </c>
    </row>
    <row r="238" spans="1:65" s="4" customFormat="1">
      <c r="A238" s="4">
        <v>16</v>
      </c>
      <c r="B238" s="4" t="s">
        <v>237</v>
      </c>
      <c r="D238" s="4" t="s">
        <v>171</v>
      </c>
      <c r="F238" s="1">
        <v>468940.42</v>
      </c>
      <c r="G238" s="1"/>
      <c r="H238" s="1">
        <v>872813.93</v>
      </c>
      <c r="I238" s="1"/>
      <c r="J238" s="1">
        <v>59648.639999999999</v>
      </c>
      <c r="K238" s="1"/>
      <c r="L238" s="1">
        <v>32386.37</v>
      </c>
      <c r="M238" s="1"/>
      <c r="N238" s="1">
        <v>0</v>
      </c>
      <c r="O238" s="1"/>
      <c r="P238" s="1">
        <v>65.02</v>
      </c>
      <c r="Q238" s="1"/>
      <c r="R238" s="1">
        <v>19881.87</v>
      </c>
      <c r="S238" s="1"/>
      <c r="T238" s="1">
        <v>16098.89</v>
      </c>
      <c r="U238" s="1"/>
      <c r="V238" s="1">
        <v>14064.92</v>
      </c>
      <c r="W238" s="1"/>
      <c r="X238" s="1">
        <v>0</v>
      </c>
      <c r="Y238" s="1"/>
      <c r="Z238" s="1">
        <v>0</v>
      </c>
      <c r="AA238" s="1"/>
      <c r="AB238" s="1">
        <v>0</v>
      </c>
      <c r="AC238" s="1"/>
      <c r="AD238" s="1">
        <v>4607.18</v>
      </c>
      <c r="AE238" s="1"/>
      <c r="AF238" s="1">
        <v>0</v>
      </c>
      <c r="AH238" s="4">
        <f>SUM(F238:AF238)</f>
        <v>1488507.24</v>
      </c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</row>
    <row r="239" spans="1:65" s="4" customFormat="1">
      <c r="A239" s="4">
        <v>141</v>
      </c>
      <c r="B239" s="4" t="s">
        <v>310</v>
      </c>
      <c r="D239" s="4" t="s">
        <v>213</v>
      </c>
      <c r="F239" s="4">
        <v>3090708</v>
      </c>
      <c r="H239" s="4">
        <v>8040209</v>
      </c>
      <c r="J239" s="4">
        <v>748623</v>
      </c>
      <c r="L239" s="4">
        <v>247350</v>
      </c>
      <c r="N239" s="18">
        <v>0</v>
      </c>
      <c r="P239" s="4">
        <v>0</v>
      </c>
      <c r="R239" s="4">
        <v>72500</v>
      </c>
      <c r="T239" s="4">
        <v>20759</v>
      </c>
      <c r="V239" s="4">
        <v>101965</v>
      </c>
      <c r="X239" s="18">
        <v>0</v>
      </c>
      <c r="Z239" s="4">
        <v>32970</v>
      </c>
      <c r="AB239" s="18">
        <v>0</v>
      </c>
      <c r="AD239" s="18">
        <v>0</v>
      </c>
      <c r="AF239" s="18">
        <v>0</v>
      </c>
      <c r="AH239" s="4">
        <f>SUM(F239:AD239)</f>
        <v>12355084</v>
      </c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</row>
    <row r="240" spans="1:65" s="4" customFormat="1">
      <c r="A240" s="4">
        <v>220</v>
      </c>
      <c r="B240" s="4" t="s">
        <v>239</v>
      </c>
      <c r="D240" s="4" t="s">
        <v>191</v>
      </c>
      <c r="F240" s="18">
        <v>0</v>
      </c>
      <c r="H240" s="4">
        <v>315247</v>
      </c>
      <c r="J240" s="18">
        <v>0</v>
      </c>
      <c r="L240" s="4">
        <v>5650</v>
      </c>
      <c r="N240" s="18">
        <v>0</v>
      </c>
      <c r="P240" s="18">
        <v>0</v>
      </c>
      <c r="R240" s="4">
        <v>716</v>
      </c>
      <c r="T240" s="4">
        <v>970</v>
      </c>
      <c r="V240" s="4">
        <v>317</v>
      </c>
      <c r="X240" s="18">
        <v>0</v>
      </c>
      <c r="Z240" s="18">
        <v>0</v>
      </c>
      <c r="AB240" s="18">
        <v>0</v>
      </c>
      <c r="AD240" s="18">
        <v>0</v>
      </c>
      <c r="AF240" s="18">
        <v>0</v>
      </c>
      <c r="AH240" s="4">
        <f>SUM(F240:AD240)</f>
        <v>322900</v>
      </c>
    </row>
    <row r="241" spans="1:65" s="4" customFormat="1">
      <c r="N241" s="18"/>
      <c r="P241" s="18"/>
      <c r="R241" s="18"/>
      <c r="X241" s="18"/>
      <c r="Z241" s="18"/>
      <c r="AB241" s="18"/>
      <c r="AD241" s="18"/>
      <c r="AF241" s="18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</row>
    <row r="242" spans="1:65" s="4" customFormat="1">
      <c r="N242" s="18"/>
      <c r="P242" s="18"/>
      <c r="R242" s="18"/>
      <c r="X242" s="18"/>
      <c r="Z242" s="18"/>
      <c r="AB242" s="18"/>
      <c r="AD242" s="18"/>
      <c r="AF242" s="18"/>
      <c r="AH242" s="27" t="s">
        <v>538</v>
      </c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</row>
    <row r="243" spans="1:65">
      <c r="B243" s="3" t="s">
        <v>491</v>
      </c>
    </row>
    <row r="244" spans="1:65">
      <c r="B244" s="3" t="s">
        <v>565</v>
      </c>
    </row>
    <row r="245" spans="1:65">
      <c r="B245" s="24" t="s">
        <v>7</v>
      </c>
    </row>
    <row r="246" spans="1:65" s="19" customFormat="1">
      <c r="H246" s="19" t="s">
        <v>279</v>
      </c>
    </row>
    <row r="247" spans="1:65" s="19" customFormat="1">
      <c r="F247" s="19" t="s">
        <v>31</v>
      </c>
      <c r="H247" s="19" t="s">
        <v>280</v>
      </c>
      <c r="P247" s="19" t="s">
        <v>29</v>
      </c>
      <c r="R247" s="19" t="s">
        <v>286</v>
      </c>
      <c r="X247" s="19" t="s">
        <v>291</v>
      </c>
      <c r="AD247" s="19" t="s">
        <v>0</v>
      </c>
    </row>
    <row r="248" spans="1:65" s="19" customFormat="1" ht="12" customHeight="1">
      <c r="F248" s="19" t="s">
        <v>0</v>
      </c>
      <c r="H248" s="19" t="s">
        <v>281</v>
      </c>
      <c r="J248" s="19" t="s">
        <v>345</v>
      </c>
      <c r="L248" s="19" t="s">
        <v>283</v>
      </c>
      <c r="P248" s="19" t="s">
        <v>285</v>
      </c>
      <c r="R248" s="19" t="s">
        <v>287</v>
      </c>
      <c r="T248" s="19" t="s">
        <v>289</v>
      </c>
      <c r="X248" s="19" t="s">
        <v>292</v>
      </c>
      <c r="AD248" s="19" t="s">
        <v>293</v>
      </c>
      <c r="AF248" s="19" t="s">
        <v>509</v>
      </c>
    </row>
    <row r="249" spans="1:65" s="19" customFormat="1" ht="12" customHeight="1">
      <c r="A249" s="19" t="s">
        <v>525</v>
      </c>
      <c r="B249" s="20" t="s">
        <v>5</v>
      </c>
      <c r="D249" s="20" t="s">
        <v>6</v>
      </c>
      <c r="F249" s="20" t="s">
        <v>278</v>
      </c>
      <c r="H249" s="20" t="s">
        <v>282</v>
      </c>
      <c r="J249" s="20" t="s">
        <v>346</v>
      </c>
      <c r="L249" s="20" t="s">
        <v>284</v>
      </c>
      <c r="N249" s="20" t="s">
        <v>505</v>
      </c>
      <c r="P249" s="20" t="s">
        <v>507</v>
      </c>
      <c r="R249" s="20" t="s">
        <v>288</v>
      </c>
      <c r="T249" s="20" t="s">
        <v>290</v>
      </c>
      <c r="V249" s="20" t="s">
        <v>1</v>
      </c>
      <c r="X249" s="20" t="s">
        <v>32</v>
      </c>
      <c r="Z249" s="20" t="s">
        <v>479</v>
      </c>
      <c r="AB249" s="20" t="s">
        <v>480</v>
      </c>
      <c r="AD249" s="20" t="s">
        <v>294</v>
      </c>
      <c r="AF249" s="20" t="s">
        <v>395</v>
      </c>
      <c r="AH249" s="29" t="s">
        <v>28</v>
      </c>
    </row>
    <row r="250" spans="1:65" s="4" customFormat="1">
      <c r="A250" s="4">
        <v>222</v>
      </c>
      <c r="B250" s="21" t="s">
        <v>311</v>
      </c>
      <c r="C250" s="21"/>
      <c r="D250" s="21" t="s">
        <v>60</v>
      </c>
      <c r="E250" s="21"/>
      <c r="F250" s="2">
        <v>15274.33</v>
      </c>
      <c r="G250" s="2"/>
      <c r="H250" s="2">
        <v>88487.7</v>
      </c>
      <c r="I250" s="2"/>
      <c r="J250" s="2">
        <v>2478.15</v>
      </c>
      <c r="K250" s="2"/>
      <c r="L250" s="2">
        <v>2418.0100000000002</v>
      </c>
      <c r="M250" s="2"/>
      <c r="N250" s="2">
        <v>0</v>
      </c>
      <c r="O250" s="2"/>
      <c r="P250" s="2">
        <v>0</v>
      </c>
      <c r="Q250" s="2"/>
      <c r="R250" s="2">
        <v>2935.43</v>
      </c>
      <c r="S250" s="2"/>
      <c r="T250" s="2">
        <v>767.2</v>
      </c>
      <c r="U250" s="2"/>
      <c r="V250" s="2">
        <v>1320.2</v>
      </c>
      <c r="W250" s="2"/>
      <c r="X250" s="2">
        <v>0</v>
      </c>
      <c r="Y250" s="2"/>
      <c r="Z250" s="2">
        <v>0</v>
      </c>
      <c r="AA250" s="2"/>
      <c r="AB250" s="2">
        <v>0</v>
      </c>
      <c r="AC250" s="2"/>
      <c r="AD250" s="2">
        <v>0</v>
      </c>
      <c r="AE250" s="2"/>
      <c r="AF250" s="2">
        <v>0</v>
      </c>
      <c r="AG250" s="21"/>
      <c r="AH250" s="5">
        <f>SUM(F250:AF250)</f>
        <v>113681.01999999997</v>
      </c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</row>
    <row r="251" spans="1:65" s="4" customFormat="1">
      <c r="A251" s="4">
        <v>155</v>
      </c>
      <c r="B251" s="18" t="s">
        <v>437</v>
      </c>
      <c r="C251" s="18"/>
      <c r="D251" s="18" t="s">
        <v>165</v>
      </c>
      <c r="E251" s="18"/>
      <c r="F251" s="1">
        <v>530442.57999999996</v>
      </c>
      <c r="G251" s="1"/>
      <c r="H251" s="1">
        <v>508755.8</v>
      </c>
      <c r="I251" s="1"/>
      <c r="J251" s="1">
        <v>1950</v>
      </c>
      <c r="K251" s="1"/>
      <c r="L251" s="1">
        <v>33715.65</v>
      </c>
      <c r="M251" s="1"/>
      <c r="N251" s="1">
        <v>0</v>
      </c>
      <c r="O251" s="1"/>
      <c r="P251" s="1">
        <v>0</v>
      </c>
      <c r="Q251" s="1"/>
      <c r="R251" s="1">
        <v>24840.69</v>
      </c>
      <c r="S251" s="1"/>
      <c r="T251" s="1">
        <v>20299.47</v>
      </c>
      <c r="U251" s="1"/>
      <c r="V251" s="1">
        <v>6035.24</v>
      </c>
      <c r="W251" s="1"/>
      <c r="X251" s="1">
        <v>0</v>
      </c>
      <c r="Y251" s="1"/>
      <c r="Z251" s="1">
        <v>0</v>
      </c>
      <c r="AA251" s="1"/>
      <c r="AB251" s="1">
        <v>0</v>
      </c>
      <c r="AC251" s="1"/>
      <c r="AD251" s="1">
        <v>0</v>
      </c>
      <c r="AE251" s="1"/>
      <c r="AF251" s="1">
        <v>0</v>
      </c>
      <c r="AG251" s="18"/>
      <c r="AH251" s="4">
        <f>SUM(F251:AF251)</f>
        <v>1126039.4299999997</v>
      </c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</row>
    <row r="252" spans="1:65" s="4" customFormat="1">
      <c r="A252" s="22">
        <v>130.1</v>
      </c>
      <c r="B252" s="18" t="s">
        <v>241</v>
      </c>
      <c r="C252" s="18"/>
      <c r="D252" s="18" t="s">
        <v>42</v>
      </c>
      <c r="E252" s="18"/>
      <c r="F252" s="1">
        <v>0</v>
      </c>
      <c r="G252" s="1"/>
      <c r="H252" s="1">
        <v>133279.72</v>
      </c>
      <c r="I252" s="1"/>
      <c r="J252" s="1">
        <v>22037.59</v>
      </c>
      <c r="K252" s="1"/>
      <c r="L252" s="1">
        <v>9343.69</v>
      </c>
      <c r="M252" s="1"/>
      <c r="N252" s="1">
        <v>0</v>
      </c>
      <c r="O252" s="1"/>
      <c r="P252" s="1">
        <v>0</v>
      </c>
      <c r="Q252" s="1"/>
      <c r="R252" s="1">
        <v>7736.89</v>
      </c>
      <c r="S252" s="1"/>
      <c r="T252" s="1">
        <v>1990.87</v>
      </c>
      <c r="U252" s="1"/>
      <c r="V252" s="1">
        <v>269.69</v>
      </c>
      <c r="W252" s="1"/>
      <c r="X252" s="1">
        <v>0</v>
      </c>
      <c r="Y252" s="1"/>
      <c r="Z252" s="1">
        <v>0</v>
      </c>
      <c r="AA252" s="1"/>
      <c r="AB252" s="1">
        <v>0</v>
      </c>
      <c r="AC252" s="1"/>
      <c r="AD252" s="1">
        <v>0</v>
      </c>
      <c r="AE252" s="1"/>
      <c r="AF252" s="1">
        <v>0</v>
      </c>
      <c r="AG252" s="18"/>
      <c r="AH252" s="4">
        <f>SUM(F252:AF252)</f>
        <v>174658.45</v>
      </c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</row>
    <row r="253" spans="1:65" s="4" customFormat="1">
      <c r="A253" s="4">
        <v>245</v>
      </c>
      <c r="B253" s="18" t="s">
        <v>340</v>
      </c>
      <c r="C253" s="18"/>
      <c r="D253" s="18" t="s">
        <v>49</v>
      </c>
      <c r="E253" s="18"/>
      <c r="F253" s="1">
        <v>0</v>
      </c>
      <c r="G253" s="1"/>
      <c r="H253" s="1">
        <v>152766.96</v>
      </c>
      <c r="I253" s="1"/>
      <c r="J253" s="1">
        <v>1500</v>
      </c>
      <c r="K253" s="1"/>
      <c r="L253" s="1">
        <v>2036.5</v>
      </c>
      <c r="M253" s="1"/>
      <c r="N253" s="1">
        <v>0</v>
      </c>
      <c r="O253" s="1"/>
      <c r="P253" s="1">
        <v>0</v>
      </c>
      <c r="Q253" s="1"/>
      <c r="R253" s="1">
        <v>8616.7999999999993</v>
      </c>
      <c r="S253" s="1"/>
      <c r="T253" s="1">
        <v>104.1</v>
      </c>
      <c r="U253" s="1"/>
      <c r="V253" s="1">
        <v>819.91</v>
      </c>
      <c r="W253" s="1"/>
      <c r="X253" s="1">
        <v>0</v>
      </c>
      <c r="Y253" s="1"/>
      <c r="Z253" s="1">
        <v>0</v>
      </c>
      <c r="AA253" s="1"/>
      <c r="AB253" s="1">
        <v>4198.32</v>
      </c>
      <c r="AC253" s="1"/>
      <c r="AD253" s="1">
        <v>0</v>
      </c>
      <c r="AE253" s="1"/>
      <c r="AF253" s="1">
        <v>0</v>
      </c>
      <c r="AG253" s="18"/>
      <c r="AH253" s="4">
        <f>SUM(F253:AF253)</f>
        <v>170042.59</v>
      </c>
    </row>
    <row r="254" spans="1:65" s="4" customFormat="1">
      <c r="A254" s="4">
        <v>211</v>
      </c>
      <c r="B254" s="4" t="s">
        <v>242</v>
      </c>
      <c r="D254" s="4" t="s">
        <v>19</v>
      </c>
      <c r="F254" s="4">
        <v>3188758</v>
      </c>
      <c r="H254" s="4">
        <v>418971</v>
      </c>
      <c r="J254" s="4">
        <v>0</v>
      </c>
      <c r="L254" s="4">
        <v>521969</v>
      </c>
      <c r="N254" s="18">
        <v>0</v>
      </c>
      <c r="P254" s="18">
        <v>56804</v>
      </c>
      <c r="R254" s="4">
        <v>18924</v>
      </c>
      <c r="T254" s="4">
        <v>15931</v>
      </c>
      <c r="V254" s="4">
        <v>6300</v>
      </c>
      <c r="X254" s="4">
        <v>0</v>
      </c>
      <c r="Z254" s="4">
        <v>0</v>
      </c>
      <c r="AB254" s="4">
        <v>0</v>
      </c>
      <c r="AD254" s="4">
        <v>0</v>
      </c>
      <c r="AF254" s="4">
        <v>0</v>
      </c>
      <c r="AH254" s="4">
        <f>SUM(F254:AD254)</f>
        <v>4227657</v>
      </c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</row>
    <row r="255" spans="1:65" s="4" customFormat="1">
      <c r="A255" s="4">
        <v>218</v>
      </c>
      <c r="B255" s="4" t="s">
        <v>243</v>
      </c>
      <c r="D255" s="4" t="s">
        <v>25</v>
      </c>
      <c r="F255" s="18">
        <v>1371020</v>
      </c>
      <c r="H255" s="4">
        <v>0</v>
      </c>
      <c r="J255" s="18">
        <v>0</v>
      </c>
      <c r="L255" s="4">
        <v>27388</v>
      </c>
      <c r="N255" s="18">
        <v>0</v>
      </c>
      <c r="P255" s="18">
        <v>0</v>
      </c>
      <c r="R255" s="4">
        <v>12594</v>
      </c>
      <c r="T255" s="4">
        <v>4120</v>
      </c>
      <c r="V255" s="4">
        <f>14482+99022</f>
        <v>113504</v>
      </c>
      <c r="X255" s="18">
        <v>0</v>
      </c>
      <c r="Z255" s="18">
        <v>0</v>
      </c>
      <c r="AB255" s="18">
        <v>0</v>
      </c>
      <c r="AD255" s="18">
        <v>0</v>
      </c>
      <c r="AF255" s="18">
        <v>0</v>
      </c>
      <c r="AH255" s="4">
        <f>SUM(F255:AD255)</f>
        <v>1528626</v>
      </c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</row>
    <row r="256" spans="1:65" s="4" customFormat="1">
      <c r="A256" s="4">
        <v>154</v>
      </c>
      <c r="B256" s="4" t="s">
        <v>244</v>
      </c>
      <c r="D256" s="4" t="s">
        <v>64</v>
      </c>
      <c r="F256" s="4">
        <v>409733</v>
      </c>
      <c r="H256" s="4">
        <v>502170</v>
      </c>
      <c r="J256" s="4">
        <v>26166</v>
      </c>
      <c r="L256" s="4">
        <v>22152</v>
      </c>
      <c r="N256" s="18">
        <v>0</v>
      </c>
      <c r="P256" s="18">
        <v>0</v>
      </c>
      <c r="R256" s="4">
        <v>70</v>
      </c>
      <c r="T256" s="4">
        <v>6791</v>
      </c>
      <c r="V256" s="4">
        <v>9005</v>
      </c>
      <c r="X256" s="18">
        <v>0</v>
      </c>
      <c r="Z256" s="18">
        <v>0</v>
      </c>
      <c r="AB256" s="18">
        <v>0</v>
      </c>
      <c r="AD256" s="18">
        <v>0</v>
      </c>
      <c r="AF256" s="18">
        <v>0</v>
      </c>
      <c r="AH256" s="4">
        <f>SUM(F256:AD256)</f>
        <v>976087</v>
      </c>
    </row>
    <row r="257" spans="1:65" s="4" customFormat="1">
      <c r="A257" s="4">
        <v>192</v>
      </c>
      <c r="B257" s="18" t="s">
        <v>245</v>
      </c>
      <c r="C257" s="18"/>
      <c r="D257" s="18" t="s">
        <v>68</v>
      </c>
      <c r="E257" s="18"/>
      <c r="F257" s="1">
        <v>0</v>
      </c>
      <c r="G257" s="1"/>
      <c r="H257" s="1">
        <v>201581.83</v>
      </c>
      <c r="I257" s="1"/>
      <c r="J257" s="1">
        <v>0</v>
      </c>
      <c r="K257" s="1"/>
      <c r="L257" s="1">
        <v>2644.29</v>
      </c>
      <c r="M257" s="1"/>
      <c r="N257" s="1">
        <v>0</v>
      </c>
      <c r="O257" s="1"/>
      <c r="P257" s="1">
        <v>0</v>
      </c>
      <c r="Q257" s="1"/>
      <c r="R257" s="1">
        <v>350</v>
      </c>
      <c r="S257" s="1"/>
      <c r="T257" s="1">
        <v>4426.1400000000003</v>
      </c>
      <c r="U257" s="1"/>
      <c r="V257" s="1">
        <v>676.23</v>
      </c>
      <c r="W257" s="1"/>
      <c r="X257" s="1">
        <v>556.33000000000004</v>
      </c>
      <c r="Y257" s="1"/>
      <c r="Z257" s="1">
        <v>0</v>
      </c>
      <c r="AA257" s="1"/>
      <c r="AB257" s="1">
        <v>0</v>
      </c>
      <c r="AC257" s="1"/>
      <c r="AD257" s="1">
        <v>0</v>
      </c>
      <c r="AE257" s="1"/>
      <c r="AF257" s="1">
        <v>0</v>
      </c>
      <c r="AG257" s="18"/>
      <c r="AH257" s="4">
        <f>SUM(F257:AF257)</f>
        <v>210234.82</v>
      </c>
    </row>
    <row r="258" spans="1:65" s="4" customFormat="1">
      <c r="A258" s="4">
        <v>221</v>
      </c>
      <c r="B258" s="18" t="s">
        <v>344</v>
      </c>
      <c r="C258" s="18"/>
      <c r="D258" s="18" t="s">
        <v>61</v>
      </c>
      <c r="E258" s="18"/>
      <c r="F258" s="1">
        <v>98862.399999999994</v>
      </c>
      <c r="G258" s="1"/>
      <c r="H258" s="1">
        <v>252094.54</v>
      </c>
      <c r="I258" s="1"/>
      <c r="J258" s="1">
        <v>15476.88</v>
      </c>
      <c r="K258" s="1"/>
      <c r="L258" s="1">
        <v>9028.5499999999993</v>
      </c>
      <c r="M258" s="1"/>
      <c r="N258" s="1">
        <v>0</v>
      </c>
      <c r="O258" s="1"/>
      <c r="P258" s="1">
        <v>0</v>
      </c>
      <c r="Q258" s="1"/>
      <c r="R258" s="1">
        <v>7152.5</v>
      </c>
      <c r="S258" s="1"/>
      <c r="T258" s="1">
        <v>3515.31</v>
      </c>
      <c r="U258" s="1"/>
      <c r="V258" s="1">
        <v>10205.200000000001</v>
      </c>
      <c r="W258" s="1"/>
      <c r="X258" s="1">
        <v>0</v>
      </c>
      <c r="Y258" s="1"/>
      <c r="Z258" s="1">
        <v>0</v>
      </c>
      <c r="AA258" s="1"/>
      <c r="AB258" s="1">
        <v>0</v>
      </c>
      <c r="AC258" s="1"/>
      <c r="AD258" s="1">
        <v>0</v>
      </c>
      <c r="AE258" s="1"/>
      <c r="AF258" s="1">
        <v>0</v>
      </c>
      <c r="AG258" s="18"/>
      <c r="AH258" s="4">
        <f>SUM(F258:AF258)</f>
        <v>396335.38</v>
      </c>
    </row>
    <row r="259" spans="1:65" s="4" customFormat="1">
      <c r="A259" s="4">
        <v>199</v>
      </c>
      <c r="B259" s="4" t="s">
        <v>246</v>
      </c>
      <c r="D259" s="4" t="s">
        <v>50</v>
      </c>
      <c r="F259" s="18">
        <v>0</v>
      </c>
      <c r="H259" s="18">
        <v>716854</v>
      </c>
      <c r="J259" s="18">
        <v>0</v>
      </c>
      <c r="L259" s="4">
        <v>30564</v>
      </c>
      <c r="N259" s="18">
        <v>0</v>
      </c>
      <c r="P259" s="18">
        <v>0</v>
      </c>
      <c r="R259" s="4">
        <v>16443</v>
      </c>
      <c r="T259" s="4">
        <v>4954</v>
      </c>
      <c r="V259" s="4">
        <v>714</v>
      </c>
      <c r="X259" s="18">
        <v>0</v>
      </c>
      <c r="Z259" s="18">
        <v>0</v>
      </c>
      <c r="AB259" s="18">
        <v>0</v>
      </c>
      <c r="AD259" s="18">
        <v>0</v>
      </c>
      <c r="AF259" s="18">
        <v>0</v>
      </c>
      <c r="AH259" s="4">
        <f>SUM(F259:AD259)</f>
        <v>769529</v>
      </c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</row>
    <row r="260" spans="1:65" s="4" customFormat="1">
      <c r="A260" s="4">
        <v>69</v>
      </c>
      <c r="B260" s="4" t="s">
        <v>247</v>
      </c>
      <c r="D260" s="4" t="s">
        <v>53</v>
      </c>
      <c r="F260" s="18">
        <v>0</v>
      </c>
      <c r="H260" s="4">
        <v>562825</v>
      </c>
      <c r="J260" s="18">
        <v>0</v>
      </c>
      <c r="L260" s="4">
        <v>9037</v>
      </c>
      <c r="N260" s="18">
        <v>0</v>
      </c>
      <c r="P260" s="18">
        <v>0</v>
      </c>
      <c r="R260" s="4">
        <v>5966</v>
      </c>
      <c r="T260" s="4">
        <v>879</v>
      </c>
      <c r="V260" s="4">
        <v>36</v>
      </c>
      <c r="X260" s="18">
        <v>0</v>
      </c>
      <c r="Z260" s="18">
        <v>0</v>
      </c>
      <c r="AB260" s="18">
        <v>0</v>
      </c>
      <c r="AD260" s="18">
        <v>0</v>
      </c>
      <c r="AF260" s="18">
        <v>0</v>
      </c>
      <c r="AH260" s="4">
        <f>SUM(F260:AD260)</f>
        <v>578743</v>
      </c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</row>
    <row r="261" spans="1:65" s="4" customFormat="1">
      <c r="A261" s="4">
        <v>77</v>
      </c>
      <c r="B261" s="4" t="s">
        <v>312</v>
      </c>
      <c r="D261" s="4" t="s">
        <v>165</v>
      </c>
      <c r="F261" s="4">
        <v>1313688</v>
      </c>
      <c r="H261" s="4">
        <v>1488588</v>
      </c>
      <c r="J261" s="18">
        <v>247578</v>
      </c>
      <c r="L261" s="4">
        <v>72883</v>
      </c>
      <c r="N261" s="18">
        <v>0</v>
      </c>
      <c r="P261" s="4">
        <v>1000</v>
      </c>
      <c r="R261" s="4">
        <v>187065</v>
      </c>
      <c r="T261" s="4">
        <v>17966</v>
      </c>
      <c r="V261" s="4">
        <v>54310</v>
      </c>
      <c r="X261" s="18">
        <v>0</v>
      </c>
      <c r="Z261" s="4">
        <v>1411</v>
      </c>
      <c r="AB261" s="18">
        <v>0</v>
      </c>
      <c r="AD261" s="18">
        <v>0</v>
      </c>
      <c r="AF261" s="18">
        <v>0</v>
      </c>
      <c r="AH261" s="4">
        <f>SUM(F261:AD261)</f>
        <v>3384489</v>
      </c>
    </row>
    <row r="262" spans="1:65" s="4" customFormat="1">
      <c r="A262" s="4">
        <v>127</v>
      </c>
      <c r="B262" s="4" t="s">
        <v>248</v>
      </c>
      <c r="D262" s="4" t="s">
        <v>67</v>
      </c>
      <c r="F262" s="1">
        <v>0</v>
      </c>
      <c r="G262" s="1"/>
      <c r="H262" s="1">
        <v>219843.85</v>
      </c>
      <c r="I262" s="1"/>
      <c r="J262" s="1">
        <v>4500</v>
      </c>
      <c r="K262" s="1"/>
      <c r="L262" s="1">
        <v>10847.03</v>
      </c>
      <c r="M262" s="1"/>
      <c r="N262" s="1">
        <v>0</v>
      </c>
      <c r="O262" s="1"/>
      <c r="P262" s="1">
        <v>0</v>
      </c>
      <c r="Q262" s="1"/>
      <c r="R262" s="1">
        <v>2960</v>
      </c>
      <c r="S262" s="1"/>
      <c r="T262" s="1">
        <v>3961.47</v>
      </c>
      <c r="U262" s="1"/>
      <c r="V262" s="1">
        <v>0</v>
      </c>
      <c r="W262" s="1"/>
      <c r="X262" s="1">
        <v>0</v>
      </c>
      <c r="Y262" s="1"/>
      <c r="Z262" s="1">
        <v>75000</v>
      </c>
      <c r="AA262" s="1"/>
      <c r="AB262" s="1">
        <v>0</v>
      </c>
      <c r="AC262" s="1"/>
      <c r="AD262" s="1">
        <v>0</v>
      </c>
      <c r="AE262" s="1"/>
      <c r="AF262" s="1">
        <v>0</v>
      </c>
      <c r="AH262" s="4">
        <f>SUM(F262:AF262)</f>
        <v>317112.34999999998</v>
      </c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</row>
    <row r="263" spans="1:65" s="4" customFormat="1">
      <c r="A263" s="4">
        <v>126</v>
      </c>
      <c r="B263" s="4" t="s">
        <v>249</v>
      </c>
      <c r="D263" s="4" t="s">
        <v>44</v>
      </c>
      <c r="F263" s="1">
        <v>0</v>
      </c>
      <c r="G263" s="1"/>
      <c r="H263" s="1">
        <v>137984.16</v>
      </c>
      <c r="I263" s="1"/>
      <c r="J263" s="1">
        <v>0</v>
      </c>
      <c r="K263" s="1"/>
      <c r="L263" s="1">
        <v>1429.08</v>
      </c>
      <c r="M263" s="1"/>
      <c r="N263" s="1">
        <v>0</v>
      </c>
      <c r="O263" s="1"/>
      <c r="P263" s="1">
        <v>0</v>
      </c>
      <c r="Q263" s="1"/>
      <c r="R263" s="1">
        <v>34251.370000000003</v>
      </c>
      <c r="S263" s="1"/>
      <c r="T263" s="1">
        <v>32.56</v>
      </c>
      <c r="U263" s="1"/>
      <c r="V263" s="1">
        <v>2009.34</v>
      </c>
      <c r="W263" s="1"/>
      <c r="X263" s="1">
        <v>0</v>
      </c>
      <c r="Y263" s="1"/>
      <c r="Z263" s="1">
        <v>0</v>
      </c>
      <c r="AA263" s="1"/>
      <c r="AB263" s="1">
        <v>0</v>
      </c>
      <c r="AC263" s="1"/>
      <c r="AD263" s="1">
        <v>0</v>
      </c>
      <c r="AE263" s="1"/>
      <c r="AF263" s="1">
        <v>0</v>
      </c>
      <c r="AH263" s="4">
        <f>SUM(F263:AF263)</f>
        <v>175706.50999999998</v>
      </c>
    </row>
    <row r="264" spans="1:65" s="4" customFormat="1">
      <c r="A264" s="4">
        <v>120</v>
      </c>
      <c r="B264" s="4" t="s">
        <v>250</v>
      </c>
      <c r="D264" s="4" t="s">
        <v>19</v>
      </c>
      <c r="F264" s="4">
        <v>3274291</v>
      </c>
      <c r="H264" s="4">
        <v>1495799</v>
      </c>
      <c r="J264" s="18">
        <v>508284</v>
      </c>
      <c r="L264" s="4">
        <v>141380</v>
      </c>
      <c r="N264" s="18">
        <v>0</v>
      </c>
      <c r="P264" s="18">
        <v>0</v>
      </c>
      <c r="R264" s="4">
        <v>2715</v>
      </c>
      <c r="T264" s="4">
        <v>3281</v>
      </c>
      <c r="V264" s="4">
        <v>112208</v>
      </c>
      <c r="X264" s="18">
        <v>0</v>
      </c>
      <c r="Z264" s="18">
        <v>0</v>
      </c>
      <c r="AB264" s="18">
        <v>0</v>
      </c>
      <c r="AD264" s="18">
        <v>0</v>
      </c>
      <c r="AF264" s="18">
        <v>0</v>
      </c>
      <c r="AH264" s="4">
        <f>SUM(F264:AD264)</f>
        <v>5537958</v>
      </c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</row>
    <row r="265" spans="1:65" s="4" customFormat="1">
      <c r="A265" s="4">
        <v>202</v>
      </c>
      <c r="B265" s="4" t="s">
        <v>417</v>
      </c>
      <c r="D265" s="4" t="s">
        <v>168</v>
      </c>
      <c r="F265" s="18">
        <v>0</v>
      </c>
      <c r="H265" s="18">
        <v>0</v>
      </c>
      <c r="J265" s="4">
        <v>1250</v>
      </c>
      <c r="L265" s="4">
        <v>12463</v>
      </c>
      <c r="N265" s="18">
        <v>0</v>
      </c>
      <c r="P265" s="18">
        <v>0</v>
      </c>
      <c r="R265" s="4">
        <v>14290</v>
      </c>
      <c r="T265" s="4">
        <v>1236</v>
      </c>
      <c r="V265" s="4">
        <v>3670</v>
      </c>
      <c r="X265" s="18">
        <v>0</v>
      </c>
      <c r="Z265" s="18">
        <v>0</v>
      </c>
      <c r="AB265" s="18">
        <v>0</v>
      </c>
      <c r="AD265" s="18">
        <v>0</v>
      </c>
      <c r="AF265" s="18">
        <v>0</v>
      </c>
      <c r="AH265" s="4">
        <f>SUM(F265:AD265)</f>
        <v>32909</v>
      </c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</row>
    <row r="266" spans="1:65" s="4" customFormat="1">
      <c r="A266" s="4">
        <v>178</v>
      </c>
      <c r="B266" s="4" t="s">
        <v>252</v>
      </c>
      <c r="D266" s="4" t="s">
        <v>91</v>
      </c>
      <c r="F266" s="18">
        <v>0</v>
      </c>
      <c r="H266" s="4">
        <v>3335914</v>
      </c>
      <c r="J266" s="18">
        <v>0</v>
      </c>
      <c r="L266" s="4">
        <v>170958</v>
      </c>
      <c r="N266" s="18">
        <v>0</v>
      </c>
      <c r="P266" s="18">
        <v>0</v>
      </c>
      <c r="R266" s="4">
        <v>38238</v>
      </c>
      <c r="T266" s="4">
        <v>2893</v>
      </c>
      <c r="V266" s="4">
        <v>68086</v>
      </c>
      <c r="X266" s="18">
        <v>0</v>
      </c>
      <c r="Z266" s="18">
        <v>0</v>
      </c>
      <c r="AB266" s="18">
        <v>0</v>
      </c>
      <c r="AD266" s="18">
        <v>0</v>
      </c>
      <c r="AF266" s="18">
        <v>0</v>
      </c>
      <c r="AH266" s="4">
        <f>SUM(F266:AD266)</f>
        <v>3616089</v>
      </c>
    </row>
    <row r="267" spans="1:65" s="4" customFormat="1">
      <c r="A267" s="4">
        <v>52</v>
      </c>
      <c r="B267" s="18" t="s">
        <v>313</v>
      </c>
      <c r="C267" s="18"/>
      <c r="D267" s="18" t="s">
        <v>13</v>
      </c>
      <c r="E267" s="18"/>
      <c r="F267" s="1">
        <v>0</v>
      </c>
      <c r="G267" s="1"/>
      <c r="H267" s="1">
        <v>415401.13</v>
      </c>
      <c r="I267" s="1"/>
      <c r="J267" s="1">
        <v>0</v>
      </c>
      <c r="K267" s="1"/>
      <c r="L267" s="1">
        <v>12203.02</v>
      </c>
      <c r="M267" s="1"/>
      <c r="N267" s="1">
        <v>0</v>
      </c>
      <c r="O267" s="1"/>
      <c r="P267" s="1">
        <v>0</v>
      </c>
      <c r="Q267" s="1"/>
      <c r="R267" s="1">
        <v>11244.32</v>
      </c>
      <c r="S267" s="1"/>
      <c r="T267" s="1">
        <v>557.51</v>
      </c>
      <c r="U267" s="1"/>
      <c r="V267" s="1">
        <v>8327.5400000000009</v>
      </c>
      <c r="W267" s="1"/>
      <c r="X267" s="1">
        <v>0</v>
      </c>
      <c r="Y267" s="1"/>
      <c r="Z267" s="1">
        <v>0</v>
      </c>
      <c r="AA267" s="1"/>
      <c r="AB267" s="1">
        <v>0</v>
      </c>
      <c r="AC267" s="1"/>
      <c r="AD267" s="1">
        <v>0</v>
      </c>
      <c r="AE267" s="1"/>
      <c r="AF267" s="1">
        <v>0</v>
      </c>
      <c r="AG267" s="18"/>
      <c r="AH267" s="4">
        <f>SUM(F267:AF267)</f>
        <v>447733.52</v>
      </c>
    </row>
    <row r="268" spans="1:65" s="4" customFormat="1">
      <c r="A268" s="4">
        <v>93</v>
      </c>
      <c r="B268" s="21" t="s">
        <v>341</v>
      </c>
      <c r="C268" s="21"/>
      <c r="D268" s="21" t="s">
        <v>43</v>
      </c>
      <c r="E268" s="21"/>
      <c r="F268" s="1">
        <v>0</v>
      </c>
      <c r="G268" s="1"/>
      <c r="H268" s="1">
        <v>430490.17</v>
      </c>
      <c r="I268" s="1"/>
      <c r="J268" s="1">
        <v>0</v>
      </c>
      <c r="K268" s="1"/>
      <c r="L268" s="1">
        <v>10431.129999999999</v>
      </c>
      <c r="M268" s="1"/>
      <c r="N268" s="1">
        <v>0</v>
      </c>
      <c r="O268" s="1"/>
      <c r="P268" s="1">
        <v>0</v>
      </c>
      <c r="Q268" s="1"/>
      <c r="R268" s="1">
        <v>20087.82</v>
      </c>
      <c r="S268" s="1"/>
      <c r="T268" s="1">
        <v>0</v>
      </c>
      <c r="U268" s="1"/>
      <c r="V268" s="1">
        <v>7531.23</v>
      </c>
      <c r="W268" s="1"/>
      <c r="X268" s="1">
        <v>0</v>
      </c>
      <c r="Y268" s="1"/>
      <c r="Z268" s="1">
        <v>0</v>
      </c>
      <c r="AA268" s="1"/>
      <c r="AB268" s="1">
        <v>0</v>
      </c>
      <c r="AC268" s="1"/>
      <c r="AD268" s="1">
        <v>0</v>
      </c>
      <c r="AE268" s="1"/>
      <c r="AF268" s="1">
        <v>0</v>
      </c>
      <c r="AG268" s="18"/>
      <c r="AH268" s="4">
        <f>SUM(F268:AF268)</f>
        <v>468540.35</v>
      </c>
    </row>
    <row r="269" spans="1:65" s="4" customFormat="1">
      <c r="A269" s="4">
        <v>5</v>
      </c>
      <c r="B269" s="4" t="s">
        <v>539</v>
      </c>
      <c r="D269" s="4" t="s">
        <v>25</v>
      </c>
      <c r="F269" s="4">
        <v>4316629</v>
      </c>
      <c r="H269" s="4">
        <v>6796324</v>
      </c>
      <c r="J269" s="4">
        <v>1301980</v>
      </c>
      <c r="L269" s="4">
        <v>249105</v>
      </c>
      <c r="N269" s="18">
        <v>0</v>
      </c>
      <c r="P269" s="4">
        <v>62149</v>
      </c>
      <c r="R269" s="4">
        <v>78885</v>
      </c>
      <c r="T269" s="4">
        <v>6673</v>
      </c>
      <c r="V269" s="4">
        <v>84687</v>
      </c>
      <c r="X269" s="4">
        <v>0</v>
      </c>
      <c r="Z269" s="4">
        <v>566</v>
      </c>
      <c r="AB269" s="4">
        <v>0</v>
      </c>
      <c r="AD269" s="4">
        <v>0</v>
      </c>
      <c r="AF269" s="4">
        <v>0</v>
      </c>
      <c r="AH269" s="4">
        <f>SUM(F269:AD269)</f>
        <v>12896998</v>
      </c>
    </row>
    <row r="270" spans="1:65" s="4" customFormat="1" ht="12" customHeight="1">
      <c r="A270" s="4">
        <v>70</v>
      </c>
      <c r="B270" s="4" t="s">
        <v>254</v>
      </c>
      <c r="D270" s="4" t="s">
        <v>255</v>
      </c>
      <c r="F270" s="18">
        <v>0</v>
      </c>
      <c r="H270" s="4">
        <v>2391772</v>
      </c>
      <c r="J270" s="18">
        <v>0</v>
      </c>
      <c r="L270" s="4">
        <v>69043</v>
      </c>
      <c r="N270" s="18">
        <v>0</v>
      </c>
      <c r="P270" s="18">
        <v>0</v>
      </c>
      <c r="R270" s="4">
        <v>6192</v>
      </c>
      <c r="T270" s="4">
        <v>7365</v>
      </c>
      <c r="V270" s="4">
        <v>55686</v>
      </c>
      <c r="X270" s="18">
        <v>0</v>
      </c>
      <c r="Z270" s="18">
        <v>82</v>
      </c>
      <c r="AB270" s="18">
        <v>0</v>
      </c>
      <c r="AD270" s="18">
        <v>0</v>
      </c>
      <c r="AF270" s="18">
        <v>0</v>
      </c>
      <c r="AH270" s="4">
        <f>SUM(F270:AD270)</f>
        <v>2530140</v>
      </c>
    </row>
    <row r="271" spans="1:65" s="4" customFormat="1">
      <c r="A271" s="4">
        <v>134</v>
      </c>
      <c r="B271" s="4" t="s">
        <v>256</v>
      </c>
      <c r="D271" s="4" t="s">
        <v>22</v>
      </c>
      <c r="F271" s="4">
        <v>792646</v>
      </c>
      <c r="H271" s="4">
        <v>0</v>
      </c>
      <c r="J271" s="4">
        <v>1177595</v>
      </c>
      <c r="L271" s="4">
        <v>82702</v>
      </c>
      <c r="N271" s="18">
        <v>0</v>
      </c>
      <c r="P271" s="4">
        <v>0</v>
      </c>
      <c r="R271" s="4">
        <v>5363</v>
      </c>
      <c r="T271" s="4">
        <v>1681</v>
      </c>
      <c r="V271" s="4">
        <v>8053</v>
      </c>
      <c r="X271" s="4">
        <v>0</v>
      </c>
      <c r="Z271" s="4">
        <v>0</v>
      </c>
      <c r="AB271" s="4">
        <v>0</v>
      </c>
      <c r="AD271" s="4">
        <v>0</v>
      </c>
      <c r="AF271" s="4">
        <v>0</v>
      </c>
      <c r="AH271" s="4">
        <f>SUM(F271:AD271)</f>
        <v>2068040</v>
      </c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</row>
    <row r="272" spans="1:65" s="4" customFormat="1">
      <c r="A272" s="4">
        <v>142</v>
      </c>
      <c r="B272" s="18" t="s">
        <v>257</v>
      </c>
      <c r="C272" s="18"/>
      <c r="D272" s="18" t="s">
        <v>41</v>
      </c>
      <c r="E272" s="18"/>
      <c r="F272" s="1">
        <v>105135.06</v>
      </c>
      <c r="G272" s="1"/>
      <c r="H272" s="1">
        <v>265439.42</v>
      </c>
      <c r="I272" s="1"/>
      <c r="J272" s="1">
        <v>0</v>
      </c>
      <c r="K272" s="1"/>
      <c r="L272" s="1">
        <v>14011.44</v>
      </c>
      <c r="M272" s="1"/>
      <c r="N272" s="1">
        <v>0</v>
      </c>
      <c r="O272" s="1"/>
      <c r="P272" s="1">
        <v>0</v>
      </c>
      <c r="Q272" s="1"/>
      <c r="R272" s="1">
        <v>13673.75</v>
      </c>
      <c r="S272" s="1"/>
      <c r="T272" s="1">
        <v>3092.01</v>
      </c>
      <c r="U272" s="1"/>
      <c r="V272" s="1">
        <v>500.89</v>
      </c>
      <c r="W272" s="1"/>
      <c r="X272" s="1">
        <v>0</v>
      </c>
      <c r="Y272" s="1"/>
      <c r="Z272" s="1">
        <v>0</v>
      </c>
      <c r="AA272" s="1"/>
      <c r="AB272" s="1">
        <v>0</v>
      </c>
      <c r="AC272" s="1"/>
      <c r="AD272" s="1">
        <v>0</v>
      </c>
      <c r="AE272" s="1"/>
      <c r="AF272" s="1">
        <v>0</v>
      </c>
      <c r="AG272" s="18"/>
      <c r="AH272" s="4">
        <f>SUM(F272:AF272)</f>
        <v>401852.57</v>
      </c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</row>
    <row r="273" spans="1:65" s="4" customFormat="1">
      <c r="A273" s="4">
        <v>79</v>
      </c>
      <c r="B273" s="4" t="s">
        <v>314</v>
      </c>
      <c r="D273" s="4" t="s">
        <v>168</v>
      </c>
      <c r="F273" s="1">
        <v>0</v>
      </c>
      <c r="G273" s="1"/>
      <c r="H273" s="1">
        <v>357771.05</v>
      </c>
      <c r="I273" s="1"/>
      <c r="J273" s="1">
        <v>0</v>
      </c>
      <c r="K273" s="1"/>
      <c r="L273" s="1">
        <v>13696.56</v>
      </c>
      <c r="M273" s="1"/>
      <c r="N273" s="1">
        <v>0</v>
      </c>
      <c r="O273" s="1"/>
      <c r="P273" s="1">
        <v>0</v>
      </c>
      <c r="Q273" s="1"/>
      <c r="R273" s="1">
        <v>7790.95</v>
      </c>
      <c r="S273" s="1"/>
      <c r="T273" s="1">
        <v>42957.32</v>
      </c>
      <c r="U273" s="1"/>
      <c r="V273" s="1">
        <v>1383.93</v>
      </c>
      <c r="W273" s="1"/>
      <c r="X273" s="1">
        <v>0</v>
      </c>
      <c r="Y273" s="1"/>
      <c r="Z273" s="1">
        <v>15000</v>
      </c>
      <c r="AA273" s="1"/>
      <c r="AB273" s="1">
        <v>0</v>
      </c>
      <c r="AC273" s="1"/>
      <c r="AD273" s="1">
        <v>0</v>
      </c>
      <c r="AE273" s="1"/>
      <c r="AF273" s="1">
        <v>0</v>
      </c>
      <c r="AH273" s="4">
        <f>SUM(F273:AF273)</f>
        <v>438599.81</v>
      </c>
    </row>
    <row r="274" spans="1:65" s="4" customFormat="1" hidden="1">
      <c r="A274" s="4">
        <v>56</v>
      </c>
      <c r="B274" s="4" t="s">
        <v>259</v>
      </c>
      <c r="D274" s="4" t="s">
        <v>22</v>
      </c>
      <c r="J274" s="18"/>
      <c r="N274" s="18"/>
      <c r="P274" s="18"/>
      <c r="R274" s="18"/>
      <c r="X274" s="18"/>
      <c r="Z274" s="18"/>
      <c r="AB274" s="18"/>
      <c r="AD274" s="18"/>
      <c r="AF274" s="18"/>
      <c r="AH274" s="4">
        <f>SUM(F274:AD274)</f>
        <v>0</v>
      </c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</row>
    <row r="275" spans="1:65" s="4" customFormat="1" hidden="1">
      <c r="A275" s="4">
        <v>130</v>
      </c>
      <c r="B275" s="4" t="s">
        <v>526</v>
      </c>
      <c r="D275" s="4" t="s">
        <v>527</v>
      </c>
      <c r="F275" s="18"/>
      <c r="H275" s="18"/>
      <c r="N275" s="18"/>
      <c r="P275" s="18"/>
      <c r="X275" s="18"/>
      <c r="Z275" s="18"/>
      <c r="AB275" s="18"/>
      <c r="AD275" s="18"/>
      <c r="AF275" s="18"/>
      <c r="AH275" s="4">
        <f>SUM(F275:AF275)</f>
        <v>0</v>
      </c>
    </row>
    <row r="276" spans="1:65" s="4" customFormat="1" hidden="1">
      <c r="A276" s="4">
        <v>55</v>
      </c>
      <c r="B276" s="4" t="s">
        <v>523</v>
      </c>
      <c r="D276" s="4" t="s">
        <v>66</v>
      </c>
      <c r="F276" s="18"/>
      <c r="J276" s="18"/>
      <c r="L276" s="18"/>
      <c r="N276" s="18"/>
      <c r="P276" s="18"/>
      <c r="R276" s="18"/>
      <c r="T276" s="18"/>
      <c r="V276" s="18"/>
      <c r="X276" s="18"/>
      <c r="Z276" s="18"/>
      <c r="AB276" s="18"/>
      <c r="AD276" s="18"/>
      <c r="AF276" s="18"/>
      <c r="AH276" s="4">
        <f>SUM(F276:AD276)</f>
        <v>0</v>
      </c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</row>
    <row r="277" spans="1:65" s="4" customFormat="1">
      <c r="A277" s="4">
        <v>145</v>
      </c>
      <c r="B277" s="4" t="s">
        <v>260</v>
      </c>
      <c r="D277" s="4" t="s">
        <v>44</v>
      </c>
      <c r="F277" s="1">
        <v>0</v>
      </c>
      <c r="G277" s="1"/>
      <c r="H277" s="1">
        <v>939948.25</v>
      </c>
      <c r="I277" s="1"/>
      <c r="J277" s="1">
        <v>0</v>
      </c>
      <c r="K277" s="1"/>
      <c r="L277" s="1">
        <v>34090.339999999997</v>
      </c>
      <c r="M277" s="1"/>
      <c r="N277" s="1">
        <v>0</v>
      </c>
      <c r="O277" s="1"/>
      <c r="P277" s="1">
        <v>0</v>
      </c>
      <c r="Q277" s="1"/>
      <c r="R277" s="1">
        <v>77682.39</v>
      </c>
      <c r="S277" s="1"/>
      <c r="T277" s="1">
        <v>47996.66</v>
      </c>
      <c r="U277" s="1"/>
      <c r="V277" s="1">
        <v>7653.23</v>
      </c>
      <c r="W277" s="1"/>
      <c r="X277" s="1">
        <v>0</v>
      </c>
      <c r="Y277" s="1"/>
      <c r="Z277" s="1">
        <v>120000</v>
      </c>
      <c r="AA277" s="1"/>
      <c r="AB277" s="1">
        <v>0</v>
      </c>
      <c r="AC277" s="1"/>
      <c r="AD277" s="1">
        <v>0</v>
      </c>
      <c r="AE277" s="1"/>
      <c r="AF277" s="1">
        <v>0</v>
      </c>
      <c r="AH277" s="4">
        <f>SUM(F277:AF277)</f>
        <v>1227370.8699999999</v>
      </c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</row>
    <row r="278" spans="1:65" s="4" customFormat="1">
      <c r="A278" s="4">
        <v>54</v>
      </c>
      <c r="B278" s="4" t="s">
        <v>418</v>
      </c>
      <c r="D278" s="4" t="s">
        <v>52</v>
      </c>
      <c r="F278" s="4">
        <v>0</v>
      </c>
      <c r="H278" s="4">
        <v>469179</v>
      </c>
      <c r="J278" s="4">
        <v>0</v>
      </c>
      <c r="L278" s="4">
        <v>13848</v>
      </c>
      <c r="N278" s="4">
        <v>0</v>
      </c>
      <c r="P278" s="4">
        <v>0</v>
      </c>
      <c r="R278" s="4">
        <v>7934</v>
      </c>
      <c r="T278" s="4">
        <v>8605</v>
      </c>
      <c r="V278" s="4">
        <v>11839</v>
      </c>
      <c r="X278" s="4">
        <v>0</v>
      </c>
      <c r="Z278" s="4">
        <v>0</v>
      </c>
      <c r="AB278" s="4">
        <v>0</v>
      </c>
      <c r="AD278" s="4">
        <v>0</v>
      </c>
      <c r="AF278" s="4">
        <v>0</v>
      </c>
      <c r="AH278" s="4">
        <f t="shared" ref="AH278:AH284" si="4">SUM(F278:AD278)</f>
        <v>511405</v>
      </c>
    </row>
    <row r="279" spans="1:65" s="4" customFormat="1">
      <c r="A279" s="4">
        <v>32</v>
      </c>
      <c r="B279" s="4" t="s">
        <v>555</v>
      </c>
      <c r="D279" s="4" t="s">
        <v>315</v>
      </c>
      <c r="F279" s="4">
        <v>15209885</v>
      </c>
      <c r="H279" s="4">
        <v>0</v>
      </c>
      <c r="J279" s="4">
        <v>18526203</v>
      </c>
      <c r="L279" s="4">
        <v>880874</v>
      </c>
      <c r="N279" s="4">
        <v>0</v>
      </c>
      <c r="P279" s="4">
        <v>69948</v>
      </c>
      <c r="R279" s="4">
        <v>11729</v>
      </c>
      <c r="T279" s="4">
        <v>30474</v>
      </c>
      <c r="V279" s="4">
        <v>238036</v>
      </c>
      <c r="X279" s="4">
        <v>0</v>
      </c>
      <c r="Z279" s="4">
        <v>0</v>
      </c>
      <c r="AB279" s="4">
        <v>0</v>
      </c>
      <c r="AD279" s="4">
        <v>59912</v>
      </c>
      <c r="AF279" s="4">
        <v>0</v>
      </c>
      <c r="AH279" s="4">
        <f t="shared" si="4"/>
        <v>35027061</v>
      </c>
    </row>
    <row r="280" spans="1:65" s="4" customFormat="1">
      <c r="A280" s="4">
        <v>57</v>
      </c>
      <c r="B280" s="4" t="s">
        <v>556</v>
      </c>
      <c r="D280" s="4" t="s">
        <v>52</v>
      </c>
      <c r="F280" s="18">
        <v>0</v>
      </c>
      <c r="H280" s="4">
        <v>1246952</v>
      </c>
      <c r="J280" s="18">
        <v>0</v>
      </c>
      <c r="L280" s="4">
        <v>35880</v>
      </c>
      <c r="N280" s="4">
        <v>0</v>
      </c>
      <c r="P280" s="18">
        <v>0</v>
      </c>
      <c r="R280" s="4">
        <v>87217</v>
      </c>
      <c r="T280" s="4">
        <v>35519</v>
      </c>
      <c r="V280" s="4">
        <v>14976</v>
      </c>
      <c r="X280" s="4">
        <v>0</v>
      </c>
      <c r="Z280" s="4">
        <v>100000</v>
      </c>
      <c r="AB280" s="4">
        <v>0</v>
      </c>
      <c r="AD280" s="4">
        <v>0</v>
      </c>
      <c r="AF280" s="4">
        <v>0</v>
      </c>
      <c r="AH280" s="4">
        <f t="shared" si="4"/>
        <v>1520544</v>
      </c>
    </row>
    <row r="281" spans="1:65" s="4" customFormat="1">
      <c r="A281" s="4">
        <v>53</v>
      </c>
      <c r="B281" s="4" t="s">
        <v>557</v>
      </c>
      <c r="D281" s="4" t="s">
        <v>26</v>
      </c>
      <c r="F281" s="4">
        <v>587644</v>
      </c>
      <c r="H281" s="4">
        <v>0</v>
      </c>
      <c r="J281" s="4">
        <v>1363655</v>
      </c>
      <c r="L281" s="4">
        <v>55783</v>
      </c>
      <c r="N281" s="18">
        <v>0</v>
      </c>
      <c r="P281" s="4">
        <v>0</v>
      </c>
      <c r="R281" s="4">
        <v>1</v>
      </c>
      <c r="T281" s="4">
        <v>5188</v>
      </c>
      <c r="V281" s="4">
        <v>2593</v>
      </c>
      <c r="X281" s="4">
        <v>0</v>
      </c>
      <c r="Z281" s="4">
        <v>0</v>
      </c>
      <c r="AB281" s="4">
        <v>0</v>
      </c>
      <c r="AD281" s="4">
        <v>0</v>
      </c>
      <c r="AF281" s="4">
        <v>0</v>
      </c>
      <c r="AH281" s="4">
        <f t="shared" si="4"/>
        <v>2014864</v>
      </c>
    </row>
    <row r="282" spans="1:65" s="4" customFormat="1">
      <c r="A282" s="4">
        <v>78</v>
      </c>
      <c r="B282" s="4" t="s">
        <v>316</v>
      </c>
      <c r="D282" s="4" t="s">
        <v>22</v>
      </c>
      <c r="F282" s="4">
        <v>1598498</v>
      </c>
      <c r="H282" s="4">
        <v>0</v>
      </c>
      <c r="J282" s="4">
        <v>1459302</v>
      </c>
      <c r="L282" s="4">
        <v>61745</v>
      </c>
      <c r="N282" s="18">
        <v>0</v>
      </c>
      <c r="P282" s="4">
        <v>0</v>
      </c>
      <c r="R282" s="4">
        <v>25023</v>
      </c>
      <c r="T282" s="4">
        <v>2505</v>
      </c>
      <c r="V282" s="4">
        <v>6027</v>
      </c>
      <c r="X282" s="4">
        <v>0</v>
      </c>
      <c r="Z282" s="4">
        <v>0</v>
      </c>
      <c r="AB282" s="4">
        <v>0</v>
      </c>
      <c r="AD282" s="4">
        <v>0</v>
      </c>
      <c r="AF282" s="4">
        <v>0</v>
      </c>
      <c r="AH282" s="4">
        <f t="shared" si="4"/>
        <v>3153100</v>
      </c>
    </row>
    <row r="283" spans="1:65" s="5" customFormat="1">
      <c r="A283" s="4">
        <v>247</v>
      </c>
      <c r="B283" s="4" t="s">
        <v>263</v>
      </c>
      <c r="C283" s="4"/>
      <c r="D283" s="4" t="s">
        <v>46</v>
      </c>
      <c r="E283" s="4"/>
      <c r="F283" s="18">
        <v>0</v>
      </c>
      <c r="G283" s="4"/>
      <c r="H283" s="4">
        <v>429938</v>
      </c>
      <c r="I283" s="4"/>
      <c r="J283" s="18">
        <v>0</v>
      </c>
      <c r="K283" s="4"/>
      <c r="L283" s="4">
        <v>11508</v>
      </c>
      <c r="M283" s="4"/>
      <c r="N283" s="18">
        <v>0</v>
      </c>
      <c r="O283" s="4"/>
      <c r="P283" s="18">
        <v>0</v>
      </c>
      <c r="Q283" s="4"/>
      <c r="R283" s="4">
        <v>3538</v>
      </c>
      <c r="S283" s="4"/>
      <c r="T283" s="4">
        <v>508</v>
      </c>
      <c r="U283" s="4"/>
      <c r="V283" s="4">
        <v>9132</v>
      </c>
      <c r="W283" s="4"/>
      <c r="X283" s="18">
        <v>0</v>
      </c>
      <c r="Y283" s="4"/>
      <c r="Z283" s="18">
        <v>0</v>
      </c>
      <c r="AA283" s="4"/>
      <c r="AB283" s="18">
        <v>0</v>
      </c>
      <c r="AC283" s="4"/>
      <c r="AD283" s="18">
        <v>0</v>
      </c>
      <c r="AE283" s="4"/>
      <c r="AF283" s="18">
        <v>0</v>
      </c>
      <c r="AG283" s="4"/>
      <c r="AH283" s="4">
        <f t="shared" si="4"/>
        <v>454624</v>
      </c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</row>
    <row r="284" spans="1:65" s="5" customFormat="1">
      <c r="A284" s="4"/>
      <c r="B284" s="4" t="s">
        <v>264</v>
      </c>
      <c r="C284" s="4"/>
      <c r="D284" s="4" t="s">
        <v>91</v>
      </c>
      <c r="E284" s="4"/>
      <c r="F284" s="18">
        <v>2698325</v>
      </c>
      <c r="G284" s="4"/>
      <c r="H284" s="4">
        <v>2588425</v>
      </c>
      <c r="I284" s="4"/>
      <c r="J284" s="18">
        <v>448737</v>
      </c>
      <c r="K284" s="4"/>
      <c r="L284" s="4">
        <v>177807</v>
      </c>
      <c r="M284" s="4"/>
      <c r="N284" s="18">
        <v>0</v>
      </c>
      <c r="O284" s="4"/>
      <c r="P284" s="18">
        <v>0</v>
      </c>
      <c r="Q284" s="4"/>
      <c r="R284" s="4">
        <v>22197</v>
      </c>
      <c r="S284" s="4"/>
      <c r="T284" s="4">
        <v>17028</v>
      </c>
      <c r="U284" s="4"/>
      <c r="V284" s="4">
        <v>31892</v>
      </c>
      <c r="W284" s="4"/>
      <c r="X284" s="18">
        <v>0</v>
      </c>
      <c r="Y284" s="4"/>
      <c r="Z284" s="18">
        <v>0</v>
      </c>
      <c r="AA284" s="4"/>
      <c r="AB284" s="18">
        <v>0</v>
      </c>
      <c r="AC284" s="4"/>
      <c r="AD284" s="18">
        <v>0</v>
      </c>
      <c r="AE284" s="4"/>
      <c r="AF284" s="18">
        <v>0</v>
      </c>
      <c r="AG284" s="4"/>
      <c r="AH284" s="4">
        <f t="shared" si="4"/>
        <v>5984411</v>
      </c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</row>
    <row r="285" spans="1:65" s="4" customFormat="1">
      <c r="A285" s="4">
        <v>26</v>
      </c>
      <c r="B285" s="4" t="s">
        <v>265</v>
      </c>
      <c r="D285" s="4" t="s">
        <v>62</v>
      </c>
      <c r="F285" s="1">
        <v>0</v>
      </c>
      <c r="G285" s="1"/>
      <c r="H285" s="1">
        <v>261579.13</v>
      </c>
      <c r="I285" s="1"/>
      <c r="J285" s="1">
        <v>0</v>
      </c>
      <c r="K285" s="1"/>
      <c r="L285" s="1">
        <v>16717.11</v>
      </c>
      <c r="M285" s="1"/>
      <c r="N285" s="1">
        <v>0</v>
      </c>
      <c r="O285" s="1"/>
      <c r="P285" s="1">
        <v>0</v>
      </c>
      <c r="Q285" s="1"/>
      <c r="R285" s="1">
        <v>13118.08</v>
      </c>
      <c r="S285" s="1"/>
      <c r="T285" s="1">
        <v>7352.02</v>
      </c>
      <c r="U285" s="1"/>
      <c r="V285" s="1">
        <v>2194.0500000000002</v>
      </c>
      <c r="W285" s="1"/>
      <c r="X285" s="1">
        <v>0</v>
      </c>
      <c r="Y285" s="1"/>
      <c r="Z285" s="1">
        <v>96230</v>
      </c>
      <c r="AA285" s="1"/>
      <c r="AB285" s="1">
        <v>0</v>
      </c>
      <c r="AC285" s="1"/>
      <c r="AD285" s="1">
        <v>0</v>
      </c>
      <c r="AE285" s="1"/>
      <c r="AF285" s="1">
        <v>0</v>
      </c>
      <c r="AH285" s="4">
        <f>SUM(F285:AF285)</f>
        <v>397190.39</v>
      </c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</row>
    <row r="286" spans="1:65" s="4" customFormat="1">
      <c r="B286" s="4" t="s">
        <v>570</v>
      </c>
      <c r="D286" s="4" t="s">
        <v>66</v>
      </c>
      <c r="F286" s="18">
        <v>0</v>
      </c>
      <c r="H286" s="18">
        <v>286919</v>
      </c>
      <c r="J286" s="18">
        <v>0</v>
      </c>
      <c r="L286" s="18">
        <v>0</v>
      </c>
      <c r="N286" s="18">
        <v>0</v>
      </c>
      <c r="P286" s="18">
        <v>0</v>
      </c>
      <c r="R286" s="18">
        <v>0</v>
      </c>
      <c r="T286" s="18">
        <v>0</v>
      </c>
      <c r="V286" s="18">
        <v>0</v>
      </c>
      <c r="X286" s="18">
        <v>0</v>
      </c>
      <c r="Z286" s="18">
        <v>0</v>
      </c>
      <c r="AB286" s="18">
        <v>0</v>
      </c>
      <c r="AD286" s="18">
        <v>0</v>
      </c>
      <c r="AF286" s="18">
        <v>0</v>
      </c>
      <c r="AH286" s="4">
        <f>SUM(F286:AF286)</f>
        <v>286919</v>
      </c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</row>
    <row r="287" spans="1:65" s="4" customFormat="1">
      <c r="A287" s="4">
        <v>25</v>
      </c>
      <c r="B287" s="4" t="s">
        <v>558</v>
      </c>
      <c r="D287" s="4" t="s">
        <v>55</v>
      </c>
      <c r="F287" s="4">
        <v>1697845</v>
      </c>
      <c r="H287" s="4">
        <v>3507622</v>
      </c>
      <c r="J287" s="4">
        <v>452078</v>
      </c>
      <c r="L287" s="4">
        <v>129692</v>
      </c>
      <c r="N287" s="18">
        <v>0</v>
      </c>
      <c r="P287" s="4">
        <v>280</v>
      </c>
      <c r="R287" s="4">
        <v>14106</v>
      </c>
      <c r="T287" s="4">
        <v>27734</v>
      </c>
      <c r="V287" s="4">
        <v>41430</v>
      </c>
      <c r="X287" s="18">
        <v>0</v>
      </c>
      <c r="Z287" s="4">
        <v>54000</v>
      </c>
      <c r="AB287" s="18">
        <v>0</v>
      </c>
      <c r="AD287" s="18">
        <v>0</v>
      </c>
      <c r="AF287" s="18">
        <v>0</v>
      </c>
      <c r="AH287" s="4">
        <f>SUM(F287:AD287)</f>
        <v>5924787</v>
      </c>
    </row>
    <row r="288" spans="1:65" s="4" customFormat="1">
      <c r="A288" s="4">
        <v>90</v>
      </c>
      <c r="B288" s="4" t="s">
        <v>559</v>
      </c>
      <c r="D288" s="4" t="s">
        <v>27</v>
      </c>
      <c r="F288" s="4">
        <v>0</v>
      </c>
      <c r="H288" s="4">
        <v>0</v>
      </c>
      <c r="J288" s="4">
        <v>1916331</v>
      </c>
      <c r="L288" s="4">
        <v>74423</v>
      </c>
      <c r="N288" s="4">
        <v>0</v>
      </c>
      <c r="P288" s="4">
        <v>0</v>
      </c>
      <c r="R288" s="4">
        <v>3702</v>
      </c>
      <c r="T288" s="4">
        <v>4408</v>
      </c>
      <c r="V288" s="4">
        <v>3526</v>
      </c>
      <c r="X288" s="4">
        <v>0</v>
      </c>
      <c r="Z288" s="18">
        <v>0</v>
      </c>
      <c r="AB288" s="4">
        <v>0</v>
      </c>
      <c r="AD288" s="4">
        <v>35</v>
      </c>
      <c r="AF288" s="4">
        <v>0</v>
      </c>
      <c r="AH288" s="4">
        <f>SUM(F288:AD288)</f>
        <v>2002425</v>
      </c>
    </row>
    <row r="289" spans="1:65" s="4" customFormat="1">
      <c r="A289" s="4">
        <v>230</v>
      </c>
      <c r="B289" s="4" t="s">
        <v>266</v>
      </c>
      <c r="D289" s="4" t="s">
        <v>54</v>
      </c>
      <c r="F289" s="4">
        <v>3287819</v>
      </c>
      <c r="H289" s="4">
        <v>2131656</v>
      </c>
      <c r="J289" s="4">
        <v>621493</v>
      </c>
      <c r="L289" s="4">
        <v>299990</v>
      </c>
      <c r="N289" s="18">
        <v>0</v>
      </c>
      <c r="P289" s="18">
        <v>0</v>
      </c>
      <c r="R289" s="4">
        <v>42510</v>
      </c>
      <c r="T289" s="4">
        <v>275991</v>
      </c>
      <c r="V289" s="4">
        <f>6736+17610</f>
        <v>24346</v>
      </c>
      <c r="X289" s="18">
        <v>0</v>
      </c>
      <c r="Z289" s="18">
        <v>0</v>
      </c>
      <c r="AB289" s="18">
        <v>0</v>
      </c>
      <c r="AD289" s="18">
        <v>0</v>
      </c>
      <c r="AF289" s="18">
        <v>0</v>
      </c>
      <c r="AH289" s="4">
        <f>SUM(F289:AD289)</f>
        <v>6683805</v>
      </c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</row>
    <row r="290" spans="1:65" s="4" customFormat="1">
      <c r="A290" s="4">
        <v>171</v>
      </c>
      <c r="B290" s="4" t="s">
        <v>37</v>
      </c>
      <c r="D290" s="4" t="s">
        <v>41</v>
      </c>
      <c r="F290" s="1">
        <v>25725.74</v>
      </c>
      <c r="G290" s="1"/>
      <c r="H290" s="1">
        <v>306182.40999999997</v>
      </c>
      <c r="I290" s="1"/>
      <c r="J290" s="1">
        <v>3413.13</v>
      </c>
      <c r="K290" s="1"/>
      <c r="L290" s="1">
        <v>13198.84</v>
      </c>
      <c r="M290" s="1"/>
      <c r="N290" s="1">
        <v>0</v>
      </c>
      <c r="O290" s="1"/>
      <c r="P290" s="1">
        <v>0</v>
      </c>
      <c r="Q290" s="1"/>
      <c r="R290" s="1">
        <v>5782.88</v>
      </c>
      <c r="S290" s="1"/>
      <c r="T290" s="1">
        <v>18302.07</v>
      </c>
      <c r="U290" s="1"/>
      <c r="V290" s="1">
        <v>425.03</v>
      </c>
      <c r="W290" s="1"/>
      <c r="X290" s="1">
        <v>0</v>
      </c>
      <c r="Y290" s="1"/>
      <c r="Z290" s="1">
        <v>0</v>
      </c>
      <c r="AA290" s="1"/>
      <c r="AB290" s="1">
        <v>0</v>
      </c>
      <c r="AC290" s="1"/>
      <c r="AD290" s="1">
        <v>0</v>
      </c>
      <c r="AE290" s="1"/>
      <c r="AF290" s="1">
        <v>0</v>
      </c>
      <c r="AH290" s="4">
        <f>SUM(F290:AF290)</f>
        <v>373030.10000000003</v>
      </c>
    </row>
    <row r="291" spans="1:65" s="4" customFormat="1">
      <c r="A291" s="4">
        <v>49</v>
      </c>
      <c r="B291" s="4" t="s">
        <v>560</v>
      </c>
      <c r="D291" s="4" t="s">
        <v>223</v>
      </c>
      <c r="F291" s="18">
        <v>1810453</v>
      </c>
      <c r="H291" s="18">
        <v>0</v>
      </c>
      <c r="J291" s="18">
        <v>3111188</v>
      </c>
      <c r="L291" s="18">
        <v>156938</v>
      </c>
      <c r="N291" s="18">
        <v>0</v>
      </c>
      <c r="P291" s="18">
        <v>0</v>
      </c>
      <c r="R291" s="18">
        <v>0</v>
      </c>
      <c r="T291" s="18">
        <v>81937</v>
      </c>
      <c r="V291" s="18">
        <v>600</v>
      </c>
      <c r="X291" s="18">
        <v>0</v>
      </c>
      <c r="Z291" s="18">
        <v>0</v>
      </c>
      <c r="AB291" s="18">
        <v>0</v>
      </c>
      <c r="AD291" s="18">
        <v>0</v>
      </c>
      <c r="AF291" s="18">
        <v>0</v>
      </c>
      <c r="AH291" s="4">
        <f>SUM(F291:AD291)</f>
        <v>5161116</v>
      </c>
    </row>
    <row r="292" spans="1:65" s="4" customFormat="1">
      <c r="A292" s="4">
        <v>34</v>
      </c>
      <c r="B292" s="4" t="s">
        <v>268</v>
      </c>
      <c r="D292" s="4" t="s">
        <v>64</v>
      </c>
      <c r="F292" s="1">
        <v>0</v>
      </c>
      <c r="G292" s="1"/>
      <c r="H292" s="1">
        <v>263919.73</v>
      </c>
      <c r="I292" s="1"/>
      <c r="J292" s="1">
        <v>0</v>
      </c>
      <c r="K292" s="1"/>
      <c r="L292" s="1">
        <v>8137.61</v>
      </c>
      <c r="M292" s="1"/>
      <c r="N292" s="1">
        <v>0</v>
      </c>
      <c r="O292" s="1"/>
      <c r="P292" s="1">
        <v>0</v>
      </c>
      <c r="Q292" s="1"/>
      <c r="R292" s="1">
        <v>2452.5500000000002</v>
      </c>
      <c r="S292" s="1"/>
      <c r="T292" s="1">
        <v>1895.15</v>
      </c>
      <c r="U292" s="1"/>
      <c r="V292" s="1">
        <v>823.26</v>
      </c>
      <c r="W292" s="1"/>
      <c r="X292" s="1">
        <v>0</v>
      </c>
      <c r="Y292" s="1"/>
      <c r="Z292" s="1">
        <v>0</v>
      </c>
      <c r="AA292" s="1"/>
      <c r="AB292" s="1">
        <v>0</v>
      </c>
      <c r="AC292" s="1"/>
      <c r="AD292" s="1">
        <v>0</v>
      </c>
      <c r="AE292" s="1"/>
      <c r="AF292" s="1">
        <v>0</v>
      </c>
      <c r="AH292" s="4">
        <f>SUM(F292:AF292)</f>
        <v>277228.3</v>
      </c>
    </row>
    <row r="293" spans="1:65" s="4" customFormat="1">
      <c r="A293" s="4">
        <v>197</v>
      </c>
      <c r="B293" s="4" t="s">
        <v>269</v>
      </c>
      <c r="D293" s="4" t="s">
        <v>64</v>
      </c>
      <c r="F293" s="1">
        <v>821826.88</v>
      </c>
      <c r="G293" s="1"/>
      <c r="H293" s="1">
        <v>907996.07</v>
      </c>
      <c r="I293" s="1"/>
      <c r="J293" s="1">
        <v>93991.34</v>
      </c>
      <c r="K293" s="1"/>
      <c r="L293" s="1">
        <v>54142.47</v>
      </c>
      <c r="M293" s="1"/>
      <c r="N293" s="1">
        <v>0</v>
      </c>
      <c r="O293" s="1"/>
      <c r="P293" s="1">
        <v>0</v>
      </c>
      <c r="Q293" s="1"/>
      <c r="R293" s="1">
        <v>3715.93</v>
      </c>
      <c r="S293" s="1"/>
      <c r="T293" s="1">
        <v>1411.73</v>
      </c>
      <c r="U293" s="1"/>
      <c r="V293" s="1">
        <v>17120.95</v>
      </c>
      <c r="W293" s="1"/>
      <c r="X293" s="1">
        <v>2128.48</v>
      </c>
      <c r="Y293" s="1"/>
      <c r="Z293" s="1">
        <v>0</v>
      </c>
      <c r="AA293" s="1"/>
      <c r="AB293" s="1">
        <v>0</v>
      </c>
      <c r="AC293" s="1"/>
      <c r="AD293" s="1">
        <v>0</v>
      </c>
      <c r="AE293" s="1"/>
      <c r="AF293" s="1">
        <v>0</v>
      </c>
      <c r="AH293" s="4">
        <f>SUM(F293:AF293)</f>
        <v>1902333.8499999999</v>
      </c>
    </row>
    <row r="294" spans="1:65" s="4" customFormat="1">
      <c r="A294" s="4">
        <v>156</v>
      </c>
      <c r="B294" s="18" t="s">
        <v>270</v>
      </c>
      <c r="C294" s="18"/>
      <c r="D294" s="18" t="s">
        <v>50</v>
      </c>
      <c r="E294" s="18"/>
      <c r="F294" s="1">
        <v>0</v>
      </c>
      <c r="G294" s="1"/>
      <c r="H294" s="1">
        <v>342709.68</v>
      </c>
      <c r="I294" s="1"/>
      <c r="J294" s="1">
        <v>0</v>
      </c>
      <c r="K294" s="1"/>
      <c r="L294" s="1">
        <v>5411.17</v>
      </c>
      <c r="M294" s="1"/>
      <c r="N294" s="1">
        <v>0</v>
      </c>
      <c r="O294" s="1"/>
      <c r="P294" s="1">
        <v>1932.14</v>
      </c>
      <c r="Q294" s="1"/>
      <c r="R294" s="1">
        <v>4080.17</v>
      </c>
      <c r="S294" s="1"/>
      <c r="T294" s="1">
        <v>26784.73</v>
      </c>
      <c r="U294" s="1"/>
      <c r="V294" s="1">
        <v>297.91000000000003</v>
      </c>
      <c r="W294" s="1"/>
      <c r="X294" s="1">
        <v>0</v>
      </c>
      <c r="Y294" s="1"/>
      <c r="Z294" s="1">
        <v>0</v>
      </c>
      <c r="AA294" s="1"/>
      <c r="AB294" s="1">
        <v>0</v>
      </c>
      <c r="AC294" s="1"/>
      <c r="AD294" s="1">
        <v>0</v>
      </c>
      <c r="AE294" s="1"/>
      <c r="AF294" s="1">
        <v>0</v>
      </c>
      <c r="AG294" s="18"/>
      <c r="AH294" s="4">
        <f>SUM(F294:AF294)</f>
        <v>381215.79999999993</v>
      </c>
    </row>
    <row r="295" spans="1:65" s="4" customFormat="1">
      <c r="A295" s="4">
        <v>91</v>
      </c>
      <c r="B295" s="4" t="s">
        <v>522</v>
      </c>
      <c r="D295" s="4" t="s">
        <v>91</v>
      </c>
      <c r="F295" s="4">
        <v>1879500</v>
      </c>
      <c r="H295" s="4">
        <v>2595473</v>
      </c>
      <c r="J295" s="18">
        <v>110348</v>
      </c>
      <c r="L295" s="4">
        <v>258636</v>
      </c>
      <c r="N295" s="18">
        <v>0</v>
      </c>
      <c r="P295" s="4">
        <v>41995</v>
      </c>
      <c r="R295" s="4">
        <v>43880</v>
      </c>
      <c r="T295" s="4">
        <v>601</v>
      </c>
      <c r="V295" s="4">
        <v>20830</v>
      </c>
      <c r="X295" s="18">
        <v>0</v>
      </c>
      <c r="Z295" s="4">
        <v>19496</v>
      </c>
      <c r="AB295" s="18">
        <v>0</v>
      </c>
      <c r="AD295" s="18">
        <v>1075000</v>
      </c>
      <c r="AF295" s="18">
        <v>0</v>
      </c>
      <c r="AH295" s="4">
        <f>SUM(F295:AD295)</f>
        <v>6045759</v>
      </c>
    </row>
    <row r="296" spans="1:65" s="4" customFormat="1">
      <c r="A296" s="4">
        <v>81</v>
      </c>
      <c r="B296" s="4" t="s">
        <v>271</v>
      </c>
      <c r="D296" s="4" t="s">
        <v>64</v>
      </c>
      <c r="F296" s="1">
        <v>0</v>
      </c>
      <c r="G296" s="1"/>
      <c r="H296" s="1">
        <v>320875.02</v>
      </c>
      <c r="I296" s="1"/>
      <c r="J296" s="1">
        <v>0</v>
      </c>
      <c r="K296" s="1"/>
      <c r="L296" s="1">
        <v>7314.42</v>
      </c>
      <c r="M296" s="1"/>
      <c r="N296" s="1">
        <v>0</v>
      </c>
      <c r="O296" s="1"/>
      <c r="P296" s="1">
        <v>0</v>
      </c>
      <c r="Q296" s="1"/>
      <c r="R296" s="1">
        <v>349.72</v>
      </c>
      <c r="S296" s="1"/>
      <c r="T296" s="1">
        <v>4984.58</v>
      </c>
      <c r="U296" s="1"/>
      <c r="V296" s="1">
        <v>1899.31</v>
      </c>
      <c r="W296" s="1"/>
      <c r="X296" s="1">
        <v>0</v>
      </c>
      <c r="Y296" s="1"/>
      <c r="Z296" s="1">
        <v>0</v>
      </c>
      <c r="AA296" s="1"/>
      <c r="AB296" s="1">
        <v>0</v>
      </c>
      <c r="AC296" s="1"/>
      <c r="AD296" s="1">
        <v>0</v>
      </c>
      <c r="AE296" s="1"/>
      <c r="AF296" s="1">
        <v>0</v>
      </c>
      <c r="AH296" s="4">
        <f>SUM(F296:AF296)</f>
        <v>335423.05</v>
      </c>
    </row>
    <row r="297" spans="1:65" s="4" customFormat="1">
      <c r="A297" s="4">
        <v>215</v>
      </c>
      <c r="B297" s="18" t="s">
        <v>439</v>
      </c>
      <c r="C297" s="18"/>
      <c r="D297" s="18" t="s">
        <v>15</v>
      </c>
      <c r="E297" s="18"/>
      <c r="F297" s="1">
        <v>881619.03</v>
      </c>
      <c r="G297" s="1"/>
      <c r="H297" s="1">
        <v>735070.26</v>
      </c>
      <c r="I297" s="1"/>
      <c r="J297" s="1">
        <v>0</v>
      </c>
      <c r="K297" s="1"/>
      <c r="L297" s="1">
        <v>26607.33</v>
      </c>
      <c r="M297" s="1"/>
      <c r="N297" s="1">
        <v>0</v>
      </c>
      <c r="O297" s="1"/>
      <c r="P297" s="1">
        <v>0</v>
      </c>
      <c r="Q297" s="1"/>
      <c r="R297" s="1">
        <v>825</v>
      </c>
      <c r="S297" s="1"/>
      <c r="T297" s="1">
        <v>50393.05</v>
      </c>
      <c r="U297" s="1"/>
      <c r="V297" s="1">
        <v>18776.41</v>
      </c>
      <c r="W297" s="1"/>
      <c r="X297" s="1">
        <v>965.49</v>
      </c>
      <c r="Y297" s="1"/>
      <c r="Z297" s="1">
        <v>0</v>
      </c>
      <c r="AA297" s="1"/>
      <c r="AB297" s="1">
        <v>0</v>
      </c>
      <c r="AC297" s="1"/>
      <c r="AD297" s="1">
        <v>0</v>
      </c>
      <c r="AE297" s="1"/>
      <c r="AF297" s="1">
        <v>0</v>
      </c>
      <c r="AG297" s="18"/>
      <c r="AH297" s="4">
        <f>SUM(F297:AF297)</f>
        <v>1714256.57</v>
      </c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</row>
    <row r="298" spans="1:65" s="4" customFormat="1">
      <c r="A298" s="4">
        <v>153</v>
      </c>
      <c r="B298" s="4" t="s">
        <v>272</v>
      </c>
      <c r="D298" s="4" t="s">
        <v>88</v>
      </c>
      <c r="F298" s="4">
        <v>3701</v>
      </c>
      <c r="H298" s="4">
        <v>638259</v>
      </c>
      <c r="J298" s="18">
        <v>0</v>
      </c>
      <c r="L298" s="4">
        <v>28834</v>
      </c>
      <c r="N298" s="18">
        <v>0</v>
      </c>
      <c r="P298" s="18">
        <v>0</v>
      </c>
      <c r="R298" s="4">
        <v>17417</v>
      </c>
      <c r="T298" s="4">
        <v>3348</v>
      </c>
      <c r="V298" s="4">
        <v>5084</v>
      </c>
      <c r="X298" s="18">
        <v>0</v>
      </c>
      <c r="Z298" s="18">
        <v>0</v>
      </c>
      <c r="AB298" s="18">
        <v>0</v>
      </c>
      <c r="AD298" s="18">
        <v>0</v>
      </c>
      <c r="AF298" s="18">
        <v>0</v>
      </c>
      <c r="AH298" s="4">
        <f>SUM(F298:AD298)</f>
        <v>696643</v>
      </c>
    </row>
    <row r="299" spans="1:65" s="4" customFormat="1">
      <c r="A299" s="4">
        <v>216</v>
      </c>
      <c r="B299" s="4" t="s">
        <v>561</v>
      </c>
      <c r="D299" s="4" t="s">
        <v>202</v>
      </c>
      <c r="F299" s="4">
        <v>477086</v>
      </c>
      <c r="H299" s="4">
        <v>966741</v>
      </c>
      <c r="J299" s="4">
        <v>163704</v>
      </c>
      <c r="L299" s="4">
        <v>33570</v>
      </c>
      <c r="N299" s="18">
        <v>0</v>
      </c>
      <c r="P299" s="18">
        <v>0</v>
      </c>
      <c r="R299" s="4">
        <v>17797</v>
      </c>
      <c r="T299" s="4">
        <v>939</v>
      </c>
      <c r="V299" s="4">
        <v>39488</v>
      </c>
      <c r="X299" s="18">
        <v>0</v>
      </c>
      <c r="Z299" s="18">
        <v>0</v>
      </c>
      <c r="AB299" s="18">
        <v>0</v>
      </c>
      <c r="AD299" s="18">
        <v>0</v>
      </c>
      <c r="AF299" s="18">
        <v>0</v>
      </c>
      <c r="AH299" s="4">
        <f>SUM(F299:AD299)</f>
        <v>1699325</v>
      </c>
    </row>
    <row r="300" spans="1:65" s="4" customFormat="1">
      <c r="A300" s="4">
        <v>169</v>
      </c>
      <c r="B300" s="4" t="s">
        <v>273</v>
      </c>
      <c r="D300" s="4" t="s">
        <v>15</v>
      </c>
      <c r="F300" s="4">
        <v>1746801</v>
      </c>
      <c r="H300" s="4">
        <v>1819243</v>
      </c>
      <c r="J300" s="4">
        <v>447310</v>
      </c>
      <c r="L300" s="4">
        <v>105142</v>
      </c>
      <c r="N300" s="18">
        <v>0</v>
      </c>
      <c r="P300" s="18">
        <v>0</v>
      </c>
      <c r="R300" s="4">
        <v>3216</v>
      </c>
      <c r="T300" s="4">
        <v>14473</v>
      </c>
      <c r="V300" s="4">
        <v>38160</v>
      </c>
      <c r="X300" s="4">
        <v>0</v>
      </c>
      <c r="Z300" s="4">
        <v>0</v>
      </c>
      <c r="AB300" s="4">
        <v>0</v>
      </c>
      <c r="AD300" s="4">
        <v>0</v>
      </c>
      <c r="AF300" s="4">
        <v>0</v>
      </c>
      <c r="AH300" s="4">
        <f>SUM(F300:AD300)</f>
        <v>4174345</v>
      </c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</row>
    <row r="301" spans="1:65" s="4" customFormat="1">
      <c r="A301" s="4">
        <v>147</v>
      </c>
      <c r="B301" s="18" t="s">
        <v>274</v>
      </c>
      <c r="C301" s="18"/>
      <c r="D301" s="18" t="s">
        <v>68</v>
      </c>
      <c r="E301" s="18"/>
      <c r="F301" s="1">
        <v>0</v>
      </c>
      <c r="G301" s="1"/>
      <c r="H301" s="1">
        <v>571148.38</v>
      </c>
      <c r="I301" s="1"/>
      <c r="J301" s="1">
        <v>0</v>
      </c>
      <c r="K301" s="1"/>
      <c r="L301" s="1">
        <v>23044.83</v>
      </c>
      <c r="M301" s="1"/>
      <c r="N301" s="1">
        <v>0</v>
      </c>
      <c r="O301" s="1"/>
      <c r="P301" s="1">
        <v>0</v>
      </c>
      <c r="Q301" s="1"/>
      <c r="R301" s="1">
        <v>9978.2000000000007</v>
      </c>
      <c r="S301" s="1"/>
      <c r="T301" s="1">
        <v>3914.82</v>
      </c>
      <c r="U301" s="1"/>
      <c r="V301" s="1">
        <v>1956.08</v>
      </c>
      <c r="W301" s="1"/>
      <c r="X301" s="1">
        <v>0</v>
      </c>
      <c r="Y301" s="1"/>
      <c r="Z301" s="1">
        <v>0</v>
      </c>
      <c r="AA301" s="1"/>
      <c r="AB301" s="1">
        <v>0</v>
      </c>
      <c r="AC301" s="1"/>
      <c r="AD301" s="1">
        <v>0</v>
      </c>
      <c r="AE301" s="1"/>
      <c r="AF301" s="1">
        <v>0</v>
      </c>
      <c r="AG301" s="18"/>
      <c r="AH301" s="4">
        <f>SUM(F301:AF301)</f>
        <v>610042.30999999982</v>
      </c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</row>
    <row r="302" spans="1:65" s="4" customFormat="1">
      <c r="A302" s="4">
        <v>31</v>
      </c>
      <c r="B302" s="4" t="s">
        <v>562</v>
      </c>
      <c r="D302" s="4" t="s">
        <v>64</v>
      </c>
      <c r="F302" s="18">
        <v>0</v>
      </c>
      <c r="H302" s="4">
        <v>1349881</v>
      </c>
      <c r="J302" s="18">
        <v>0</v>
      </c>
      <c r="L302" s="4">
        <v>59866</v>
      </c>
      <c r="N302" s="18">
        <v>0</v>
      </c>
      <c r="P302" s="4">
        <v>11868</v>
      </c>
      <c r="R302" s="4">
        <v>113224</v>
      </c>
      <c r="T302" s="4">
        <v>3414</v>
      </c>
      <c r="V302" s="4">
        <v>3205</v>
      </c>
      <c r="X302" s="18">
        <v>0</v>
      </c>
      <c r="Z302" s="18">
        <v>0</v>
      </c>
      <c r="AB302" s="18">
        <v>0</v>
      </c>
      <c r="AD302" s="18">
        <v>0</v>
      </c>
      <c r="AF302" s="18">
        <v>0</v>
      </c>
      <c r="AH302" s="4">
        <f>SUM(F302:AD302)</f>
        <v>1541458</v>
      </c>
    </row>
    <row r="303" spans="1:65" s="4" customFormat="1">
      <c r="A303" s="22">
        <v>92.1</v>
      </c>
      <c r="B303" s="4" t="s">
        <v>275</v>
      </c>
      <c r="D303" s="4" t="s">
        <v>80</v>
      </c>
      <c r="F303" s="1">
        <v>0</v>
      </c>
      <c r="G303" s="1"/>
      <c r="H303" s="1">
        <v>295445.82</v>
      </c>
      <c r="I303" s="1"/>
      <c r="J303" s="1">
        <v>0</v>
      </c>
      <c r="K303" s="1"/>
      <c r="L303" s="1">
        <v>11892.75</v>
      </c>
      <c r="M303" s="1"/>
      <c r="N303" s="1">
        <v>0</v>
      </c>
      <c r="O303" s="1"/>
      <c r="P303" s="1">
        <v>0</v>
      </c>
      <c r="Q303" s="1"/>
      <c r="R303" s="1">
        <v>4098.79</v>
      </c>
      <c r="S303" s="1"/>
      <c r="T303" s="1">
        <v>1926.05</v>
      </c>
      <c r="U303" s="1"/>
      <c r="V303" s="1">
        <v>1505</v>
      </c>
      <c r="W303" s="1"/>
      <c r="X303" s="1">
        <v>0</v>
      </c>
      <c r="Y303" s="1"/>
      <c r="Z303" s="1">
        <v>0</v>
      </c>
      <c r="AA303" s="1"/>
      <c r="AB303" s="1">
        <v>0</v>
      </c>
      <c r="AC303" s="1"/>
      <c r="AD303" s="1">
        <v>0</v>
      </c>
      <c r="AE303" s="1"/>
      <c r="AF303" s="1">
        <v>0</v>
      </c>
      <c r="AH303" s="4">
        <f>SUM(F303:AF303)</f>
        <v>314868.40999999997</v>
      </c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</row>
    <row r="304" spans="1:65" s="4" customFormat="1">
      <c r="A304" s="4">
        <v>76</v>
      </c>
      <c r="B304" s="4" t="s">
        <v>317</v>
      </c>
      <c r="D304" s="4" t="s">
        <v>69</v>
      </c>
      <c r="F304" s="1">
        <v>0</v>
      </c>
      <c r="G304" s="1"/>
      <c r="H304" s="1">
        <v>125834.23</v>
      </c>
      <c r="I304" s="1"/>
      <c r="J304" s="1">
        <v>0</v>
      </c>
      <c r="K304" s="1"/>
      <c r="L304" s="1">
        <v>1853.69</v>
      </c>
      <c r="M304" s="1"/>
      <c r="N304" s="1">
        <v>0</v>
      </c>
      <c r="O304" s="1"/>
      <c r="P304" s="1">
        <v>0</v>
      </c>
      <c r="Q304" s="1"/>
      <c r="R304" s="1">
        <v>3875.62</v>
      </c>
      <c r="S304" s="1"/>
      <c r="T304" s="1">
        <v>300.14</v>
      </c>
      <c r="U304" s="1"/>
      <c r="V304" s="1">
        <v>102</v>
      </c>
      <c r="W304" s="1"/>
      <c r="X304" s="1">
        <v>248.82</v>
      </c>
      <c r="Y304" s="1"/>
      <c r="Z304" s="1">
        <v>0</v>
      </c>
      <c r="AA304" s="1"/>
      <c r="AB304" s="1">
        <v>0</v>
      </c>
      <c r="AC304" s="1"/>
      <c r="AD304" s="1">
        <v>0</v>
      </c>
      <c r="AE304" s="1"/>
      <c r="AF304" s="1">
        <v>0</v>
      </c>
      <c r="AH304" s="4">
        <f>SUM(F304:AF304)</f>
        <v>132214.50000000003</v>
      </c>
    </row>
    <row r="305" spans="1:65" s="4" customFormat="1">
      <c r="A305" s="4">
        <v>51</v>
      </c>
      <c r="B305" s="4" t="s">
        <v>276</v>
      </c>
      <c r="D305" s="4" t="s">
        <v>91</v>
      </c>
      <c r="F305" s="4">
        <v>5949645</v>
      </c>
      <c r="H305" s="4">
        <v>3142356</v>
      </c>
      <c r="J305" s="4">
        <v>0</v>
      </c>
      <c r="L305" s="4">
        <v>292687</v>
      </c>
      <c r="N305" s="18">
        <v>0</v>
      </c>
      <c r="P305" s="4">
        <v>782014</v>
      </c>
      <c r="R305" s="4">
        <v>5222</v>
      </c>
      <c r="T305" s="4">
        <v>33384</v>
      </c>
      <c r="V305" s="4">
        <v>18517</v>
      </c>
      <c r="X305" s="4">
        <v>0</v>
      </c>
      <c r="Z305" s="4">
        <v>0</v>
      </c>
      <c r="AB305" s="4">
        <v>0</v>
      </c>
      <c r="AD305" s="4">
        <v>0</v>
      </c>
      <c r="AF305" s="4">
        <v>0</v>
      </c>
      <c r="AH305" s="4">
        <f>SUM(F305:AD305)</f>
        <v>10223825</v>
      </c>
    </row>
    <row r="306" spans="1:65" s="4" customFormat="1">
      <c r="A306" s="4">
        <v>50</v>
      </c>
      <c r="B306" s="18" t="s">
        <v>440</v>
      </c>
      <c r="C306" s="18"/>
      <c r="D306" s="18" t="s">
        <v>54</v>
      </c>
      <c r="E306" s="18"/>
      <c r="F306" s="1">
        <v>254041.28</v>
      </c>
      <c r="G306" s="1"/>
      <c r="H306" s="1">
        <v>1187462.6100000001</v>
      </c>
      <c r="I306" s="1"/>
      <c r="J306" s="1">
        <v>41903.230000000003</v>
      </c>
      <c r="K306" s="1"/>
      <c r="L306" s="1">
        <v>35192.53</v>
      </c>
      <c r="M306" s="1"/>
      <c r="N306" s="1">
        <v>0</v>
      </c>
      <c r="O306" s="1"/>
      <c r="P306" s="1">
        <v>0</v>
      </c>
      <c r="Q306" s="1"/>
      <c r="R306" s="1">
        <v>6350.03</v>
      </c>
      <c r="S306" s="1"/>
      <c r="T306" s="1">
        <v>5363.64</v>
      </c>
      <c r="U306" s="1"/>
      <c r="V306" s="1">
        <v>12280.11</v>
      </c>
      <c r="W306" s="1"/>
      <c r="X306" s="1">
        <v>0</v>
      </c>
      <c r="Y306" s="1"/>
      <c r="Z306" s="1">
        <v>0</v>
      </c>
      <c r="AA306" s="1"/>
      <c r="AB306" s="1">
        <v>0</v>
      </c>
      <c r="AC306" s="1"/>
      <c r="AD306" s="1">
        <v>0</v>
      </c>
      <c r="AE306" s="1"/>
      <c r="AF306" s="1">
        <v>0</v>
      </c>
      <c r="AG306" s="18"/>
      <c r="AH306" s="4">
        <f>SUM(F306:AF306)</f>
        <v>1542593.4300000002</v>
      </c>
    </row>
    <row r="307" spans="1:65" s="4" customForma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</row>
    <row r="308" spans="1:65" s="4" customForma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</row>
    <row r="309" spans="1:65" s="4" customForma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65" s="4" customForma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</row>
    <row r="311" spans="1:65" s="4" customForma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65" s="4" customForma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</row>
    <row r="313" spans="1:65" s="4" customForma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65" s="4" customFormat="1"/>
  </sheetData>
  <sortState ref="B19:AH271">
    <sortCondition ref="B19:B271"/>
  </sortState>
  <phoneticPr fontId="2" type="noConversion"/>
  <printOptions horizontalCentered="1"/>
  <pageMargins left="0.75" right="0.75" top="0.5" bottom="0.5" header="0" footer="0.3"/>
  <pageSetup scale="78" firstPageNumber="8" fitToWidth="2" fitToHeight="2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8" min="1" max="33" man="1"/>
    <brk id="165" min="1" max="33" man="1"/>
    <brk id="242" min="1" max="3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310"/>
  <sheetViews>
    <sheetView view="pageBreakPreview" topLeftCell="B1" zoomScaleNormal="100" zoomScaleSheetLayoutView="100" workbookViewId="0">
      <pane xSplit="1" ySplit="17" topLeftCell="C18" activePane="bottomRight" state="frozen"/>
      <selection activeCell="A122" sqref="A122"/>
      <selection pane="topRight" activeCell="A122" sqref="A122"/>
      <selection pane="bottomLeft" activeCell="A122" sqref="A122"/>
      <selection pane="bottomRight" activeCell="C18" sqref="C18"/>
    </sheetView>
  </sheetViews>
  <sheetFormatPr defaultColWidth="9.140625" defaultRowHeight="12"/>
  <cols>
    <col min="1" max="1" width="0" style="3" hidden="1" customWidth="1"/>
    <col min="2" max="2" width="35" style="3" customWidth="1"/>
    <col min="3" max="3" width="1.28515625" style="3" customWidth="1"/>
    <col min="4" max="4" width="10.7109375" style="3" customWidth="1"/>
    <col min="5" max="5" width="1.28515625" style="3" customWidth="1"/>
    <col min="6" max="6" width="10.42578125" style="3" customWidth="1"/>
    <col min="7" max="7" width="1.28515625" style="3" customWidth="1"/>
    <col min="8" max="8" width="10.5703125" style="3" customWidth="1"/>
    <col min="9" max="9" width="1.28515625" style="3" customWidth="1"/>
    <col min="10" max="10" width="11" style="3" customWidth="1"/>
    <col min="11" max="11" width="1.28515625" style="3" customWidth="1"/>
    <col min="12" max="12" width="10.5703125" style="3" customWidth="1"/>
    <col min="13" max="13" width="1.28515625" style="3" customWidth="1"/>
    <col min="14" max="14" width="11.140625" style="3" customWidth="1"/>
    <col min="15" max="15" width="1.28515625" style="3" customWidth="1"/>
    <col min="16" max="16" width="10.5703125" style="3" customWidth="1"/>
    <col min="17" max="17" width="1.28515625" style="3" customWidth="1"/>
    <col min="18" max="18" width="10.5703125" style="3" customWidth="1"/>
    <col min="19" max="19" width="1.28515625" style="3" customWidth="1"/>
    <col min="20" max="20" width="10.5703125" style="3" customWidth="1"/>
    <col min="21" max="21" width="1.28515625" style="3" customWidth="1"/>
    <col min="22" max="22" width="11.42578125" style="3" customWidth="1"/>
    <col min="23" max="23" width="1.28515625" style="3" customWidth="1"/>
    <col min="24" max="24" width="10.5703125" style="3" customWidth="1"/>
    <col min="25" max="25" width="1.28515625" style="3" customWidth="1"/>
    <col min="26" max="26" width="11.28515625" style="3" customWidth="1"/>
    <col min="27" max="27" width="1.28515625" style="3" customWidth="1"/>
    <col min="28" max="28" width="10.85546875" style="3" customWidth="1"/>
    <col min="29" max="29" width="1.28515625" style="3" customWidth="1"/>
    <col min="30" max="30" width="10.5703125" style="3" customWidth="1"/>
    <col min="31" max="31" width="1.28515625" style="3" customWidth="1"/>
    <col min="32" max="32" width="10.7109375" style="3" customWidth="1"/>
    <col min="33" max="16384" width="9.140625" style="3"/>
  </cols>
  <sheetData>
    <row r="1" spans="1:64">
      <c r="B1" s="3" t="s">
        <v>492</v>
      </c>
    </row>
    <row r="2" spans="1:64">
      <c r="B2" s="3" t="s">
        <v>565</v>
      </c>
    </row>
    <row r="3" spans="1:64" hidden="1">
      <c r="B3" s="24" t="s">
        <v>7</v>
      </c>
    </row>
    <row r="4" spans="1:64" s="19" customFormat="1">
      <c r="L4" s="19" t="s">
        <v>8</v>
      </c>
    </row>
    <row r="5" spans="1:64" s="19" customFormat="1">
      <c r="H5" s="19" t="s">
        <v>318</v>
      </c>
      <c r="J5" s="19" t="s">
        <v>320</v>
      </c>
      <c r="L5" s="19" t="s">
        <v>502</v>
      </c>
      <c r="N5" s="19" t="s">
        <v>501</v>
      </c>
      <c r="X5" s="19" t="s">
        <v>327</v>
      </c>
      <c r="AD5" s="19" t="s">
        <v>0</v>
      </c>
    </row>
    <row r="6" spans="1:64" s="19" customFormat="1">
      <c r="H6" s="19" t="s">
        <v>319</v>
      </c>
      <c r="J6" s="19" t="s">
        <v>321</v>
      </c>
      <c r="L6" s="19" t="s">
        <v>322</v>
      </c>
      <c r="N6" s="19" t="s">
        <v>499</v>
      </c>
      <c r="T6" s="19" t="s">
        <v>30</v>
      </c>
      <c r="V6" s="19" t="s">
        <v>325</v>
      </c>
      <c r="X6" s="19" t="s">
        <v>328</v>
      </c>
      <c r="AD6" s="19" t="s">
        <v>293</v>
      </c>
    </row>
    <row r="7" spans="1:64" s="19" customFormat="1" ht="12" customHeight="1">
      <c r="A7" s="19" t="s">
        <v>525</v>
      </c>
      <c r="B7" s="20" t="s">
        <v>8</v>
      </c>
      <c r="D7" s="20" t="s">
        <v>6</v>
      </c>
      <c r="F7" s="20" t="s">
        <v>2</v>
      </c>
      <c r="H7" s="20" t="s">
        <v>3</v>
      </c>
      <c r="J7" s="20" t="s">
        <v>29</v>
      </c>
      <c r="L7" s="20" t="s">
        <v>323</v>
      </c>
      <c r="N7" s="20" t="s">
        <v>500</v>
      </c>
      <c r="P7" s="20" t="s">
        <v>4</v>
      </c>
      <c r="R7" s="20" t="s">
        <v>0</v>
      </c>
      <c r="T7" s="20" t="s">
        <v>324</v>
      </c>
      <c r="V7" s="20" t="s">
        <v>326</v>
      </c>
      <c r="X7" s="20" t="s">
        <v>329</v>
      </c>
      <c r="Z7" s="20" t="s">
        <v>476</v>
      </c>
      <c r="AB7" s="20" t="s">
        <v>477</v>
      </c>
      <c r="AD7" s="20" t="s">
        <v>330</v>
      </c>
      <c r="AF7" s="29" t="s">
        <v>28</v>
      </c>
    </row>
    <row r="8" spans="1:64" s="5" customFormat="1" hidden="1">
      <c r="A8" s="4">
        <v>75</v>
      </c>
      <c r="B8" s="3" t="s">
        <v>407</v>
      </c>
      <c r="C8" s="3"/>
      <c r="D8" s="3" t="s">
        <v>91</v>
      </c>
      <c r="E8" s="3"/>
      <c r="F8" s="4"/>
      <c r="G8" s="3"/>
      <c r="H8" s="4"/>
      <c r="I8" s="3"/>
      <c r="J8" s="4"/>
      <c r="K8" s="3"/>
      <c r="L8" s="4"/>
      <c r="M8" s="3"/>
      <c r="N8" s="4"/>
      <c r="O8" s="3"/>
      <c r="P8" s="4"/>
      <c r="Q8" s="3"/>
      <c r="R8" s="4"/>
      <c r="S8" s="3"/>
      <c r="T8" s="4"/>
      <c r="U8" s="3"/>
      <c r="V8" s="4"/>
      <c r="W8" s="3"/>
      <c r="X8" s="4"/>
      <c r="Y8" s="3"/>
      <c r="Z8" s="4"/>
      <c r="AA8" s="3"/>
      <c r="AB8" s="4"/>
      <c r="AC8" s="3"/>
      <c r="AD8" s="4"/>
      <c r="AE8" s="3"/>
      <c r="AF8" s="4">
        <f t="shared" ref="AF8:AF38" si="0">SUM(F8:AD8)</f>
        <v>0</v>
      </c>
      <c r="AG8" s="30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1:64" hidden="1">
      <c r="A9" s="4">
        <v>80</v>
      </c>
      <c r="B9" s="3" t="s">
        <v>264</v>
      </c>
      <c r="D9" s="3" t="s">
        <v>91</v>
      </c>
      <c r="F9" s="4"/>
      <c r="H9" s="4"/>
      <c r="J9" s="4"/>
      <c r="L9" s="4"/>
      <c r="N9" s="4"/>
      <c r="P9" s="4"/>
      <c r="R9" s="4"/>
      <c r="T9" s="4"/>
      <c r="V9" s="4"/>
      <c r="X9" s="4"/>
      <c r="Z9" s="4"/>
      <c r="AB9" s="4"/>
      <c r="AD9" s="4"/>
      <c r="AF9" s="4">
        <f t="shared" si="0"/>
        <v>0</v>
      </c>
    </row>
    <row r="10" spans="1:64" hidden="1">
      <c r="A10" s="4">
        <v>117</v>
      </c>
      <c r="B10" s="3" t="s">
        <v>221</v>
      </c>
      <c r="D10" s="3" t="s">
        <v>168</v>
      </c>
      <c r="F10" s="4"/>
      <c r="H10" s="4"/>
      <c r="J10" s="4"/>
      <c r="L10" s="4"/>
      <c r="N10" s="4"/>
      <c r="P10" s="4"/>
      <c r="R10" s="4"/>
      <c r="T10" s="4"/>
      <c r="V10" s="4"/>
      <c r="X10" s="4"/>
      <c r="Z10" s="4"/>
      <c r="AB10" s="4"/>
      <c r="AD10" s="4"/>
      <c r="AF10" s="4">
        <f t="shared" si="0"/>
        <v>0</v>
      </c>
    </row>
    <row r="11" spans="1:64" s="5" customFormat="1" hidden="1">
      <c r="A11" s="4">
        <v>135</v>
      </c>
      <c r="B11" s="3" t="s">
        <v>413</v>
      </c>
      <c r="C11" s="3"/>
      <c r="D11" s="3" t="s">
        <v>40</v>
      </c>
      <c r="E11" s="3"/>
      <c r="F11" s="4"/>
      <c r="G11" s="3"/>
      <c r="H11" s="4"/>
      <c r="I11" s="3"/>
      <c r="J11" s="4"/>
      <c r="K11" s="3"/>
      <c r="L11" s="4"/>
      <c r="M11" s="3"/>
      <c r="N11" s="4"/>
      <c r="O11" s="3"/>
      <c r="P11" s="4"/>
      <c r="Q11" s="3"/>
      <c r="R11" s="4"/>
      <c r="S11" s="3"/>
      <c r="T11" s="4"/>
      <c r="U11" s="3"/>
      <c r="V11" s="4"/>
      <c r="W11" s="3"/>
      <c r="X11" s="4"/>
      <c r="Y11" s="3"/>
      <c r="Z11" s="4"/>
      <c r="AA11" s="3"/>
      <c r="AB11" s="4"/>
      <c r="AC11" s="3"/>
      <c r="AD11" s="4"/>
      <c r="AE11" s="3"/>
      <c r="AF11" s="4">
        <f t="shared" si="0"/>
        <v>0</v>
      </c>
    </row>
    <row r="12" spans="1:64" hidden="1">
      <c r="A12" s="4">
        <v>152</v>
      </c>
      <c r="B12" s="3" t="s">
        <v>212</v>
      </c>
      <c r="D12" s="3" t="s">
        <v>213</v>
      </c>
      <c r="F12" s="4"/>
      <c r="H12" s="4"/>
      <c r="J12" s="4"/>
      <c r="L12" s="4"/>
      <c r="N12" s="4"/>
      <c r="P12" s="4"/>
      <c r="R12" s="4"/>
      <c r="T12" s="4"/>
      <c r="V12" s="4"/>
      <c r="X12" s="4"/>
      <c r="Z12" s="4"/>
      <c r="AB12" s="4"/>
      <c r="AD12" s="4"/>
      <c r="AF12" s="4">
        <f t="shared" si="0"/>
        <v>0</v>
      </c>
    </row>
    <row r="13" spans="1:64" hidden="1">
      <c r="A13" s="4">
        <v>180</v>
      </c>
      <c r="B13" s="3" t="s">
        <v>251</v>
      </c>
      <c r="D13" s="3" t="s">
        <v>105</v>
      </c>
      <c r="F13" s="4"/>
      <c r="H13" s="4"/>
      <c r="J13" s="4"/>
      <c r="L13" s="4"/>
      <c r="N13" s="4"/>
      <c r="P13" s="4"/>
      <c r="R13" s="4"/>
      <c r="T13" s="4"/>
      <c r="V13" s="4"/>
      <c r="X13" s="4"/>
      <c r="Z13" s="4"/>
      <c r="AB13" s="4"/>
      <c r="AD13" s="4"/>
      <c r="AF13" s="4">
        <f t="shared" si="0"/>
        <v>0</v>
      </c>
      <c r="AG13" s="31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4"/>
    </row>
    <row r="14" spans="1:64" hidden="1">
      <c r="A14" s="4">
        <v>185</v>
      </c>
      <c r="B14" s="3" t="s">
        <v>228</v>
      </c>
      <c r="D14" s="3" t="s">
        <v>227</v>
      </c>
      <c r="F14" s="4"/>
      <c r="H14" s="4"/>
      <c r="J14" s="4"/>
      <c r="L14" s="4"/>
      <c r="N14" s="4"/>
      <c r="P14" s="4"/>
      <c r="R14" s="4"/>
      <c r="T14" s="4"/>
      <c r="V14" s="4"/>
      <c r="X14" s="4"/>
      <c r="Z14" s="4"/>
      <c r="AB14" s="4"/>
      <c r="AD14" s="4"/>
      <c r="AF14" s="4">
        <f t="shared" si="0"/>
        <v>0</v>
      </c>
    </row>
    <row r="15" spans="1:64" hidden="1">
      <c r="A15" s="4">
        <v>189</v>
      </c>
      <c r="B15" s="3" t="s">
        <v>420</v>
      </c>
      <c r="D15" s="3" t="s">
        <v>234</v>
      </c>
      <c r="F15" s="4"/>
      <c r="H15" s="4"/>
      <c r="J15" s="4"/>
      <c r="L15" s="4"/>
      <c r="N15" s="4"/>
      <c r="P15" s="4"/>
      <c r="R15" s="4"/>
      <c r="T15" s="4"/>
      <c r="V15" s="4"/>
      <c r="X15" s="4"/>
      <c r="Z15" s="4"/>
      <c r="AB15" s="4"/>
      <c r="AD15" s="4"/>
      <c r="AF15" s="4">
        <f t="shared" si="0"/>
        <v>0</v>
      </c>
    </row>
    <row r="16" spans="1:64" hidden="1">
      <c r="A16" s="4">
        <v>233</v>
      </c>
      <c r="B16" s="18" t="s">
        <v>427</v>
      </c>
      <c r="C16" s="18"/>
      <c r="D16" s="18" t="s">
        <v>471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4">
        <f t="shared" si="0"/>
        <v>0</v>
      </c>
    </row>
    <row r="17" spans="1:64" hidden="1">
      <c r="A17" s="4">
        <v>234</v>
      </c>
      <c r="B17" s="3" t="s">
        <v>199</v>
      </c>
      <c r="D17" s="3" t="s">
        <v>26</v>
      </c>
      <c r="F17" s="4"/>
      <c r="H17" s="4"/>
      <c r="J17" s="4"/>
      <c r="L17" s="4"/>
      <c r="N17" s="4"/>
      <c r="P17" s="4"/>
      <c r="R17" s="4"/>
      <c r="T17" s="4"/>
      <c r="V17" s="4"/>
      <c r="X17" s="4"/>
      <c r="Z17" s="4"/>
      <c r="AB17" s="4"/>
      <c r="AD17" s="4"/>
      <c r="AF17" s="4">
        <f t="shared" si="0"/>
        <v>0</v>
      </c>
      <c r="AG17" s="31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4"/>
    </row>
    <row r="18" spans="1:64" s="5" customFormat="1">
      <c r="A18" s="5">
        <v>95</v>
      </c>
      <c r="B18" s="5" t="s">
        <v>72</v>
      </c>
      <c r="D18" s="5" t="s">
        <v>60</v>
      </c>
      <c r="F18" s="2">
        <v>156567.21</v>
      </c>
      <c r="G18" s="2"/>
      <c r="H18" s="2">
        <v>47757.279999999999</v>
      </c>
      <c r="I18" s="2"/>
      <c r="J18" s="2">
        <v>39624.06</v>
      </c>
      <c r="K18" s="2"/>
      <c r="L18" s="2">
        <v>23323.57</v>
      </c>
      <c r="M18" s="2"/>
      <c r="N18" s="2">
        <v>0</v>
      </c>
      <c r="O18" s="2"/>
      <c r="P18" s="2">
        <v>6099.31</v>
      </c>
      <c r="Q18" s="2"/>
      <c r="R18" s="2">
        <v>3345</v>
      </c>
      <c r="S18" s="2"/>
      <c r="T18" s="2">
        <v>1628.31</v>
      </c>
      <c r="U18" s="2"/>
      <c r="V18" s="2">
        <v>0</v>
      </c>
      <c r="W18" s="2"/>
      <c r="X18" s="2">
        <v>0</v>
      </c>
      <c r="Y18" s="2"/>
      <c r="Z18" s="2">
        <v>0</v>
      </c>
      <c r="AA18" s="2"/>
      <c r="AB18" s="2">
        <v>0</v>
      </c>
      <c r="AC18" s="2"/>
      <c r="AD18" s="2">
        <v>0</v>
      </c>
      <c r="AF18" s="5">
        <f t="shared" si="0"/>
        <v>278344.74</v>
      </c>
      <c r="AG18" s="30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</row>
    <row r="19" spans="1:64">
      <c r="A19" s="4">
        <v>1</v>
      </c>
      <c r="B19" s="3" t="s">
        <v>73</v>
      </c>
      <c r="D19" s="3" t="s">
        <v>39</v>
      </c>
      <c r="F19" s="1">
        <v>520585.69</v>
      </c>
      <c r="G19" s="49"/>
      <c r="H19" s="1">
        <v>134859.53</v>
      </c>
      <c r="I19" s="1"/>
      <c r="J19" s="1">
        <v>96467.06</v>
      </c>
      <c r="K19" s="1"/>
      <c r="L19" s="1">
        <v>126458.82</v>
      </c>
      <c r="M19" s="1"/>
      <c r="N19" s="1">
        <v>0</v>
      </c>
      <c r="O19" s="1"/>
      <c r="P19" s="1">
        <v>13897.34</v>
      </c>
      <c r="Q19" s="1"/>
      <c r="R19" s="1">
        <v>3013.83</v>
      </c>
      <c r="S19" s="1"/>
      <c r="T19" s="1">
        <v>3404.03</v>
      </c>
      <c r="U19" s="1"/>
      <c r="V19" s="1">
        <v>0</v>
      </c>
      <c r="W19" s="1"/>
      <c r="X19" s="1">
        <v>0</v>
      </c>
      <c r="Y19" s="1"/>
      <c r="Z19" s="1">
        <v>27950</v>
      </c>
      <c r="AA19" s="1"/>
      <c r="AB19" s="1">
        <v>0</v>
      </c>
      <c r="AC19" s="1"/>
      <c r="AD19" s="1">
        <v>0</v>
      </c>
      <c r="AE19" s="4"/>
      <c r="AF19" s="4">
        <f>SUM(F19:AD19)</f>
        <v>926636.3</v>
      </c>
    </row>
    <row r="20" spans="1:64">
      <c r="A20" s="4">
        <v>216</v>
      </c>
      <c r="B20" s="25" t="s">
        <v>405</v>
      </c>
      <c r="C20" s="25"/>
      <c r="D20" s="25" t="s">
        <v>22</v>
      </c>
      <c r="E20" s="25"/>
      <c r="F20" s="4">
        <v>12688714</v>
      </c>
      <c r="G20" s="13"/>
      <c r="H20" s="4">
        <v>4736762</v>
      </c>
      <c r="I20" s="13"/>
      <c r="J20" s="4">
        <v>2893451</v>
      </c>
      <c r="K20" s="13"/>
      <c r="L20" s="4">
        <v>962814</v>
      </c>
      <c r="M20" s="13"/>
      <c r="N20" s="4">
        <v>5159385</v>
      </c>
      <c r="O20" s="13"/>
      <c r="P20" s="4">
        <v>0</v>
      </c>
      <c r="Q20" s="13"/>
      <c r="R20" s="4">
        <v>0</v>
      </c>
      <c r="S20" s="13"/>
      <c r="T20" s="4">
        <v>225646</v>
      </c>
      <c r="U20" s="13"/>
      <c r="V20" s="4">
        <v>0</v>
      </c>
      <c r="W20" s="13"/>
      <c r="X20" s="4">
        <v>0</v>
      </c>
      <c r="Y20" s="13"/>
      <c r="Z20" s="4">
        <v>0</v>
      </c>
      <c r="AA20" s="13"/>
      <c r="AB20" s="4">
        <v>0</v>
      </c>
      <c r="AC20" s="13"/>
      <c r="AD20" s="4">
        <v>0</v>
      </c>
      <c r="AE20" s="13"/>
      <c r="AF20" s="4">
        <f>SUM(F20:AD20)</f>
        <v>26666772</v>
      </c>
      <c r="AG20" s="31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4"/>
    </row>
    <row r="21" spans="1:64">
      <c r="A21" s="4">
        <v>131</v>
      </c>
      <c r="B21" s="18" t="s">
        <v>481</v>
      </c>
      <c r="C21" s="18"/>
      <c r="D21" s="18" t="s">
        <v>458</v>
      </c>
      <c r="E21" s="18"/>
      <c r="F21" s="1">
        <v>168239.49</v>
      </c>
      <c r="G21" s="49"/>
      <c r="H21" s="1">
        <v>26628.12</v>
      </c>
      <c r="I21" s="1"/>
      <c r="J21" s="1">
        <v>49002.85</v>
      </c>
      <c r="K21" s="1"/>
      <c r="L21" s="1">
        <v>62434.63</v>
      </c>
      <c r="M21" s="1"/>
      <c r="N21" s="1">
        <v>0</v>
      </c>
      <c r="O21" s="1"/>
      <c r="P21" s="1">
        <v>6163.94</v>
      </c>
      <c r="Q21" s="1"/>
      <c r="R21" s="1">
        <v>3379.11</v>
      </c>
      <c r="S21" s="1"/>
      <c r="T21" s="1">
        <v>7194.33</v>
      </c>
      <c r="U21" s="1"/>
      <c r="V21" s="1">
        <v>0</v>
      </c>
      <c r="W21" s="1"/>
      <c r="X21" s="1">
        <v>0</v>
      </c>
      <c r="Y21" s="1"/>
      <c r="Z21" s="1">
        <v>0</v>
      </c>
      <c r="AA21" s="1"/>
      <c r="AB21" s="1">
        <v>0</v>
      </c>
      <c r="AC21" s="1"/>
      <c r="AD21" s="1">
        <v>0</v>
      </c>
      <c r="AE21" s="18"/>
      <c r="AF21" s="4">
        <f t="shared" si="0"/>
        <v>323042.46999999997</v>
      </c>
    </row>
    <row r="22" spans="1:64">
      <c r="A22" s="4">
        <v>96</v>
      </c>
      <c r="B22" s="3" t="s">
        <v>74</v>
      </c>
      <c r="D22" s="3" t="s">
        <v>60</v>
      </c>
      <c r="F22" s="1">
        <v>32806.75</v>
      </c>
      <c r="G22" s="49"/>
      <c r="H22" s="1">
        <v>5186.7700000000004</v>
      </c>
      <c r="I22" s="1"/>
      <c r="J22" s="1">
        <v>12476.26</v>
      </c>
      <c r="K22" s="1"/>
      <c r="L22" s="1">
        <v>8604.35</v>
      </c>
      <c r="M22" s="1"/>
      <c r="N22" s="1">
        <v>0</v>
      </c>
      <c r="O22" s="1"/>
      <c r="P22" s="1">
        <v>1630.24</v>
      </c>
      <c r="Q22" s="1"/>
      <c r="R22" s="1">
        <v>1259.82</v>
      </c>
      <c r="S22" s="1"/>
      <c r="T22" s="1">
        <v>97.28</v>
      </c>
      <c r="U22" s="1"/>
      <c r="V22" s="1">
        <v>0</v>
      </c>
      <c r="W22" s="1"/>
      <c r="X22" s="1">
        <v>0</v>
      </c>
      <c r="Y22" s="1"/>
      <c r="Z22" s="1">
        <v>0</v>
      </c>
      <c r="AA22" s="1"/>
      <c r="AB22" s="1">
        <v>0</v>
      </c>
      <c r="AC22" s="1"/>
      <c r="AD22" s="1">
        <v>150.52000000000001</v>
      </c>
      <c r="AE22" s="4"/>
      <c r="AF22" s="4">
        <f t="shared" si="0"/>
        <v>62211.99</v>
      </c>
      <c r="AG22" s="31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4"/>
    </row>
    <row r="23" spans="1:64">
      <c r="A23" s="4">
        <v>140</v>
      </c>
      <c r="B23" s="3" t="s">
        <v>75</v>
      </c>
      <c r="D23" s="3" t="s">
        <v>56</v>
      </c>
      <c r="F23" s="1">
        <v>529651.56999999995</v>
      </c>
      <c r="G23" s="49"/>
      <c r="H23" s="1">
        <v>126660.84</v>
      </c>
      <c r="I23" s="1"/>
      <c r="J23" s="1">
        <v>153373.73000000001</v>
      </c>
      <c r="K23" s="1"/>
      <c r="L23" s="1">
        <v>198333.24</v>
      </c>
      <c r="M23" s="1"/>
      <c r="N23" s="1">
        <v>0</v>
      </c>
      <c r="O23" s="1"/>
      <c r="P23" s="1">
        <v>34233.75</v>
      </c>
      <c r="Q23" s="1"/>
      <c r="R23" s="1">
        <v>10493.01</v>
      </c>
      <c r="S23" s="1"/>
      <c r="T23" s="1">
        <v>17484.36</v>
      </c>
      <c r="U23" s="1"/>
      <c r="V23" s="1">
        <v>0</v>
      </c>
      <c r="W23" s="1"/>
      <c r="X23" s="1">
        <v>0</v>
      </c>
      <c r="Y23" s="1"/>
      <c r="Z23" s="1">
        <v>0</v>
      </c>
      <c r="AA23" s="1"/>
      <c r="AB23" s="1">
        <v>0</v>
      </c>
      <c r="AC23" s="1"/>
      <c r="AD23" s="1">
        <v>0</v>
      </c>
      <c r="AE23" s="4"/>
      <c r="AF23" s="4">
        <f t="shared" si="0"/>
        <v>1070230.5</v>
      </c>
    </row>
    <row r="24" spans="1:64">
      <c r="A24" s="4">
        <v>208</v>
      </c>
      <c r="B24" s="3" t="s">
        <v>76</v>
      </c>
      <c r="D24" s="3" t="s">
        <v>77</v>
      </c>
      <c r="F24" s="4">
        <v>778106</v>
      </c>
      <c r="G24" s="4"/>
      <c r="H24" s="4">
        <v>236249</v>
      </c>
      <c r="I24" s="4"/>
      <c r="J24" s="4">
        <v>259126</v>
      </c>
      <c r="K24" s="4"/>
      <c r="L24" s="4">
        <v>206497</v>
      </c>
      <c r="M24" s="4"/>
      <c r="N24" s="4">
        <v>0</v>
      </c>
      <c r="O24" s="4"/>
      <c r="P24" s="4">
        <v>36432</v>
      </c>
      <c r="Q24" s="4"/>
      <c r="R24" s="4">
        <v>23704</v>
      </c>
      <c r="S24" s="4"/>
      <c r="T24" s="4">
        <v>0</v>
      </c>
      <c r="U24" s="4"/>
      <c r="V24" s="4">
        <v>0</v>
      </c>
      <c r="W24" s="4"/>
      <c r="X24" s="4">
        <v>0</v>
      </c>
      <c r="Y24" s="4"/>
      <c r="Z24" s="4">
        <v>0</v>
      </c>
      <c r="AA24" s="4"/>
      <c r="AB24" s="4">
        <v>0</v>
      </c>
      <c r="AC24" s="4"/>
      <c r="AD24" s="4">
        <v>0</v>
      </c>
      <c r="AE24" s="4"/>
      <c r="AF24" s="4">
        <f t="shared" si="0"/>
        <v>1540114</v>
      </c>
      <c r="AG24" s="31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4"/>
    </row>
    <row r="25" spans="1:64">
      <c r="A25" s="4">
        <v>8</v>
      </c>
      <c r="B25" s="3" t="s">
        <v>78</v>
      </c>
      <c r="D25" s="3" t="s">
        <v>42</v>
      </c>
      <c r="F25" s="1">
        <v>142732.22</v>
      </c>
      <c r="G25" s="49"/>
      <c r="H25" s="1">
        <v>55909.25</v>
      </c>
      <c r="I25" s="1"/>
      <c r="J25" s="1">
        <v>60790.11</v>
      </c>
      <c r="K25" s="1"/>
      <c r="L25" s="1">
        <v>24624.74</v>
      </c>
      <c r="M25" s="1"/>
      <c r="N25" s="1">
        <v>0</v>
      </c>
      <c r="O25" s="1"/>
      <c r="P25" s="1">
        <v>10428.280000000001</v>
      </c>
      <c r="Q25" s="1"/>
      <c r="R25" s="1">
        <v>887</v>
      </c>
      <c r="S25" s="1"/>
      <c r="T25" s="1">
        <v>0</v>
      </c>
      <c r="U25" s="1"/>
      <c r="V25" s="1">
        <v>0</v>
      </c>
      <c r="W25" s="1"/>
      <c r="X25" s="1">
        <v>0</v>
      </c>
      <c r="Y25" s="1"/>
      <c r="Z25" s="1">
        <v>77347.44</v>
      </c>
      <c r="AA25" s="1"/>
      <c r="AB25" s="1">
        <v>0</v>
      </c>
      <c r="AC25" s="1"/>
      <c r="AD25" s="1">
        <v>0</v>
      </c>
      <c r="AE25" s="4"/>
      <c r="AF25" s="4">
        <f t="shared" si="0"/>
        <v>372719.04000000004</v>
      </c>
      <c r="AG25" s="31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4"/>
    </row>
    <row r="26" spans="1:64">
      <c r="A26" s="4">
        <v>58</v>
      </c>
      <c r="B26" s="3" t="s">
        <v>79</v>
      </c>
      <c r="D26" s="3" t="s">
        <v>80</v>
      </c>
      <c r="F26" s="1">
        <v>158505.95000000001</v>
      </c>
      <c r="G26" s="49"/>
      <c r="H26" s="1">
        <v>24730.36</v>
      </c>
      <c r="I26" s="1"/>
      <c r="J26" s="1">
        <v>38521.279999999999</v>
      </c>
      <c r="K26" s="1"/>
      <c r="L26" s="1">
        <v>50093.17</v>
      </c>
      <c r="M26" s="1"/>
      <c r="N26" s="1">
        <v>0</v>
      </c>
      <c r="O26" s="1"/>
      <c r="P26" s="1">
        <v>9630.1</v>
      </c>
      <c r="Q26" s="1"/>
      <c r="R26" s="1">
        <v>1129</v>
      </c>
      <c r="S26" s="1"/>
      <c r="T26" s="1">
        <v>6492.5</v>
      </c>
      <c r="U26" s="1"/>
      <c r="V26" s="1">
        <v>0</v>
      </c>
      <c r="W26" s="1"/>
      <c r="X26" s="1">
        <v>0</v>
      </c>
      <c r="Y26" s="1"/>
      <c r="Z26" s="1">
        <v>0</v>
      </c>
      <c r="AA26" s="1"/>
      <c r="AB26" s="1">
        <v>0</v>
      </c>
      <c r="AC26" s="1"/>
      <c r="AD26" s="1">
        <v>0</v>
      </c>
      <c r="AE26" s="4"/>
      <c r="AF26" s="4">
        <f t="shared" si="0"/>
        <v>289102.36</v>
      </c>
    </row>
    <row r="27" spans="1:64">
      <c r="A27" s="4">
        <v>82</v>
      </c>
      <c r="B27" s="3" t="s">
        <v>295</v>
      </c>
      <c r="D27" s="3" t="s">
        <v>41</v>
      </c>
      <c r="F27" s="1">
        <v>190952.46</v>
      </c>
      <c r="G27" s="49"/>
      <c r="H27" s="1">
        <v>66977.83</v>
      </c>
      <c r="I27" s="1"/>
      <c r="J27" s="1">
        <v>64360.18</v>
      </c>
      <c r="K27" s="1"/>
      <c r="L27" s="1">
        <v>36438.81</v>
      </c>
      <c r="M27" s="1"/>
      <c r="N27" s="1">
        <v>0</v>
      </c>
      <c r="O27" s="1"/>
      <c r="P27" s="1">
        <v>6466.16</v>
      </c>
      <c r="Q27" s="1"/>
      <c r="R27" s="1">
        <v>907</v>
      </c>
      <c r="S27" s="1"/>
      <c r="T27" s="1">
        <v>38.94</v>
      </c>
      <c r="U27" s="1"/>
      <c r="V27" s="1">
        <v>0</v>
      </c>
      <c r="W27" s="1"/>
      <c r="X27" s="1">
        <v>0</v>
      </c>
      <c r="Y27" s="1"/>
      <c r="Z27" s="1">
        <v>0</v>
      </c>
      <c r="AA27" s="1"/>
      <c r="AB27" s="1">
        <v>0</v>
      </c>
      <c r="AC27" s="1"/>
      <c r="AD27" s="1">
        <v>14.85</v>
      </c>
      <c r="AE27" s="4"/>
      <c r="AF27" s="4">
        <f t="shared" si="0"/>
        <v>366156.22999999992</v>
      </c>
    </row>
    <row r="28" spans="1:64">
      <c r="A28" s="4">
        <v>6</v>
      </c>
      <c r="B28" s="3" t="s">
        <v>81</v>
      </c>
      <c r="D28" s="3" t="s">
        <v>82</v>
      </c>
      <c r="F28" s="4">
        <f>243630+17462+64345+245893+15031+2840+11362+94463</f>
        <v>695026</v>
      </c>
      <c r="G28" s="4"/>
      <c r="H28" s="4">
        <v>180706</v>
      </c>
      <c r="I28" s="4"/>
      <c r="J28" s="4">
        <v>111543</v>
      </c>
      <c r="K28" s="4"/>
      <c r="L28" s="4">
        <v>42051</v>
      </c>
      <c r="M28" s="4"/>
      <c r="N28" s="4">
        <v>80894</v>
      </c>
      <c r="O28" s="4"/>
      <c r="P28" s="4">
        <v>0</v>
      </c>
      <c r="Q28" s="4"/>
      <c r="R28" s="4">
        <v>132565</v>
      </c>
      <c r="S28" s="4"/>
      <c r="T28" s="4">
        <v>0</v>
      </c>
      <c r="U28" s="4"/>
      <c r="V28" s="4">
        <v>0</v>
      </c>
      <c r="W28" s="4"/>
      <c r="X28" s="4">
        <v>0</v>
      </c>
      <c r="Y28" s="4"/>
      <c r="Z28" s="4">
        <v>0</v>
      </c>
      <c r="AA28" s="4"/>
      <c r="AB28" s="4">
        <v>0</v>
      </c>
      <c r="AC28" s="4"/>
      <c r="AD28" s="4">
        <v>0</v>
      </c>
      <c r="AE28" s="4"/>
      <c r="AF28" s="4">
        <f t="shared" si="0"/>
        <v>1242785</v>
      </c>
    </row>
    <row r="29" spans="1:64">
      <c r="A29" s="4">
        <v>9</v>
      </c>
      <c r="B29" s="18" t="s">
        <v>332</v>
      </c>
      <c r="C29" s="18"/>
      <c r="D29" s="18" t="s">
        <v>441</v>
      </c>
      <c r="E29" s="18"/>
      <c r="F29" s="1">
        <v>735977.04</v>
      </c>
      <c r="G29" s="49"/>
      <c r="H29" s="1">
        <v>286031.65000000002</v>
      </c>
      <c r="I29" s="1"/>
      <c r="J29" s="1">
        <v>164952.18</v>
      </c>
      <c r="K29" s="1"/>
      <c r="L29" s="1">
        <v>119206.39</v>
      </c>
      <c r="M29" s="1"/>
      <c r="N29" s="1">
        <v>0</v>
      </c>
      <c r="O29" s="1"/>
      <c r="P29" s="1">
        <v>33409.61</v>
      </c>
      <c r="Q29" s="1"/>
      <c r="R29" s="1">
        <v>12461.62</v>
      </c>
      <c r="S29" s="1"/>
      <c r="T29" s="1">
        <v>6863.82</v>
      </c>
      <c r="U29" s="1"/>
      <c r="V29" s="1">
        <v>0</v>
      </c>
      <c r="W29" s="1"/>
      <c r="X29" s="1">
        <v>0</v>
      </c>
      <c r="Y29" s="1"/>
      <c r="Z29" s="1">
        <v>16290</v>
      </c>
      <c r="AA29" s="1"/>
      <c r="AB29" s="1">
        <v>0</v>
      </c>
      <c r="AC29" s="1"/>
      <c r="AD29" s="1">
        <v>0</v>
      </c>
      <c r="AE29" s="18"/>
      <c r="AF29" s="4">
        <f t="shared" si="0"/>
        <v>1375192.3100000003</v>
      </c>
      <c r="AG29" s="4"/>
    </row>
    <row r="30" spans="1:64">
      <c r="A30" s="4">
        <v>17</v>
      </c>
      <c r="B30" s="18" t="s">
        <v>540</v>
      </c>
      <c r="C30" s="18"/>
      <c r="D30" s="18" t="s">
        <v>443</v>
      </c>
      <c r="E30" s="18"/>
      <c r="F30" s="1">
        <v>534509.31999999995</v>
      </c>
      <c r="G30" s="49"/>
      <c r="H30" s="1">
        <v>135115.6</v>
      </c>
      <c r="I30" s="1"/>
      <c r="J30" s="1">
        <v>181334.57</v>
      </c>
      <c r="K30" s="1"/>
      <c r="L30" s="1">
        <v>137866.81</v>
      </c>
      <c r="M30" s="1"/>
      <c r="N30" s="1">
        <v>0</v>
      </c>
      <c r="O30" s="1"/>
      <c r="P30" s="1">
        <v>21779.42</v>
      </c>
      <c r="Q30" s="1"/>
      <c r="R30" s="1">
        <v>6767.18</v>
      </c>
      <c r="S30" s="1"/>
      <c r="T30" s="1">
        <v>4337.17</v>
      </c>
      <c r="U30" s="1"/>
      <c r="V30" s="1">
        <v>0</v>
      </c>
      <c r="W30" s="1"/>
      <c r="X30" s="1">
        <v>0</v>
      </c>
      <c r="Y30" s="1"/>
      <c r="Z30" s="1">
        <v>0</v>
      </c>
      <c r="AA30" s="1"/>
      <c r="AB30" s="1">
        <v>0</v>
      </c>
      <c r="AC30" s="1"/>
      <c r="AD30" s="1">
        <v>0</v>
      </c>
      <c r="AE30" s="18"/>
      <c r="AF30" s="4">
        <f t="shared" si="0"/>
        <v>1021710.0700000002</v>
      </c>
    </row>
    <row r="31" spans="1:64">
      <c r="A31" s="4">
        <v>141</v>
      </c>
      <c r="B31" s="3" t="s">
        <v>83</v>
      </c>
      <c r="D31" s="3" t="s">
        <v>56</v>
      </c>
      <c r="F31" s="4">
        <v>2215074</v>
      </c>
      <c r="G31" s="4"/>
      <c r="H31" s="4">
        <v>0</v>
      </c>
      <c r="I31" s="4"/>
      <c r="J31" s="4">
        <v>0</v>
      </c>
      <c r="K31" s="4"/>
      <c r="L31" s="4">
        <v>0</v>
      </c>
      <c r="M31" s="4"/>
      <c r="N31" s="4">
        <v>0</v>
      </c>
      <c r="O31" s="4"/>
      <c r="P31" s="4">
        <v>0</v>
      </c>
      <c r="Q31" s="4"/>
      <c r="R31" s="4">
        <v>0</v>
      </c>
      <c r="S31" s="4"/>
      <c r="T31" s="4">
        <v>0</v>
      </c>
      <c r="U31" s="4"/>
      <c r="V31" s="4">
        <v>0</v>
      </c>
      <c r="W31" s="4"/>
      <c r="X31" s="4">
        <v>0</v>
      </c>
      <c r="Y31" s="4"/>
      <c r="Z31" s="4">
        <v>0</v>
      </c>
      <c r="AA31" s="4"/>
      <c r="AB31" s="4">
        <v>0</v>
      </c>
      <c r="AC31" s="4"/>
      <c r="AD31" s="4">
        <v>0</v>
      </c>
      <c r="AE31" s="4"/>
      <c r="AF31" s="4">
        <f t="shared" si="0"/>
        <v>2215074</v>
      </c>
    </row>
    <row r="32" spans="1:64">
      <c r="A32" s="4">
        <v>217</v>
      </c>
      <c r="B32" s="3" t="s">
        <v>351</v>
      </c>
      <c r="D32" s="4" t="s">
        <v>403</v>
      </c>
      <c r="F32" s="1">
        <v>690924.03</v>
      </c>
      <c r="G32" s="49"/>
      <c r="H32" s="1">
        <v>185335.09</v>
      </c>
      <c r="I32" s="1"/>
      <c r="J32" s="1">
        <v>256974.68</v>
      </c>
      <c r="K32" s="1"/>
      <c r="L32" s="1">
        <v>171761.24</v>
      </c>
      <c r="M32" s="1"/>
      <c r="N32" s="1">
        <v>0</v>
      </c>
      <c r="O32" s="1"/>
      <c r="P32" s="1">
        <v>25419.34</v>
      </c>
      <c r="Q32" s="1"/>
      <c r="R32" s="1">
        <v>4287.8</v>
      </c>
      <c r="S32" s="1"/>
      <c r="T32" s="1">
        <v>15104.8</v>
      </c>
      <c r="U32" s="1"/>
      <c r="V32" s="1">
        <v>0</v>
      </c>
      <c r="W32" s="1"/>
      <c r="X32" s="1">
        <v>0</v>
      </c>
      <c r="Y32" s="1"/>
      <c r="Z32" s="1">
        <v>172162.77</v>
      </c>
      <c r="AA32" s="1"/>
      <c r="AB32" s="1">
        <v>0</v>
      </c>
      <c r="AC32" s="1"/>
      <c r="AD32" s="1">
        <v>0</v>
      </c>
      <c r="AE32" s="4"/>
      <c r="AF32" s="4">
        <f t="shared" si="0"/>
        <v>1521969.7500000002</v>
      </c>
    </row>
    <row r="33" spans="1:64">
      <c r="A33" s="4">
        <v>19</v>
      </c>
      <c r="B33" s="3" t="s">
        <v>21</v>
      </c>
      <c r="D33" s="3" t="s">
        <v>13</v>
      </c>
      <c r="F33" s="4">
        <v>311574</v>
      </c>
      <c r="G33" s="4"/>
      <c r="H33" s="4">
        <v>0</v>
      </c>
      <c r="I33" s="4"/>
      <c r="J33" s="4">
        <v>68302</v>
      </c>
      <c r="K33" s="4"/>
      <c r="L33" s="4">
        <v>35617</v>
      </c>
      <c r="M33" s="4"/>
      <c r="N33" s="4">
        <v>0</v>
      </c>
      <c r="O33" s="4"/>
      <c r="P33" s="4">
        <v>0</v>
      </c>
      <c r="Q33" s="4"/>
      <c r="R33" s="4">
        <v>1847</v>
      </c>
      <c r="S33" s="4"/>
      <c r="T33" s="4">
        <v>737</v>
      </c>
      <c r="U33" s="4"/>
      <c r="V33" s="4">
        <v>0</v>
      </c>
      <c r="W33" s="4"/>
      <c r="X33" s="4">
        <v>0</v>
      </c>
      <c r="Y33" s="4"/>
      <c r="Z33" s="4">
        <v>0</v>
      </c>
      <c r="AA33" s="4"/>
      <c r="AB33" s="4">
        <v>0</v>
      </c>
      <c r="AC33" s="4"/>
      <c r="AD33" s="4">
        <v>0</v>
      </c>
      <c r="AE33" s="4"/>
      <c r="AF33" s="4">
        <f t="shared" si="0"/>
        <v>418077</v>
      </c>
    </row>
    <row r="34" spans="1:64">
      <c r="A34" s="4">
        <v>20</v>
      </c>
      <c r="B34" s="18" t="s">
        <v>84</v>
      </c>
      <c r="C34" s="18"/>
      <c r="D34" s="18" t="s">
        <v>444</v>
      </c>
      <c r="E34" s="18"/>
      <c r="F34" s="1">
        <v>252996.78</v>
      </c>
      <c r="G34" s="49"/>
      <c r="H34" s="1">
        <v>85963.7</v>
      </c>
      <c r="I34" s="1"/>
      <c r="J34" s="1">
        <v>55865.34</v>
      </c>
      <c r="K34" s="1"/>
      <c r="L34" s="1">
        <v>73254.27</v>
      </c>
      <c r="M34" s="1"/>
      <c r="N34" s="1">
        <v>0</v>
      </c>
      <c r="O34" s="1"/>
      <c r="P34" s="1">
        <v>22260.03</v>
      </c>
      <c r="Q34" s="1"/>
      <c r="R34" s="1">
        <v>9083</v>
      </c>
      <c r="S34" s="1"/>
      <c r="T34" s="1">
        <v>2961.46</v>
      </c>
      <c r="U34" s="1"/>
      <c r="V34" s="1">
        <v>0</v>
      </c>
      <c r="W34" s="1"/>
      <c r="X34" s="1">
        <v>0</v>
      </c>
      <c r="Y34" s="1"/>
      <c r="Z34" s="1">
        <v>0</v>
      </c>
      <c r="AA34" s="1"/>
      <c r="AB34" s="1">
        <v>0</v>
      </c>
      <c r="AC34" s="1"/>
      <c r="AD34" s="1">
        <v>0</v>
      </c>
      <c r="AE34" s="18"/>
      <c r="AF34" s="4">
        <f t="shared" si="0"/>
        <v>502384.58</v>
      </c>
    </row>
    <row r="35" spans="1:64">
      <c r="A35" s="4">
        <v>137</v>
      </c>
      <c r="B35" s="3" t="s">
        <v>85</v>
      </c>
      <c r="D35" s="3" t="s">
        <v>86</v>
      </c>
      <c r="F35" s="4">
        <v>30480</v>
      </c>
      <c r="G35" s="4"/>
      <c r="H35" s="4">
        <v>8148</v>
      </c>
      <c r="I35" s="4"/>
      <c r="J35" s="4">
        <v>14866</v>
      </c>
      <c r="K35" s="4"/>
      <c r="L35" s="4">
        <v>15940</v>
      </c>
      <c r="M35" s="4"/>
      <c r="N35" s="4">
        <v>0</v>
      </c>
      <c r="O35" s="4"/>
      <c r="P35" s="4">
        <v>5680</v>
      </c>
      <c r="Q35" s="4"/>
      <c r="R35" s="4">
        <v>284</v>
      </c>
      <c r="S35" s="4"/>
      <c r="T35" s="4">
        <v>474</v>
      </c>
      <c r="U35" s="4"/>
      <c r="V35" s="4">
        <v>0</v>
      </c>
      <c r="W35" s="4"/>
      <c r="X35" s="4">
        <v>0</v>
      </c>
      <c r="Y35" s="4"/>
      <c r="Z35" s="4">
        <v>0</v>
      </c>
      <c r="AA35" s="4"/>
      <c r="AB35" s="4">
        <v>0</v>
      </c>
      <c r="AC35" s="4"/>
      <c r="AD35" s="4">
        <v>0</v>
      </c>
      <c r="AE35" s="4"/>
      <c r="AF35" s="4">
        <f t="shared" si="0"/>
        <v>75872</v>
      </c>
      <c r="AG35" s="31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4"/>
    </row>
    <row r="36" spans="1:64">
      <c r="A36" s="4">
        <v>110</v>
      </c>
      <c r="B36" s="3" t="s">
        <v>87</v>
      </c>
      <c r="D36" s="3" t="s">
        <v>88</v>
      </c>
      <c r="F36" s="4">
        <v>749329</v>
      </c>
      <c r="G36" s="4"/>
      <c r="H36" s="4">
        <v>19417</v>
      </c>
      <c r="I36" s="4"/>
      <c r="J36" s="4">
        <v>108221</v>
      </c>
      <c r="K36" s="4"/>
      <c r="L36" s="4">
        <v>0</v>
      </c>
      <c r="M36" s="4"/>
      <c r="N36" s="4">
        <v>34995</v>
      </c>
      <c r="O36" s="4"/>
      <c r="P36" s="4">
        <v>0</v>
      </c>
      <c r="Q36" s="4"/>
      <c r="R36" s="4">
        <v>0</v>
      </c>
      <c r="S36" s="4"/>
      <c r="T36" s="4">
        <v>4752</v>
      </c>
      <c r="U36" s="4"/>
      <c r="V36" s="4">
        <v>0</v>
      </c>
      <c r="W36" s="4"/>
      <c r="X36" s="4">
        <v>0</v>
      </c>
      <c r="Y36" s="4"/>
      <c r="Z36" s="4">
        <v>0</v>
      </c>
      <c r="AA36" s="4"/>
      <c r="AB36" s="4">
        <v>0</v>
      </c>
      <c r="AC36" s="4"/>
      <c r="AD36" s="4">
        <v>0</v>
      </c>
      <c r="AE36" s="4"/>
      <c r="AF36" s="4">
        <f t="shared" si="0"/>
        <v>916714</v>
      </c>
    </row>
    <row r="37" spans="1:64">
      <c r="A37" s="4">
        <v>203</v>
      </c>
      <c r="B37" s="3" t="s">
        <v>89</v>
      </c>
      <c r="D37" s="3" t="s">
        <v>44</v>
      </c>
      <c r="F37" s="4">
        <v>64958</v>
      </c>
      <c r="G37" s="4"/>
      <c r="H37" s="4">
        <v>9094</v>
      </c>
      <c r="I37" s="4"/>
      <c r="J37" s="4">
        <v>11920</v>
      </c>
      <c r="K37" s="4"/>
      <c r="L37" s="4">
        <v>28181</v>
      </c>
      <c r="M37" s="4"/>
      <c r="N37" s="4">
        <v>0</v>
      </c>
      <c r="O37" s="4"/>
      <c r="P37" s="4">
        <v>4133</v>
      </c>
      <c r="Q37" s="4"/>
      <c r="R37" s="4">
        <v>1994</v>
      </c>
      <c r="S37" s="4"/>
      <c r="T37" s="4">
        <v>2427</v>
      </c>
      <c r="U37" s="4"/>
      <c r="V37" s="4">
        <v>0</v>
      </c>
      <c r="W37" s="4"/>
      <c r="X37" s="4">
        <v>0</v>
      </c>
      <c r="Y37" s="4"/>
      <c r="Z37" s="4">
        <v>6522</v>
      </c>
      <c r="AA37" s="4"/>
      <c r="AB37" s="4">
        <v>0</v>
      </c>
      <c r="AC37" s="4"/>
      <c r="AD37" s="4">
        <v>0</v>
      </c>
      <c r="AE37" s="4"/>
      <c r="AF37" s="4">
        <f t="shared" si="0"/>
        <v>129229</v>
      </c>
    </row>
    <row r="38" spans="1:64">
      <c r="A38" s="4">
        <v>74</v>
      </c>
      <c r="B38" s="3" t="s">
        <v>296</v>
      </c>
      <c r="D38" s="3" t="s">
        <v>91</v>
      </c>
      <c r="F38" s="4">
        <v>1053024</v>
      </c>
      <c r="G38" s="4"/>
      <c r="H38" s="4">
        <v>352465</v>
      </c>
      <c r="I38" s="4"/>
      <c r="J38" s="4">
        <v>217433</v>
      </c>
      <c r="K38" s="4"/>
      <c r="L38" s="4">
        <v>134117</v>
      </c>
      <c r="M38" s="4"/>
      <c r="N38" s="4">
        <v>0</v>
      </c>
      <c r="O38" s="4"/>
      <c r="P38" s="4">
        <v>22236</v>
      </c>
      <c r="Q38" s="4"/>
      <c r="R38" s="4">
        <v>5280</v>
      </c>
      <c r="S38" s="4"/>
      <c r="T38" s="4">
        <v>0</v>
      </c>
      <c r="U38" s="4"/>
      <c r="V38" s="4">
        <v>0</v>
      </c>
      <c r="W38" s="4"/>
      <c r="X38" s="4">
        <v>0</v>
      </c>
      <c r="Y38" s="4"/>
      <c r="Z38" s="4">
        <v>0</v>
      </c>
      <c r="AA38" s="4"/>
      <c r="AB38" s="4">
        <v>0</v>
      </c>
      <c r="AC38" s="4"/>
      <c r="AD38" s="4">
        <v>0</v>
      </c>
      <c r="AE38" s="4"/>
      <c r="AF38" s="4">
        <f t="shared" si="0"/>
        <v>1784555</v>
      </c>
    </row>
    <row r="39" spans="1:64">
      <c r="A39" s="4">
        <v>200</v>
      </c>
      <c r="B39" s="3" t="s">
        <v>92</v>
      </c>
      <c r="D39" s="3" t="s">
        <v>93</v>
      </c>
      <c r="F39" s="4">
        <v>1171763</v>
      </c>
      <c r="G39" s="4"/>
      <c r="H39" s="4">
        <v>312739</v>
      </c>
      <c r="I39" s="4"/>
      <c r="J39" s="4">
        <v>187918</v>
      </c>
      <c r="K39" s="4"/>
      <c r="L39" s="4">
        <v>167421</v>
      </c>
      <c r="M39" s="4"/>
      <c r="N39" s="4">
        <v>0</v>
      </c>
      <c r="O39" s="4"/>
      <c r="P39" s="4">
        <v>36808</v>
      </c>
      <c r="Q39" s="4"/>
      <c r="R39" s="4">
        <v>6416</v>
      </c>
      <c r="S39" s="4"/>
      <c r="T39" s="4">
        <v>16645</v>
      </c>
      <c r="U39" s="4"/>
      <c r="V39" s="4">
        <v>0</v>
      </c>
      <c r="W39" s="4"/>
      <c r="X39" s="4">
        <v>0</v>
      </c>
      <c r="Y39" s="4"/>
      <c r="Z39" s="4">
        <v>0</v>
      </c>
      <c r="AA39" s="4"/>
      <c r="AB39" s="4">
        <v>0</v>
      </c>
      <c r="AC39" s="4"/>
      <c r="AD39" s="4">
        <v>0</v>
      </c>
      <c r="AE39" s="4"/>
      <c r="AF39" s="4">
        <f t="shared" ref="AF39:AF71" si="1">SUM(F39:AD39)</f>
        <v>1899710</v>
      </c>
      <c r="AG39" s="31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4"/>
    </row>
    <row r="40" spans="1:64">
      <c r="A40" s="4">
        <v>35</v>
      </c>
      <c r="B40" s="3" t="s">
        <v>94</v>
      </c>
      <c r="D40" s="3" t="s">
        <v>68</v>
      </c>
      <c r="F40" s="4">
        <f>152000+150125</f>
        <v>302125</v>
      </c>
      <c r="G40" s="4"/>
      <c r="H40" s="4">
        <f>42416+50506+2835+793+189+342</f>
        <v>97081</v>
      </c>
      <c r="I40" s="4"/>
      <c r="J40" s="4">
        <v>98616</v>
      </c>
      <c r="K40" s="4"/>
      <c r="L40" s="4">
        <v>26240</v>
      </c>
      <c r="M40" s="4"/>
      <c r="N40" s="4">
        <v>33335</v>
      </c>
      <c r="O40" s="4"/>
      <c r="P40" s="4">
        <v>8189</v>
      </c>
      <c r="Q40" s="4"/>
      <c r="R40" s="4">
        <v>17289</v>
      </c>
      <c r="S40" s="4"/>
      <c r="T40" s="4">
        <v>4220</v>
      </c>
      <c r="U40" s="4"/>
      <c r="V40" s="4">
        <v>5000</v>
      </c>
      <c r="W40" s="4"/>
      <c r="X40" s="4">
        <v>1500</v>
      </c>
      <c r="Y40" s="4"/>
      <c r="Z40" s="4">
        <v>0</v>
      </c>
      <c r="AA40" s="4"/>
      <c r="AB40" s="4">
        <v>0</v>
      </c>
      <c r="AC40" s="4"/>
      <c r="AD40" s="4">
        <v>0</v>
      </c>
      <c r="AE40" s="4"/>
      <c r="AF40" s="4">
        <f t="shared" si="1"/>
        <v>593595</v>
      </c>
      <c r="AG40" s="31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4"/>
    </row>
    <row r="41" spans="1:64" s="9" customFormat="1" ht="12.75">
      <c r="A41" s="4">
        <v>204</v>
      </c>
      <c r="B41" s="3" t="s">
        <v>95</v>
      </c>
      <c r="C41" s="3"/>
      <c r="D41" s="3" t="s">
        <v>44</v>
      </c>
      <c r="E41" s="3"/>
      <c r="F41" s="1">
        <v>74383.13</v>
      </c>
      <c r="G41" s="49"/>
      <c r="H41" s="1">
        <v>12042.29</v>
      </c>
      <c r="I41" s="1"/>
      <c r="J41" s="1">
        <v>12507.73</v>
      </c>
      <c r="K41" s="1"/>
      <c r="L41" s="1">
        <v>23280.13</v>
      </c>
      <c r="M41" s="1"/>
      <c r="N41" s="1">
        <v>0</v>
      </c>
      <c r="O41" s="1"/>
      <c r="P41" s="1">
        <v>6408.83</v>
      </c>
      <c r="Q41" s="1"/>
      <c r="R41" s="1">
        <v>9256.2000000000007</v>
      </c>
      <c r="S41" s="1"/>
      <c r="T41" s="1">
        <v>0</v>
      </c>
      <c r="U41" s="1"/>
      <c r="V41" s="1">
        <v>0</v>
      </c>
      <c r="W41" s="1"/>
      <c r="X41" s="1">
        <v>0</v>
      </c>
      <c r="Y41" s="1"/>
      <c r="Z41" s="1">
        <v>1925.86</v>
      </c>
      <c r="AA41" s="1"/>
      <c r="AB41" s="1">
        <v>0</v>
      </c>
      <c r="AC41" s="1"/>
      <c r="AD41" s="1">
        <v>0</v>
      </c>
      <c r="AE41" s="4"/>
      <c r="AF41" s="4">
        <f t="shared" si="1"/>
        <v>139804.17000000001</v>
      </c>
      <c r="AG41" s="7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>
      <c r="A42" s="4">
        <v>3</v>
      </c>
      <c r="B42" s="3" t="s">
        <v>297</v>
      </c>
      <c r="D42" s="3" t="s">
        <v>96</v>
      </c>
      <c r="F42" s="1">
        <v>171140.96</v>
      </c>
      <c r="G42" s="49"/>
      <c r="H42" s="1">
        <v>44002.79</v>
      </c>
      <c r="I42" s="1"/>
      <c r="J42" s="1">
        <v>78200.3</v>
      </c>
      <c r="K42" s="1"/>
      <c r="L42" s="1">
        <v>41130.81</v>
      </c>
      <c r="M42" s="1"/>
      <c r="N42" s="1">
        <v>0</v>
      </c>
      <c r="O42" s="1"/>
      <c r="P42" s="1">
        <v>6314.05</v>
      </c>
      <c r="Q42" s="1"/>
      <c r="R42" s="1">
        <v>4215.75</v>
      </c>
      <c r="S42" s="1"/>
      <c r="T42" s="1">
        <v>0</v>
      </c>
      <c r="U42" s="1"/>
      <c r="V42" s="1">
        <v>0</v>
      </c>
      <c r="W42" s="1"/>
      <c r="X42" s="1">
        <v>0</v>
      </c>
      <c r="Y42" s="1"/>
      <c r="Z42" s="1">
        <v>0</v>
      </c>
      <c r="AA42" s="1"/>
      <c r="AB42" s="1">
        <v>0</v>
      </c>
      <c r="AC42" s="1"/>
      <c r="AD42" s="1">
        <v>0</v>
      </c>
      <c r="AE42" s="4"/>
      <c r="AF42" s="4">
        <f t="shared" si="1"/>
        <v>345004.66</v>
      </c>
      <c r="AG42" s="31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4"/>
    </row>
    <row r="43" spans="1:64">
      <c r="A43" s="4">
        <v>101</v>
      </c>
      <c r="B43" s="18" t="s">
        <v>97</v>
      </c>
      <c r="C43" s="18"/>
      <c r="D43" s="18" t="s">
        <v>455</v>
      </c>
      <c r="E43" s="18"/>
      <c r="F43" s="1">
        <v>112380.44</v>
      </c>
      <c r="G43" s="49"/>
      <c r="H43" s="1">
        <v>27103.78</v>
      </c>
      <c r="I43" s="1"/>
      <c r="J43" s="1">
        <v>41008.639999999999</v>
      </c>
      <c r="K43" s="1"/>
      <c r="L43" s="1">
        <v>27795.9</v>
      </c>
      <c r="M43" s="1"/>
      <c r="N43" s="1">
        <v>0</v>
      </c>
      <c r="O43" s="1"/>
      <c r="P43" s="1">
        <v>6791.86</v>
      </c>
      <c r="Q43" s="1"/>
      <c r="R43" s="1">
        <v>780</v>
      </c>
      <c r="S43" s="1"/>
      <c r="T43" s="1">
        <v>2407.9499999999998</v>
      </c>
      <c r="U43" s="1"/>
      <c r="V43" s="1">
        <v>0</v>
      </c>
      <c r="W43" s="1"/>
      <c r="X43" s="1">
        <v>0</v>
      </c>
      <c r="Y43" s="1"/>
      <c r="Z43" s="1">
        <v>1831</v>
      </c>
      <c r="AA43" s="1"/>
      <c r="AB43" s="1">
        <v>0</v>
      </c>
      <c r="AC43" s="1"/>
      <c r="AD43" s="1">
        <v>0</v>
      </c>
      <c r="AE43" s="18"/>
      <c r="AF43" s="4">
        <f t="shared" si="1"/>
        <v>220099.56999999998</v>
      </c>
      <c r="AG43" s="31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4"/>
    </row>
    <row r="44" spans="1:64">
      <c r="A44" s="4">
        <v>162</v>
      </c>
      <c r="B44" s="3" t="s">
        <v>98</v>
      </c>
      <c r="D44" s="3" t="s">
        <v>52</v>
      </c>
      <c r="F44" s="1">
        <v>87635.82</v>
      </c>
      <c r="G44" s="49"/>
      <c r="H44" s="1">
        <v>17582.55</v>
      </c>
      <c r="I44" s="1"/>
      <c r="J44" s="1">
        <v>37572.629999999997</v>
      </c>
      <c r="K44" s="1"/>
      <c r="L44" s="1">
        <v>16989.03</v>
      </c>
      <c r="M44" s="1"/>
      <c r="N44" s="1">
        <v>0</v>
      </c>
      <c r="O44" s="1"/>
      <c r="P44" s="1">
        <v>4126.8599999999997</v>
      </c>
      <c r="Q44" s="1"/>
      <c r="R44" s="1">
        <v>1477.12</v>
      </c>
      <c r="S44" s="1"/>
      <c r="T44" s="1">
        <v>1076.96</v>
      </c>
      <c r="U44" s="1"/>
      <c r="V44" s="1">
        <v>0</v>
      </c>
      <c r="W44" s="1"/>
      <c r="X44" s="1">
        <v>0</v>
      </c>
      <c r="Y44" s="1"/>
      <c r="Z44" s="1">
        <v>0</v>
      </c>
      <c r="AA44" s="1"/>
      <c r="AB44" s="1">
        <v>0</v>
      </c>
      <c r="AC44" s="1"/>
      <c r="AD44" s="1">
        <v>0</v>
      </c>
      <c r="AE44" s="4"/>
      <c r="AF44" s="4">
        <f t="shared" si="1"/>
        <v>166460.96999999997</v>
      </c>
    </row>
    <row r="45" spans="1:64">
      <c r="A45" s="22">
        <v>130.1</v>
      </c>
      <c r="B45" s="3" t="s">
        <v>528</v>
      </c>
      <c r="D45" s="3" t="s">
        <v>529</v>
      </c>
      <c r="F45" s="4">
        <v>1210093</v>
      </c>
      <c r="G45" s="4"/>
      <c r="H45" s="4">
        <v>486548</v>
      </c>
      <c r="I45" s="4"/>
      <c r="J45" s="4">
        <v>195513</v>
      </c>
      <c r="K45" s="4"/>
      <c r="L45" s="4">
        <v>100766</v>
      </c>
      <c r="M45" s="4"/>
      <c r="N45" s="4">
        <v>0</v>
      </c>
      <c r="O45" s="4"/>
      <c r="P45" s="4">
        <v>26943</v>
      </c>
      <c r="Q45" s="4"/>
      <c r="R45" s="4">
        <v>6000</v>
      </c>
      <c r="S45" s="4"/>
      <c r="T45" s="4">
        <v>17301</v>
      </c>
      <c r="U45" s="4"/>
      <c r="V45" s="4">
        <v>0</v>
      </c>
      <c r="W45" s="4"/>
      <c r="X45" s="4">
        <v>0</v>
      </c>
      <c r="Y45" s="4"/>
      <c r="Z45" s="4">
        <v>0</v>
      </c>
      <c r="AA45" s="4"/>
      <c r="AB45" s="4">
        <v>0</v>
      </c>
      <c r="AC45" s="4"/>
      <c r="AD45" s="4">
        <v>0</v>
      </c>
      <c r="AE45" s="4"/>
      <c r="AF45" s="4">
        <f t="shared" si="1"/>
        <v>2043164</v>
      </c>
      <c r="AR45" s="3">
        <v>8684.6</v>
      </c>
    </row>
    <row r="46" spans="1:64">
      <c r="A46" s="4">
        <v>223</v>
      </c>
      <c r="B46" s="3" t="s">
        <v>99</v>
      </c>
      <c r="D46" s="3" t="s">
        <v>55</v>
      </c>
      <c r="F46" s="1">
        <v>217374.3</v>
      </c>
      <c r="G46" s="49"/>
      <c r="H46" s="1">
        <v>56408.09</v>
      </c>
      <c r="I46" s="1"/>
      <c r="J46" s="1">
        <v>51409.83</v>
      </c>
      <c r="K46" s="1"/>
      <c r="L46" s="1">
        <v>92832.28</v>
      </c>
      <c r="M46" s="1"/>
      <c r="N46" s="1">
        <v>0</v>
      </c>
      <c r="O46" s="1"/>
      <c r="P46" s="1">
        <v>8571.02</v>
      </c>
      <c r="Q46" s="1"/>
      <c r="R46" s="1">
        <v>9868.0300000000007</v>
      </c>
      <c r="S46" s="1"/>
      <c r="T46" s="1">
        <v>0</v>
      </c>
      <c r="U46" s="1"/>
      <c r="V46" s="1">
        <v>0</v>
      </c>
      <c r="W46" s="1"/>
      <c r="X46" s="1">
        <v>0</v>
      </c>
      <c r="Y46" s="1"/>
      <c r="Z46" s="1">
        <v>0</v>
      </c>
      <c r="AA46" s="1"/>
      <c r="AB46" s="1">
        <v>0</v>
      </c>
      <c r="AC46" s="1"/>
      <c r="AD46" s="1">
        <v>0</v>
      </c>
      <c r="AE46" s="4"/>
      <c r="AF46" s="4">
        <f t="shared" si="1"/>
        <v>436463.55000000005</v>
      </c>
    </row>
    <row r="47" spans="1:64">
      <c r="A47" s="4">
        <v>23</v>
      </c>
      <c r="B47" s="18" t="s">
        <v>445</v>
      </c>
      <c r="C47" s="18"/>
      <c r="D47" s="18" t="s">
        <v>446</v>
      </c>
      <c r="E47" s="18"/>
      <c r="F47" s="1">
        <v>398076.37</v>
      </c>
      <c r="G47" s="49"/>
      <c r="H47" s="1">
        <v>83208.92</v>
      </c>
      <c r="I47" s="1"/>
      <c r="J47" s="1">
        <v>168850.5</v>
      </c>
      <c r="K47" s="1"/>
      <c r="L47" s="1">
        <v>98004.27</v>
      </c>
      <c r="M47" s="1"/>
      <c r="N47" s="1">
        <v>0</v>
      </c>
      <c r="O47" s="1"/>
      <c r="P47" s="1">
        <v>13416.47</v>
      </c>
      <c r="Q47" s="1"/>
      <c r="R47" s="1">
        <v>327.67</v>
      </c>
      <c r="S47" s="1"/>
      <c r="T47" s="1">
        <v>368.94</v>
      </c>
      <c r="U47" s="1"/>
      <c r="V47" s="1">
        <v>0</v>
      </c>
      <c r="W47" s="1"/>
      <c r="X47" s="1">
        <v>0</v>
      </c>
      <c r="Y47" s="1"/>
      <c r="Z47" s="1">
        <v>0</v>
      </c>
      <c r="AA47" s="1"/>
      <c r="AB47" s="1">
        <v>0</v>
      </c>
      <c r="AC47" s="1"/>
      <c r="AD47" s="1">
        <v>0</v>
      </c>
      <c r="AE47" s="18"/>
      <c r="AF47" s="4">
        <f t="shared" si="1"/>
        <v>762253.14</v>
      </c>
      <c r="AG47" s="31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4"/>
    </row>
    <row r="48" spans="1:64">
      <c r="A48" s="4">
        <v>194</v>
      </c>
      <c r="B48" s="3" t="s">
        <v>100</v>
      </c>
      <c r="D48" s="3" t="s">
        <v>101</v>
      </c>
      <c r="F48" s="4">
        <v>62741</v>
      </c>
      <c r="G48" s="4"/>
      <c r="H48" s="4">
        <v>8572</v>
      </c>
      <c r="I48" s="4"/>
      <c r="J48" s="4">
        <v>30854</v>
      </c>
      <c r="K48" s="4"/>
      <c r="L48" s="4">
        <v>9499</v>
      </c>
      <c r="M48" s="4"/>
      <c r="N48" s="4">
        <v>0</v>
      </c>
      <c r="O48" s="4"/>
      <c r="P48" s="4">
        <v>2647</v>
      </c>
      <c r="Q48" s="4"/>
      <c r="R48" s="4">
        <v>802</v>
      </c>
      <c r="S48" s="4"/>
      <c r="T48" s="4">
        <v>4194</v>
      </c>
      <c r="U48" s="4"/>
      <c r="V48" s="4">
        <v>0</v>
      </c>
      <c r="W48" s="4"/>
      <c r="X48" s="4">
        <v>0</v>
      </c>
      <c r="Y48" s="4"/>
      <c r="Z48" s="4">
        <v>0</v>
      </c>
      <c r="AA48" s="4"/>
      <c r="AB48" s="4">
        <v>0</v>
      </c>
      <c r="AC48" s="4"/>
      <c r="AD48" s="4">
        <v>0</v>
      </c>
      <c r="AE48" s="4"/>
      <c r="AF48" s="4">
        <f t="shared" si="1"/>
        <v>119309</v>
      </c>
    </row>
    <row r="49" spans="1:64">
      <c r="A49" s="4">
        <v>46</v>
      </c>
      <c r="B49" s="3" t="s">
        <v>102</v>
      </c>
      <c r="D49" s="3" t="s">
        <v>51</v>
      </c>
      <c r="F49" s="4">
        <v>314356</v>
      </c>
      <c r="G49" s="4"/>
      <c r="H49" s="4">
        <v>0</v>
      </c>
      <c r="I49" s="4"/>
      <c r="J49" s="4">
        <v>116762</v>
      </c>
      <c r="K49" s="4"/>
      <c r="L49" s="4">
        <v>48769</v>
      </c>
      <c r="M49" s="4"/>
      <c r="N49" s="4">
        <v>0</v>
      </c>
      <c r="O49" s="4"/>
      <c r="P49" s="4">
        <v>20784</v>
      </c>
      <c r="Q49" s="4"/>
      <c r="R49" s="4">
        <v>8564</v>
      </c>
      <c r="S49" s="4"/>
      <c r="T49" s="4">
        <v>2928</v>
      </c>
      <c r="U49" s="4"/>
      <c r="V49" s="4">
        <v>0</v>
      </c>
      <c r="W49" s="4"/>
      <c r="X49" s="4">
        <v>0</v>
      </c>
      <c r="Y49" s="4"/>
      <c r="Z49" s="4">
        <v>42834</v>
      </c>
      <c r="AA49" s="4"/>
      <c r="AB49" s="4">
        <v>0</v>
      </c>
      <c r="AC49" s="4"/>
      <c r="AD49" s="4">
        <v>0</v>
      </c>
      <c r="AE49" s="4"/>
      <c r="AF49" s="4">
        <f t="shared" si="1"/>
        <v>554997</v>
      </c>
      <c r="AG49" s="31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4"/>
    </row>
    <row r="50" spans="1:64">
      <c r="A50" s="4">
        <v>89</v>
      </c>
      <c r="B50" s="3" t="s">
        <v>103</v>
      </c>
      <c r="D50" s="3" t="s">
        <v>17</v>
      </c>
      <c r="F50" s="1">
        <v>399642.43</v>
      </c>
      <c r="G50" s="49"/>
      <c r="H50" s="1">
        <v>91069.18</v>
      </c>
      <c r="I50" s="1"/>
      <c r="J50" s="1">
        <v>99964.04</v>
      </c>
      <c r="K50" s="1"/>
      <c r="L50" s="1">
        <v>105994.45</v>
      </c>
      <c r="M50" s="1"/>
      <c r="N50" s="1">
        <v>0</v>
      </c>
      <c r="O50" s="1"/>
      <c r="P50" s="1">
        <v>19792.97</v>
      </c>
      <c r="Q50" s="1"/>
      <c r="R50" s="1">
        <v>7916.84</v>
      </c>
      <c r="S50" s="1"/>
      <c r="T50" s="1">
        <v>15989.69</v>
      </c>
      <c r="U50" s="1"/>
      <c r="V50" s="1">
        <v>0</v>
      </c>
      <c r="W50" s="1"/>
      <c r="X50" s="1">
        <v>0</v>
      </c>
      <c r="Y50" s="1"/>
      <c r="Z50" s="1">
        <v>0</v>
      </c>
      <c r="AA50" s="1"/>
      <c r="AB50" s="1">
        <v>0</v>
      </c>
      <c r="AC50" s="1"/>
      <c r="AD50" s="1">
        <v>0</v>
      </c>
      <c r="AE50" s="4"/>
      <c r="AF50" s="4">
        <f t="shared" si="1"/>
        <v>740369.59999999986</v>
      </c>
    </row>
    <row r="51" spans="1:64">
      <c r="A51" s="4">
        <v>179</v>
      </c>
      <c r="B51" s="3" t="s">
        <v>104</v>
      </c>
      <c r="D51" s="3" t="s">
        <v>105</v>
      </c>
      <c r="F51" s="1">
        <v>239097.03</v>
      </c>
      <c r="G51" s="49"/>
      <c r="H51" s="1">
        <v>67458.47</v>
      </c>
      <c r="I51" s="1"/>
      <c r="J51" s="1">
        <v>72262.87</v>
      </c>
      <c r="K51" s="1"/>
      <c r="L51" s="1">
        <v>34877.269999999997</v>
      </c>
      <c r="M51" s="1"/>
      <c r="N51" s="1">
        <v>0</v>
      </c>
      <c r="O51" s="1"/>
      <c r="P51" s="1">
        <v>2442.71</v>
      </c>
      <c r="Q51" s="1"/>
      <c r="R51" s="1">
        <v>1293.58</v>
      </c>
      <c r="S51" s="1"/>
      <c r="T51" s="1">
        <v>56.08</v>
      </c>
      <c r="U51" s="1"/>
      <c r="V51" s="1">
        <v>0</v>
      </c>
      <c r="W51" s="1"/>
      <c r="X51" s="1">
        <v>0</v>
      </c>
      <c r="Y51" s="1"/>
      <c r="Z51" s="1">
        <v>0</v>
      </c>
      <c r="AA51" s="1"/>
      <c r="AB51" s="1">
        <v>0</v>
      </c>
      <c r="AC51" s="1"/>
      <c r="AD51" s="1">
        <v>0</v>
      </c>
      <c r="AE51" s="4"/>
      <c r="AF51" s="4">
        <f t="shared" si="1"/>
        <v>417488.01000000007</v>
      </c>
      <c r="AR51" s="3">
        <v>414.65</v>
      </c>
    </row>
    <row r="52" spans="1:64">
      <c r="A52" s="4">
        <v>209</v>
      </c>
      <c r="B52" s="3" t="s">
        <v>106</v>
      </c>
      <c r="D52" s="3" t="s">
        <v>25</v>
      </c>
      <c r="F52" s="1">
        <v>430447.58</v>
      </c>
      <c r="G52" s="49"/>
      <c r="H52" s="1">
        <v>104660.22</v>
      </c>
      <c r="I52" s="1"/>
      <c r="J52" s="1">
        <v>139997.06</v>
      </c>
      <c r="K52" s="1"/>
      <c r="L52" s="1">
        <v>110324.43</v>
      </c>
      <c r="M52" s="1"/>
      <c r="N52" s="1">
        <v>0</v>
      </c>
      <c r="O52" s="1"/>
      <c r="P52" s="1">
        <v>11796.78</v>
      </c>
      <c r="Q52" s="1"/>
      <c r="R52" s="1">
        <v>2920.74</v>
      </c>
      <c r="S52" s="1"/>
      <c r="T52" s="1">
        <v>40041.85</v>
      </c>
      <c r="U52" s="1"/>
      <c r="V52" s="1">
        <v>0</v>
      </c>
      <c r="W52" s="1"/>
      <c r="X52" s="1">
        <v>0</v>
      </c>
      <c r="Y52" s="1"/>
      <c r="Z52" s="1">
        <v>70000</v>
      </c>
      <c r="AA52" s="1"/>
      <c r="AB52" s="1">
        <v>0</v>
      </c>
      <c r="AC52" s="1"/>
      <c r="AD52" s="1">
        <v>0</v>
      </c>
      <c r="AE52" s="4"/>
      <c r="AF52" s="4">
        <f t="shared" si="1"/>
        <v>910188.66</v>
      </c>
    </row>
    <row r="53" spans="1:64">
      <c r="A53" s="4">
        <v>174</v>
      </c>
      <c r="B53" s="3" t="s">
        <v>107</v>
      </c>
      <c r="D53" s="3" t="s">
        <v>67</v>
      </c>
      <c r="F53" s="4">
        <v>127159</v>
      </c>
      <c r="G53" s="4"/>
      <c r="H53" s="4">
        <v>22364</v>
      </c>
      <c r="I53" s="4"/>
      <c r="J53" s="4">
        <v>36509</v>
      </c>
      <c r="K53" s="4"/>
      <c r="L53" s="4">
        <v>33858</v>
      </c>
      <c r="M53" s="4"/>
      <c r="N53" s="4">
        <v>0</v>
      </c>
      <c r="O53" s="4"/>
      <c r="P53" s="4">
        <v>5437</v>
      </c>
      <c r="Q53" s="4"/>
      <c r="R53" s="4">
        <v>2633</v>
      </c>
      <c r="S53" s="4"/>
      <c r="T53" s="4">
        <v>3640</v>
      </c>
      <c r="U53" s="4"/>
      <c r="V53" s="4">
        <v>0</v>
      </c>
      <c r="W53" s="4"/>
      <c r="X53" s="4">
        <v>0</v>
      </c>
      <c r="Y53" s="4"/>
      <c r="Z53" s="4">
        <v>0</v>
      </c>
      <c r="AA53" s="4"/>
      <c r="AB53" s="4">
        <v>0</v>
      </c>
      <c r="AC53" s="4"/>
      <c r="AD53" s="4">
        <v>0</v>
      </c>
      <c r="AE53" s="4"/>
      <c r="AF53" s="4">
        <f t="shared" si="1"/>
        <v>231600</v>
      </c>
    </row>
    <row r="54" spans="1:64">
      <c r="A54" s="4">
        <v>73</v>
      </c>
      <c r="B54" s="3" t="s">
        <v>108</v>
      </c>
      <c r="D54" s="3" t="s">
        <v>109</v>
      </c>
      <c r="F54" s="4">
        <v>397717</v>
      </c>
      <c r="G54" s="4"/>
      <c r="H54" s="4">
        <v>47453</v>
      </c>
      <c r="I54" s="4"/>
      <c r="J54" s="4">
        <v>325608</v>
      </c>
      <c r="K54" s="4"/>
      <c r="L54" s="4">
        <v>15157</v>
      </c>
      <c r="M54" s="4"/>
      <c r="N54" s="4">
        <v>94618</v>
      </c>
      <c r="O54" s="4"/>
      <c r="P54" s="4">
        <v>0</v>
      </c>
      <c r="Q54" s="4"/>
      <c r="R54" s="4">
        <v>0</v>
      </c>
      <c r="S54" s="4"/>
      <c r="T54" s="4">
        <v>12095</v>
      </c>
      <c r="U54" s="4"/>
      <c r="V54" s="4">
        <v>0</v>
      </c>
      <c r="W54" s="4"/>
      <c r="X54" s="4">
        <v>0</v>
      </c>
      <c r="Y54" s="4"/>
      <c r="Z54" s="4">
        <v>0</v>
      </c>
      <c r="AA54" s="4"/>
      <c r="AB54" s="4">
        <v>0</v>
      </c>
      <c r="AC54" s="4"/>
      <c r="AD54" s="4">
        <v>0</v>
      </c>
      <c r="AE54" s="4"/>
      <c r="AF54" s="4">
        <f t="shared" si="1"/>
        <v>892648</v>
      </c>
      <c r="AG54" s="31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4"/>
    </row>
    <row r="55" spans="1:64">
      <c r="A55" s="4">
        <v>27</v>
      </c>
      <c r="B55" s="18" t="s">
        <v>541</v>
      </c>
      <c r="C55" s="18"/>
      <c r="D55" s="18" t="s">
        <v>447</v>
      </c>
      <c r="E55" s="18"/>
      <c r="F55" s="1">
        <v>404254.77</v>
      </c>
      <c r="G55" s="49"/>
      <c r="H55" s="1">
        <v>124667.12</v>
      </c>
      <c r="I55" s="1"/>
      <c r="J55" s="1">
        <v>62554.45</v>
      </c>
      <c r="K55" s="1"/>
      <c r="L55" s="1">
        <v>63214.75</v>
      </c>
      <c r="M55" s="1"/>
      <c r="N55" s="1">
        <v>0</v>
      </c>
      <c r="O55" s="1"/>
      <c r="P55" s="1">
        <v>33128.730000000003</v>
      </c>
      <c r="Q55" s="1"/>
      <c r="R55" s="1">
        <v>16268.16</v>
      </c>
      <c r="S55" s="1"/>
      <c r="T55" s="1">
        <v>1000</v>
      </c>
      <c r="U55" s="1"/>
      <c r="V55" s="1">
        <v>0</v>
      </c>
      <c r="W55" s="1"/>
      <c r="X55" s="1">
        <v>0</v>
      </c>
      <c r="Y55" s="1"/>
      <c r="Z55" s="1">
        <v>0</v>
      </c>
      <c r="AA55" s="1"/>
      <c r="AB55" s="1">
        <v>0</v>
      </c>
      <c r="AC55" s="1"/>
      <c r="AD55" s="1">
        <v>174.16</v>
      </c>
      <c r="AE55" s="18"/>
      <c r="AF55" s="4">
        <f t="shared" si="1"/>
        <v>705262.14</v>
      </c>
    </row>
    <row r="56" spans="1:64">
      <c r="A56" s="4">
        <v>121</v>
      </c>
      <c r="B56" s="3" t="s">
        <v>110</v>
      </c>
      <c r="D56" s="3" t="s">
        <v>16</v>
      </c>
      <c r="F56" s="4">
        <v>112879</v>
      </c>
      <c r="G56" s="4"/>
      <c r="H56" s="4">
        <v>19235</v>
      </c>
      <c r="I56" s="4"/>
      <c r="J56" s="4">
        <v>33771</v>
      </c>
      <c r="K56" s="4"/>
      <c r="L56" s="4">
        <v>39622</v>
      </c>
      <c r="M56" s="4"/>
      <c r="N56" s="4">
        <v>0</v>
      </c>
      <c r="O56" s="4"/>
      <c r="P56" s="4">
        <v>8967</v>
      </c>
      <c r="Q56" s="4"/>
      <c r="R56" s="4">
        <v>2581</v>
      </c>
      <c r="S56" s="4"/>
      <c r="T56" s="4">
        <v>107805</v>
      </c>
      <c r="U56" s="4"/>
      <c r="V56" s="4">
        <v>0</v>
      </c>
      <c r="W56" s="4"/>
      <c r="X56" s="4">
        <v>0</v>
      </c>
      <c r="Y56" s="4"/>
      <c r="Z56" s="4">
        <v>0</v>
      </c>
      <c r="AA56" s="4"/>
      <c r="AB56" s="4">
        <v>0</v>
      </c>
      <c r="AC56" s="4"/>
      <c r="AD56" s="4">
        <v>0</v>
      </c>
      <c r="AE56" s="4"/>
      <c r="AF56" s="4">
        <f t="shared" si="1"/>
        <v>324860</v>
      </c>
    </row>
    <row r="57" spans="1:64">
      <c r="A57" s="4">
        <v>28</v>
      </c>
      <c r="B57" s="3" t="s">
        <v>542</v>
      </c>
      <c r="D57" s="3" t="s">
        <v>61</v>
      </c>
      <c r="F57" s="4">
        <v>471660</v>
      </c>
      <c r="G57" s="4"/>
      <c r="H57" s="4">
        <v>105705</v>
      </c>
      <c r="I57" s="4"/>
      <c r="J57" s="4">
        <v>143651</v>
      </c>
      <c r="K57" s="4"/>
      <c r="L57" s="4">
        <v>103224</v>
      </c>
      <c r="M57" s="4"/>
      <c r="N57" s="4">
        <v>0</v>
      </c>
      <c r="O57" s="4"/>
      <c r="P57" s="4">
        <v>18119</v>
      </c>
      <c r="Q57" s="4"/>
      <c r="R57" s="4">
        <v>3615</v>
      </c>
      <c r="S57" s="4"/>
      <c r="T57" s="4">
        <v>302</v>
      </c>
      <c r="U57" s="4"/>
      <c r="V57" s="4">
        <v>0</v>
      </c>
      <c r="W57" s="4"/>
      <c r="X57" s="4">
        <v>0</v>
      </c>
      <c r="Y57" s="4"/>
      <c r="Z57" s="4">
        <v>0</v>
      </c>
      <c r="AA57" s="4"/>
      <c r="AB57" s="4">
        <v>0</v>
      </c>
      <c r="AC57" s="4"/>
      <c r="AD57" s="4">
        <v>0</v>
      </c>
      <c r="AE57" s="4"/>
      <c r="AF57" s="4">
        <f t="shared" si="1"/>
        <v>846276</v>
      </c>
    </row>
    <row r="58" spans="1:64">
      <c r="A58" s="4">
        <v>199</v>
      </c>
      <c r="B58" s="18" t="s">
        <v>518</v>
      </c>
      <c r="C58" s="18"/>
      <c r="D58" s="18" t="s">
        <v>474</v>
      </c>
      <c r="E58" s="18"/>
      <c r="F58" s="1">
        <v>1275271.78</v>
      </c>
      <c r="G58" s="49"/>
      <c r="H58" s="1">
        <v>478414.55</v>
      </c>
      <c r="I58" s="1"/>
      <c r="J58" s="1">
        <v>275861.57</v>
      </c>
      <c r="K58" s="1"/>
      <c r="L58" s="1">
        <v>92954.65</v>
      </c>
      <c r="M58" s="1"/>
      <c r="N58" s="1">
        <v>0</v>
      </c>
      <c r="O58" s="1"/>
      <c r="P58" s="1">
        <v>37678.1</v>
      </c>
      <c r="Q58" s="1"/>
      <c r="R58" s="1">
        <v>10092.91</v>
      </c>
      <c r="S58" s="1"/>
      <c r="T58" s="1">
        <v>82818.06</v>
      </c>
      <c r="U58" s="1"/>
      <c r="V58" s="1">
        <v>0</v>
      </c>
      <c r="W58" s="1"/>
      <c r="X58" s="1">
        <v>0</v>
      </c>
      <c r="Y58" s="1"/>
      <c r="Z58" s="1">
        <v>0</v>
      </c>
      <c r="AA58" s="1"/>
      <c r="AB58" s="1">
        <v>0</v>
      </c>
      <c r="AC58" s="1"/>
      <c r="AD58" s="1">
        <v>0</v>
      </c>
      <c r="AE58" s="18"/>
      <c r="AF58" s="4">
        <f t="shared" si="1"/>
        <v>2253091.6200000006</v>
      </c>
    </row>
    <row r="59" spans="1:64">
      <c r="A59" s="4">
        <v>199</v>
      </c>
      <c r="B59" s="18" t="s">
        <v>573</v>
      </c>
      <c r="C59" s="18"/>
      <c r="D59" s="18" t="s">
        <v>527</v>
      </c>
      <c r="E59" s="18"/>
      <c r="F59" s="1">
        <v>24682692</v>
      </c>
      <c r="G59" s="49"/>
      <c r="H59" s="1">
        <v>0</v>
      </c>
      <c r="I59" s="1"/>
      <c r="J59" s="1">
        <v>0</v>
      </c>
      <c r="K59" s="1"/>
      <c r="L59" s="1">
        <v>11565472</v>
      </c>
      <c r="M59" s="1"/>
      <c r="N59" s="1">
        <v>7066213</v>
      </c>
      <c r="O59" s="1"/>
      <c r="P59" s="1">
        <v>0</v>
      </c>
      <c r="Q59" s="1"/>
      <c r="R59" s="1">
        <f>1347840+3918114</f>
        <v>5265954</v>
      </c>
      <c r="S59" s="1"/>
      <c r="T59" s="1">
        <v>0</v>
      </c>
      <c r="U59" s="1"/>
      <c r="V59" s="1">
        <v>0</v>
      </c>
      <c r="W59" s="1"/>
      <c r="X59" s="1">
        <v>0</v>
      </c>
      <c r="Y59" s="1"/>
      <c r="Z59" s="1">
        <v>0</v>
      </c>
      <c r="AA59" s="1"/>
      <c r="AB59" s="1">
        <v>0</v>
      </c>
      <c r="AC59" s="1"/>
      <c r="AD59" s="1">
        <v>0</v>
      </c>
      <c r="AE59" s="18"/>
      <c r="AF59" s="4">
        <f t="shared" ref="AF59" si="2">SUM(F59:AD59)</f>
        <v>48580331</v>
      </c>
    </row>
    <row r="60" spans="1:64">
      <c r="A60" s="4">
        <v>32</v>
      </c>
      <c r="B60" s="3" t="s">
        <v>112</v>
      </c>
      <c r="D60" s="3" t="s">
        <v>113</v>
      </c>
      <c r="F60" s="4">
        <v>2214054</v>
      </c>
      <c r="G60" s="4"/>
      <c r="H60" s="4">
        <v>897278</v>
      </c>
      <c r="I60" s="4"/>
      <c r="J60" s="4">
        <v>760940</v>
      </c>
      <c r="K60" s="4"/>
      <c r="L60" s="4">
        <v>556999</v>
      </c>
      <c r="M60" s="4"/>
      <c r="N60" s="4">
        <v>0</v>
      </c>
      <c r="O60" s="4"/>
      <c r="P60" s="4">
        <v>74262</v>
      </c>
      <c r="Q60" s="4"/>
      <c r="R60" s="4">
        <v>11574</v>
      </c>
      <c r="S60" s="4"/>
      <c r="T60" s="4">
        <v>118374</v>
      </c>
      <c r="U60" s="4"/>
      <c r="V60" s="4">
        <v>0</v>
      </c>
      <c r="W60" s="4"/>
      <c r="X60" s="4">
        <v>0</v>
      </c>
      <c r="Y60" s="4"/>
      <c r="Z60" s="4">
        <v>0</v>
      </c>
      <c r="AA60" s="4"/>
      <c r="AB60" s="4">
        <v>0</v>
      </c>
      <c r="AC60" s="4"/>
      <c r="AD60" s="4">
        <v>0</v>
      </c>
      <c r="AE60" s="4"/>
      <c r="AF60" s="4">
        <f t="shared" si="1"/>
        <v>4633481</v>
      </c>
    </row>
    <row r="61" spans="1:64">
      <c r="A61" s="4">
        <v>231</v>
      </c>
      <c r="B61" s="18" t="s">
        <v>298</v>
      </c>
      <c r="C61" s="18"/>
      <c r="D61" s="18" t="s">
        <v>471</v>
      </c>
      <c r="E61" s="18"/>
      <c r="F61" s="1">
        <v>207621.49</v>
      </c>
      <c r="G61" s="49"/>
      <c r="H61" s="1">
        <v>56186.48</v>
      </c>
      <c r="I61" s="1"/>
      <c r="J61" s="1">
        <v>69776.88</v>
      </c>
      <c r="K61" s="1"/>
      <c r="L61" s="1">
        <v>52417.1</v>
      </c>
      <c r="M61" s="1"/>
      <c r="N61" s="1">
        <v>0</v>
      </c>
      <c r="O61" s="1"/>
      <c r="P61" s="1">
        <v>6967.25</v>
      </c>
      <c r="Q61" s="1"/>
      <c r="R61" s="1">
        <v>4659.95</v>
      </c>
      <c r="S61" s="1"/>
      <c r="T61" s="1">
        <v>0</v>
      </c>
      <c r="U61" s="1"/>
      <c r="V61" s="1">
        <v>0</v>
      </c>
      <c r="W61" s="1"/>
      <c r="X61" s="1">
        <v>0</v>
      </c>
      <c r="Y61" s="1"/>
      <c r="Z61" s="1">
        <v>0</v>
      </c>
      <c r="AA61" s="1"/>
      <c r="AB61" s="1">
        <v>0</v>
      </c>
      <c r="AC61" s="1"/>
      <c r="AD61" s="1">
        <v>0</v>
      </c>
      <c r="AE61" s="18"/>
      <c r="AF61" s="4">
        <f t="shared" si="1"/>
        <v>397629.14999999997</v>
      </c>
      <c r="AG61" s="31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4"/>
    </row>
    <row r="62" spans="1:64">
      <c r="A62" s="4">
        <v>34</v>
      </c>
      <c r="B62" s="3" t="s">
        <v>114</v>
      </c>
      <c r="D62" s="3" t="s">
        <v>115</v>
      </c>
      <c r="F62" s="4">
        <f>1212379+675740</f>
        <v>1888119</v>
      </c>
      <c r="G62" s="4"/>
      <c r="H62" s="4">
        <v>0</v>
      </c>
      <c r="I62" s="4"/>
      <c r="J62" s="4">
        <v>0</v>
      </c>
      <c r="K62" s="4"/>
      <c r="L62" s="4">
        <f>3345143+924329</f>
        <v>4269472</v>
      </c>
      <c r="M62" s="4"/>
      <c r="N62" s="4">
        <v>951849</v>
      </c>
      <c r="O62" s="4"/>
      <c r="P62" s="4">
        <v>0</v>
      </c>
      <c r="Q62" s="4"/>
      <c r="R62" s="4">
        <v>0</v>
      </c>
      <c r="S62" s="4"/>
      <c r="T62" s="4">
        <v>0</v>
      </c>
      <c r="U62" s="4"/>
      <c r="V62" s="4">
        <v>0</v>
      </c>
      <c r="W62" s="4"/>
      <c r="X62" s="4">
        <v>5108</v>
      </c>
      <c r="Y62" s="4"/>
      <c r="Z62" s="4">
        <v>921500</v>
      </c>
      <c r="AA62" s="4"/>
      <c r="AB62" s="4">
        <v>0</v>
      </c>
      <c r="AC62" s="4"/>
      <c r="AD62" s="4">
        <v>4521</v>
      </c>
      <c r="AE62" s="4"/>
      <c r="AF62" s="4">
        <f t="shared" si="1"/>
        <v>8040569</v>
      </c>
    </row>
    <row r="63" spans="1:64">
      <c r="A63" s="4">
        <v>49</v>
      </c>
      <c r="B63" s="3" t="s">
        <v>398</v>
      </c>
      <c r="D63" s="3" t="s">
        <v>19</v>
      </c>
      <c r="F63" s="4">
        <v>1544525</v>
      </c>
      <c r="G63" s="4"/>
      <c r="H63" s="4">
        <v>0</v>
      </c>
      <c r="I63" s="4"/>
      <c r="J63" s="4">
        <v>0</v>
      </c>
      <c r="K63" s="4"/>
      <c r="L63" s="4">
        <v>6010645</v>
      </c>
      <c r="M63" s="4"/>
      <c r="N63" s="4">
        <v>0</v>
      </c>
      <c r="O63" s="4"/>
      <c r="P63" s="4">
        <v>0</v>
      </c>
      <c r="Q63" s="4"/>
      <c r="R63" s="4">
        <v>0</v>
      </c>
      <c r="S63" s="4"/>
      <c r="T63" s="4">
        <v>73827</v>
      </c>
      <c r="U63" s="4"/>
      <c r="V63" s="4">
        <v>69450</v>
      </c>
      <c r="W63" s="4"/>
      <c r="X63" s="4">
        <v>21251</v>
      </c>
      <c r="Y63" s="4"/>
      <c r="Z63" s="4">
        <v>300000</v>
      </c>
      <c r="AA63" s="4"/>
      <c r="AB63" s="4">
        <v>0</v>
      </c>
      <c r="AC63" s="4"/>
      <c r="AD63" s="4">
        <v>0</v>
      </c>
      <c r="AE63" s="4"/>
      <c r="AF63" s="4">
        <f t="shared" si="1"/>
        <v>8019698</v>
      </c>
    </row>
    <row r="64" spans="1:64">
      <c r="A64" s="4">
        <v>50</v>
      </c>
      <c r="B64" s="3" t="s">
        <v>399</v>
      </c>
      <c r="D64" s="3" t="s">
        <v>19</v>
      </c>
      <c r="F64" s="4">
        <v>22705650</v>
      </c>
      <c r="G64" s="4"/>
      <c r="H64" s="4">
        <v>0</v>
      </c>
      <c r="I64" s="4"/>
      <c r="J64" s="4">
        <v>0</v>
      </c>
      <c r="K64" s="4"/>
      <c r="L64" s="4">
        <v>39444255</v>
      </c>
      <c r="M64" s="4"/>
      <c r="N64" s="4">
        <v>0</v>
      </c>
      <c r="O64" s="4"/>
      <c r="P64" s="4">
        <v>0</v>
      </c>
      <c r="Q64" s="4"/>
      <c r="R64" s="4">
        <v>0</v>
      </c>
      <c r="S64" s="4"/>
      <c r="T64" s="4">
        <v>703535</v>
      </c>
      <c r="U64" s="4"/>
      <c r="V64" s="4">
        <v>0</v>
      </c>
      <c r="W64" s="4"/>
      <c r="X64" s="4">
        <v>0</v>
      </c>
      <c r="Y64" s="4"/>
      <c r="Z64" s="4">
        <v>3029900</v>
      </c>
      <c r="AA64" s="4"/>
      <c r="AB64" s="4">
        <v>0</v>
      </c>
      <c r="AC64" s="4"/>
      <c r="AD64" s="4">
        <v>0</v>
      </c>
      <c r="AE64" s="4"/>
      <c r="AF64" s="4">
        <f t="shared" si="1"/>
        <v>65883340</v>
      </c>
      <c r="AG64" s="31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4"/>
    </row>
    <row r="65" spans="1:64">
      <c r="A65" s="4">
        <v>201</v>
      </c>
      <c r="B65" s="3" t="s">
        <v>116</v>
      </c>
      <c r="D65" s="3" t="s">
        <v>93</v>
      </c>
      <c r="F65" s="1">
        <v>291853.43</v>
      </c>
      <c r="G65" s="49"/>
      <c r="H65" s="1">
        <v>56069.73</v>
      </c>
      <c r="I65" s="1"/>
      <c r="J65" s="1">
        <v>75376.27</v>
      </c>
      <c r="K65" s="1"/>
      <c r="L65" s="1">
        <v>64896.62</v>
      </c>
      <c r="M65" s="1"/>
      <c r="N65" s="1">
        <v>0</v>
      </c>
      <c r="O65" s="1"/>
      <c r="P65" s="1">
        <v>14562.76</v>
      </c>
      <c r="Q65" s="1"/>
      <c r="R65" s="1">
        <v>8576.77</v>
      </c>
      <c r="S65" s="1"/>
      <c r="T65" s="1">
        <v>109.99</v>
      </c>
      <c r="U65" s="1"/>
      <c r="V65" s="1">
        <v>0</v>
      </c>
      <c r="W65" s="1"/>
      <c r="X65" s="1">
        <v>0</v>
      </c>
      <c r="Y65" s="1"/>
      <c r="Z65" s="1">
        <v>75589.66</v>
      </c>
      <c r="AA65" s="1"/>
      <c r="AB65" s="1">
        <v>0</v>
      </c>
      <c r="AC65" s="1"/>
      <c r="AD65" s="1">
        <v>0</v>
      </c>
      <c r="AE65" s="4"/>
      <c r="AF65" s="4">
        <f t="shared" si="1"/>
        <v>587035.23</v>
      </c>
    </row>
    <row r="66" spans="1:64">
      <c r="A66" s="4">
        <v>158</v>
      </c>
      <c r="B66" s="3" t="s">
        <v>71</v>
      </c>
      <c r="D66" s="3" t="s">
        <v>49</v>
      </c>
      <c r="F66" s="1">
        <v>114680.25</v>
      </c>
      <c r="G66" s="49"/>
      <c r="H66" s="1">
        <v>28600.69</v>
      </c>
      <c r="I66" s="1"/>
      <c r="J66" s="1">
        <v>28919.11</v>
      </c>
      <c r="K66" s="1"/>
      <c r="L66" s="1">
        <v>16566.47</v>
      </c>
      <c r="M66" s="1"/>
      <c r="N66" s="1">
        <v>0</v>
      </c>
      <c r="O66" s="1"/>
      <c r="P66" s="1">
        <v>3802.34</v>
      </c>
      <c r="Q66" s="1"/>
      <c r="R66" s="1">
        <v>1329.05</v>
      </c>
      <c r="S66" s="1"/>
      <c r="T66" s="1">
        <v>212.35</v>
      </c>
      <c r="U66" s="1"/>
      <c r="V66" s="1">
        <v>0</v>
      </c>
      <c r="W66" s="1"/>
      <c r="X66" s="1">
        <v>0</v>
      </c>
      <c r="Y66" s="1"/>
      <c r="Z66" s="1">
        <v>0</v>
      </c>
      <c r="AA66" s="1"/>
      <c r="AB66" s="1">
        <v>0</v>
      </c>
      <c r="AC66" s="1"/>
      <c r="AD66" s="1">
        <v>0</v>
      </c>
      <c r="AE66" s="4"/>
      <c r="AF66" s="4">
        <f t="shared" si="1"/>
        <v>194110.25999999998</v>
      </c>
    </row>
    <row r="67" spans="1:64">
      <c r="A67" s="4">
        <v>38</v>
      </c>
      <c r="B67" s="18" t="s">
        <v>424</v>
      </c>
      <c r="C67" s="18"/>
      <c r="D67" s="18" t="s">
        <v>451</v>
      </c>
      <c r="E67" s="18"/>
      <c r="F67" s="1">
        <v>347886.09</v>
      </c>
      <c r="G67" s="49"/>
      <c r="H67" s="1">
        <v>79825.240000000005</v>
      </c>
      <c r="I67" s="1"/>
      <c r="J67" s="1">
        <v>96105.600000000006</v>
      </c>
      <c r="K67" s="1"/>
      <c r="L67" s="1">
        <v>133256.42000000001</v>
      </c>
      <c r="M67" s="1"/>
      <c r="N67" s="1">
        <v>0</v>
      </c>
      <c r="O67" s="1"/>
      <c r="P67" s="1">
        <v>17789.060000000001</v>
      </c>
      <c r="Q67" s="1"/>
      <c r="R67" s="1">
        <v>5643.47</v>
      </c>
      <c r="S67" s="1"/>
      <c r="T67" s="1">
        <v>2624.8</v>
      </c>
      <c r="U67" s="1"/>
      <c r="V67" s="1">
        <v>0</v>
      </c>
      <c r="W67" s="1"/>
      <c r="X67" s="1">
        <v>0</v>
      </c>
      <c r="Y67" s="1"/>
      <c r="Z67" s="1">
        <v>0</v>
      </c>
      <c r="AA67" s="1"/>
      <c r="AB67" s="1">
        <v>0</v>
      </c>
      <c r="AC67" s="1"/>
      <c r="AD67" s="1">
        <v>0</v>
      </c>
      <c r="AE67" s="18"/>
      <c r="AF67" s="4">
        <f t="shared" si="1"/>
        <v>683130.68000000017</v>
      </c>
      <c r="AG67" s="31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4"/>
    </row>
    <row r="68" spans="1:64">
      <c r="A68" s="4">
        <v>76</v>
      </c>
      <c r="B68" s="3" t="s">
        <v>117</v>
      </c>
      <c r="D68" s="3" t="s">
        <v>91</v>
      </c>
      <c r="F68" s="4">
        <v>25227952</v>
      </c>
      <c r="G68" s="4"/>
      <c r="H68" s="4">
        <v>5230985</v>
      </c>
      <c r="I68" s="4"/>
      <c r="J68" s="4">
        <v>7472308</v>
      </c>
      <c r="K68" s="4"/>
      <c r="L68" s="4">
        <v>5356540</v>
      </c>
      <c r="M68" s="4"/>
      <c r="N68" s="4">
        <v>0</v>
      </c>
      <c r="O68" s="4"/>
      <c r="P68" s="4">
        <v>819374</v>
      </c>
      <c r="Q68" s="4"/>
      <c r="R68" s="4">
        <v>1177829</v>
      </c>
      <c r="S68" s="4"/>
      <c r="T68" s="4">
        <v>378327</v>
      </c>
      <c r="U68" s="4"/>
      <c r="V68" s="4">
        <v>0</v>
      </c>
      <c r="W68" s="4"/>
      <c r="X68" s="4">
        <v>0</v>
      </c>
      <c r="Y68" s="4"/>
      <c r="Z68" s="4">
        <v>0</v>
      </c>
      <c r="AA68" s="4"/>
      <c r="AB68" s="4">
        <v>0</v>
      </c>
      <c r="AC68" s="4"/>
      <c r="AD68" s="4">
        <v>0</v>
      </c>
      <c r="AE68" s="4"/>
      <c r="AF68" s="4">
        <f t="shared" si="1"/>
        <v>45663315</v>
      </c>
      <c r="AI68" s="4"/>
    </row>
    <row r="69" spans="1:64">
      <c r="A69" s="4">
        <v>63</v>
      </c>
      <c r="B69" s="3" t="s">
        <v>354</v>
      </c>
      <c r="D69" s="4" t="s">
        <v>69</v>
      </c>
      <c r="F69" s="1">
        <v>380610.84</v>
      </c>
      <c r="G69" s="49"/>
      <c r="H69" s="1">
        <v>93627.89</v>
      </c>
      <c r="I69" s="1"/>
      <c r="J69" s="1">
        <v>105139.68</v>
      </c>
      <c r="K69" s="1"/>
      <c r="L69" s="1">
        <v>30985.119999999999</v>
      </c>
      <c r="M69" s="1"/>
      <c r="N69" s="1">
        <v>0</v>
      </c>
      <c r="O69" s="1"/>
      <c r="P69" s="1">
        <v>9284.8700000000008</v>
      </c>
      <c r="Q69" s="1"/>
      <c r="R69" s="1">
        <v>1636</v>
      </c>
      <c r="S69" s="1"/>
      <c r="T69" s="1">
        <v>0</v>
      </c>
      <c r="U69" s="1"/>
      <c r="V69" s="1">
        <v>0</v>
      </c>
      <c r="W69" s="1"/>
      <c r="X69" s="1">
        <v>0</v>
      </c>
      <c r="Y69" s="1"/>
      <c r="Z69" s="1">
        <v>0</v>
      </c>
      <c r="AA69" s="1"/>
      <c r="AB69" s="1">
        <v>0</v>
      </c>
      <c r="AC69" s="1"/>
      <c r="AD69" s="1">
        <v>0</v>
      </c>
      <c r="AE69" s="4"/>
      <c r="AF69" s="4">
        <f t="shared" si="1"/>
        <v>621284.4</v>
      </c>
      <c r="AI69" s="4"/>
    </row>
    <row r="70" spans="1:64">
      <c r="A70" s="4">
        <v>10</v>
      </c>
      <c r="B70" s="3" t="s">
        <v>118</v>
      </c>
      <c r="D70" s="3" t="s">
        <v>42</v>
      </c>
      <c r="F70" s="4">
        <v>364796</v>
      </c>
      <c r="G70" s="4"/>
      <c r="H70" s="4">
        <v>105063</v>
      </c>
      <c r="I70" s="4"/>
      <c r="J70" s="4">
        <v>46807</v>
      </c>
      <c r="K70" s="4"/>
      <c r="L70" s="4">
        <v>38015</v>
      </c>
      <c r="M70" s="4"/>
      <c r="N70" s="4">
        <v>0</v>
      </c>
      <c r="O70" s="4"/>
      <c r="P70" s="4">
        <v>20675</v>
      </c>
      <c r="Q70" s="4"/>
      <c r="R70" s="4">
        <v>6270</v>
      </c>
      <c r="S70" s="4"/>
      <c r="T70" s="4">
        <v>11615</v>
      </c>
      <c r="U70" s="4"/>
      <c r="V70" s="4">
        <v>0</v>
      </c>
      <c r="W70" s="4"/>
      <c r="X70" s="4">
        <v>0</v>
      </c>
      <c r="Y70" s="4"/>
      <c r="Z70" s="4">
        <v>0</v>
      </c>
      <c r="AA70" s="4"/>
      <c r="AB70" s="4">
        <v>0</v>
      </c>
      <c r="AC70" s="4"/>
      <c r="AD70" s="4">
        <v>0</v>
      </c>
      <c r="AE70" s="4"/>
      <c r="AF70" s="4">
        <f t="shared" si="1"/>
        <v>593241</v>
      </c>
      <c r="AI70" s="4"/>
    </row>
    <row r="71" spans="1:64">
      <c r="A71" s="4">
        <v>45</v>
      </c>
      <c r="B71" s="3" t="s">
        <v>119</v>
      </c>
      <c r="D71" s="3" t="s">
        <v>120</v>
      </c>
      <c r="F71" s="4">
        <v>702886</v>
      </c>
      <c r="G71" s="4"/>
      <c r="H71" s="4">
        <v>216010</v>
      </c>
      <c r="I71" s="4"/>
      <c r="J71" s="4">
        <v>168236</v>
      </c>
      <c r="K71" s="4"/>
      <c r="L71" s="4">
        <v>124096</v>
      </c>
      <c r="M71" s="4"/>
      <c r="N71" s="4">
        <v>0</v>
      </c>
      <c r="O71" s="4"/>
      <c r="P71" s="4">
        <v>20908</v>
      </c>
      <c r="Q71" s="4"/>
      <c r="R71" s="4">
        <v>4376</v>
      </c>
      <c r="S71" s="4"/>
      <c r="T71" s="4">
        <v>904</v>
      </c>
      <c r="U71" s="4"/>
      <c r="V71" s="4">
        <v>0</v>
      </c>
      <c r="W71" s="4"/>
      <c r="X71" s="4">
        <v>0</v>
      </c>
      <c r="Y71" s="4"/>
      <c r="Z71" s="4">
        <v>55953</v>
      </c>
      <c r="AA71" s="4"/>
      <c r="AB71" s="4">
        <v>0</v>
      </c>
      <c r="AC71" s="4"/>
      <c r="AD71" s="4">
        <v>0</v>
      </c>
      <c r="AE71" s="4"/>
      <c r="AF71" s="4">
        <f t="shared" si="1"/>
        <v>1293369</v>
      </c>
      <c r="AI71" s="4"/>
    </row>
    <row r="72" spans="1:64">
      <c r="A72" s="4">
        <v>47</v>
      </c>
      <c r="B72" s="18" t="s">
        <v>121</v>
      </c>
      <c r="C72" s="18"/>
      <c r="D72" s="18" t="s">
        <v>452</v>
      </c>
      <c r="E72" s="18"/>
      <c r="F72" s="1">
        <v>219476.42</v>
      </c>
      <c r="G72" s="49"/>
      <c r="H72" s="1">
        <v>37084.199999999997</v>
      </c>
      <c r="I72" s="1"/>
      <c r="J72" s="1">
        <v>85887.61</v>
      </c>
      <c r="K72" s="1"/>
      <c r="L72" s="1">
        <v>92716.63</v>
      </c>
      <c r="M72" s="1"/>
      <c r="N72" s="1">
        <v>0</v>
      </c>
      <c r="O72" s="1"/>
      <c r="P72" s="1">
        <v>20085.650000000001</v>
      </c>
      <c r="Q72" s="1"/>
      <c r="R72" s="1">
        <v>2619.88</v>
      </c>
      <c r="S72" s="1"/>
      <c r="T72" s="1">
        <v>3990.03</v>
      </c>
      <c r="U72" s="1"/>
      <c r="V72" s="1">
        <v>0</v>
      </c>
      <c r="W72" s="1"/>
      <c r="X72" s="1">
        <v>0</v>
      </c>
      <c r="Y72" s="1"/>
      <c r="Z72" s="1">
        <v>0</v>
      </c>
      <c r="AA72" s="1"/>
      <c r="AB72" s="1">
        <v>0</v>
      </c>
      <c r="AC72" s="1"/>
      <c r="AD72" s="1">
        <v>0</v>
      </c>
      <c r="AE72" s="18"/>
      <c r="AF72" s="4">
        <f t="shared" ref="AF72:AF85" si="3">SUM(F72:AD72)</f>
        <v>461860.42000000004</v>
      </c>
      <c r="AI72" s="4"/>
    </row>
    <row r="73" spans="1:64">
      <c r="A73" s="4">
        <v>51</v>
      </c>
      <c r="B73" s="3" t="s">
        <v>543</v>
      </c>
      <c r="D73" s="3" t="s">
        <v>19</v>
      </c>
      <c r="F73" s="4">
        <f>3213683+12815616</f>
        <v>16029299</v>
      </c>
      <c r="G73" s="4"/>
      <c r="H73" s="4">
        <v>0</v>
      </c>
      <c r="I73" s="4"/>
      <c r="J73" s="4">
        <v>0</v>
      </c>
      <c r="K73" s="4"/>
      <c r="L73" s="4">
        <v>40929079</v>
      </c>
      <c r="M73" s="4"/>
      <c r="N73" s="4">
        <v>5584429</v>
      </c>
      <c r="O73" s="4"/>
      <c r="P73" s="4">
        <v>0</v>
      </c>
      <c r="Q73" s="4"/>
      <c r="R73" s="4">
        <v>0</v>
      </c>
      <c r="S73" s="4"/>
      <c r="T73" s="4">
        <v>994936</v>
      </c>
      <c r="U73" s="4"/>
      <c r="V73" s="4">
        <v>0</v>
      </c>
      <c r="W73" s="4"/>
      <c r="X73" s="4">
        <v>0</v>
      </c>
      <c r="Y73" s="4"/>
      <c r="Z73" s="4">
        <v>10125000</v>
      </c>
      <c r="AA73" s="4"/>
      <c r="AB73" s="4">
        <v>0</v>
      </c>
      <c r="AC73" s="4"/>
      <c r="AD73" s="4">
        <v>0</v>
      </c>
      <c r="AE73" s="4"/>
      <c r="AF73" s="4">
        <f t="shared" si="3"/>
        <v>73662743</v>
      </c>
      <c r="AG73" s="31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4"/>
    </row>
    <row r="74" spans="1:64">
      <c r="A74" s="4"/>
      <c r="B74" s="4" t="s">
        <v>566</v>
      </c>
      <c r="C74" s="4"/>
      <c r="D74" s="4" t="s">
        <v>22</v>
      </c>
      <c r="F74" s="4">
        <v>1121219</v>
      </c>
      <c r="G74" s="4"/>
      <c r="H74" s="4">
        <v>298532</v>
      </c>
      <c r="I74" s="4"/>
      <c r="J74" s="4">
        <v>294164</v>
      </c>
      <c r="K74" s="4"/>
      <c r="L74" s="4">
        <v>422882</v>
      </c>
      <c r="M74" s="4"/>
      <c r="N74" s="4">
        <v>0</v>
      </c>
      <c r="O74" s="4"/>
      <c r="P74" s="4">
        <v>49626</v>
      </c>
      <c r="Q74" s="4"/>
      <c r="R74" s="4">
        <v>19178</v>
      </c>
      <c r="S74" s="4"/>
      <c r="T74" s="4">
        <v>54546</v>
      </c>
      <c r="U74" s="4"/>
      <c r="V74" s="4">
        <v>0</v>
      </c>
      <c r="W74" s="4"/>
      <c r="X74" s="4">
        <v>0</v>
      </c>
      <c r="Y74" s="4"/>
      <c r="Z74" s="4">
        <v>0</v>
      </c>
      <c r="AA74" s="4"/>
      <c r="AB74" s="4">
        <v>0</v>
      </c>
      <c r="AC74" s="4"/>
      <c r="AD74" s="4">
        <v>0</v>
      </c>
      <c r="AE74" s="4"/>
      <c r="AF74" s="4">
        <f t="shared" si="3"/>
        <v>2260147</v>
      </c>
      <c r="AG74" s="31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4"/>
    </row>
    <row r="75" spans="1:64">
      <c r="A75" s="4">
        <v>169</v>
      </c>
      <c r="B75" s="3" t="s">
        <v>122</v>
      </c>
      <c r="D75" s="3" t="s">
        <v>54</v>
      </c>
      <c r="F75" s="4">
        <f>5730793+2827064</f>
        <v>8557857</v>
      </c>
      <c r="G75" s="4"/>
      <c r="H75" s="4">
        <v>0</v>
      </c>
      <c r="I75" s="4"/>
      <c r="J75" s="4">
        <v>0</v>
      </c>
      <c r="K75" s="4"/>
      <c r="L75" s="4">
        <f>16761226+890633</f>
        <v>17651859</v>
      </c>
      <c r="M75" s="4"/>
      <c r="N75" s="4">
        <v>493175</v>
      </c>
      <c r="O75" s="4"/>
      <c r="P75" s="4">
        <v>0</v>
      </c>
      <c r="Q75" s="4"/>
      <c r="R75" s="4">
        <v>0</v>
      </c>
      <c r="S75" s="4"/>
      <c r="T75" s="4">
        <v>416485</v>
      </c>
      <c r="U75" s="4"/>
      <c r="V75" s="4">
        <v>0</v>
      </c>
      <c r="W75" s="4"/>
      <c r="X75" s="4">
        <v>0</v>
      </c>
      <c r="Y75" s="4"/>
      <c r="Z75" s="4">
        <v>134294</v>
      </c>
      <c r="AA75" s="4"/>
      <c r="AB75" s="4">
        <v>0</v>
      </c>
      <c r="AC75" s="4"/>
      <c r="AD75" s="4">
        <v>0</v>
      </c>
      <c r="AE75" s="4"/>
      <c r="AF75" s="4">
        <f t="shared" si="3"/>
        <v>27253670</v>
      </c>
    </row>
    <row r="76" spans="1:64">
      <c r="A76" s="4">
        <v>62</v>
      </c>
      <c r="B76" s="3" t="s">
        <v>123</v>
      </c>
      <c r="D76" s="3" t="s">
        <v>124</v>
      </c>
      <c r="F76" s="4">
        <v>818114</v>
      </c>
      <c r="G76" s="4"/>
      <c r="H76" s="4">
        <v>212141</v>
      </c>
      <c r="I76" s="4"/>
      <c r="J76" s="4">
        <v>292100</v>
      </c>
      <c r="K76" s="4"/>
      <c r="L76" s="4">
        <v>191623</v>
      </c>
      <c r="M76" s="4"/>
      <c r="N76" s="4">
        <v>0</v>
      </c>
      <c r="O76" s="4"/>
      <c r="P76" s="4">
        <v>37505</v>
      </c>
      <c r="Q76" s="4"/>
      <c r="R76" s="4">
        <v>9836</v>
      </c>
      <c r="S76" s="4"/>
      <c r="T76" s="4">
        <v>25354</v>
      </c>
      <c r="U76" s="4"/>
      <c r="V76" s="4">
        <v>0</v>
      </c>
      <c r="W76" s="4"/>
      <c r="X76" s="4">
        <v>0</v>
      </c>
      <c r="Y76" s="4"/>
      <c r="Z76" s="4">
        <v>0</v>
      </c>
      <c r="AA76" s="4"/>
      <c r="AB76" s="4">
        <v>0</v>
      </c>
      <c r="AC76" s="4"/>
      <c r="AD76" s="4">
        <v>0</v>
      </c>
      <c r="AE76" s="4"/>
      <c r="AF76" s="4">
        <f t="shared" si="3"/>
        <v>1586673</v>
      </c>
      <c r="AI76" s="4"/>
    </row>
    <row r="77" spans="1:64">
      <c r="A77" s="4">
        <v>64</v>
      </c>
      <c r="B77" s="3" t="s">
        <v>125</v>
      </c>
      <c r="D77" s="3" t="s">
        <v>69</v>
      </c>
      <c r="F77" s="4">
        <v>1602781</v>
      </c>
      <c r="G77" s="4"/>
      <c r="H77" s="4">
        <v>0</v>
      </c>
      <c r="I77" s="4"/>
      <c r="J77" s="4">
        <v>288141</v>
      </c>
      <c r="K77" s="4"/>
      <c r="L77" s="4">
        <v>284699</v>
      </c>
      <c r="M77" s="4"/>
      <c r="N77" s="4">
        <v>0</v>
      </c>
      <c r="O77" s="4"/>
      <c r="P77" s="4">
        <v>68392</v>
      </c>
      <c r="Q77" s="4"/>
      <c r="R77" s="4">
        <v>0</v>
      </c>
      <c r="S77" s="4"/>
      <c r="T77" s="4">
        <v>29844</v>
      </c>
      <c r="U77" s="4"/>
      <c r="V77" s="4">
        <v>0</v>
      </c>
      <c r="W77" s="4"/>
      <c r="X77" s="4">
        <v>0</v>
      </c>
      <c r="Y77" s="4"/>
      <c r="Z77" s="4">
        <v>0</v>
      </c>
      <c r="AA77" s="4"/>
      <c r="AB77" s="4">
        <v>0</v>
      </c>
      <c r="AC77" s="4"/>
      <c r="AD77" s="4">
        <v>0</v>
      </c>
      <c r="AE77" s="4"/>
      <c r="AF77" s="4">
        <f t="shared" si="3"/>
        <v>2273857</v>
      </c>
    </row>
    <row r="78" spans="1:64">
      <c r="A78" s="4">
        <v>4</v>
      </c>
      <c r="B78" s="3" t="s">
        <v>126</v>
      </c>
      <c r="D78" s="3" t="s">
        <v>96</v>
      </c>
      <c r="F78" s="1">
        <v>264206.65000000002</v>
      </c>
      <c r="G78" s="49"/>
      <c r="H78" s="1">
        <v>41166.339999999997</v>
      </c>
      <c r="I78" s="1"/>
      <c r="J78" s="1">
        <v>63535.22</v>
      </c>
      <c r="K78" s="1"/>
      <c r="L78" s="1">
        <v>111124.83</v>
      </c>
      <c r="M78" s="1"/>
      <c r="N78" s="1">
        <v>0</v>
      </c>
      <c r="O78" s="1"/>
      <c r="P78" s="1">
        <v>21596.3</v>
      </c>
      <c r="Q78" s="1"/>
      <c r="R78" s="1">
        <v>4869</v>
      </c>
      <c r="S78" s="1"/>
      <c r="T78" s="1">
        <v>0</v>
      </c>
      <c r="U78" s="1"/>
      <c r="V78" s="1">
        <v>0</v>
      </c>
      <c r="W78" s="1"/>
      <c r="X78" s="1">
        <v>0</v>
      </c>
      <c r="Y78" s="1"/>
      <c r="Z78" s="1">
        <v>0</v>
      </c>
      <c r="AA78" s="1"/>
      <c r="AB78" s="1">
        <v>0</v>
      </c>
      <c r="AC78" s="1"/>
      <c r="AD78" s="1">
        <v>0</v>
      </c>
      <c r="AE78" s="4"/>
      <c r="AF78" s="4">
        <f t="shared" si="3"/>
        <v>506498.33999999997</v>
      </c>
      <c r="AI78" s="4"/>
    </row>
    <row r="79" spans="1:64">
      <c r="A79" s="4">
        <v>83</v>
      </c>
      <c r="B79" s="3" t="s">
        <v>127</v>
      </c>
      <c r="D79" s="3" t="s">
        <v>41</v>
      </c>
      <c r="F79" s="1">
        <v>262688.07</v>
      </c>
      <c r="G79" s="49"/>
      <c r="H79" s="1">
        <v>49457.599999999999</v>
      </c>
      <c r="I79" s="1"/>
      <c r="J79" s="1">
        <v>46489.440000000002</v>
      </c>
      <c r="K79" s="1"/>
      <c r="L79" s="1">
        <v>62701.7</v>
      </c>
      <c r="M79" s="1"/>
      <c r="N79" s="1">
        <v>0</v>
      </c>
      <c r="O79" s="1"/>
      <c r="P79" s="1">
        <v>11116.77</v>
      </c>
      <c r="Q79" s="1"/>
      <c r="R79" s="1">
        <v>3120</v>
      </c>
      <c r="S79" s="1"/>
      <c r="T79" s="1">
        <v>17574</v>
      </c>
      <c r="U79" s="1"/>
      <c r="V79" s="1">
        <v>0</v>
      </c>
      <c r="W79" s="1"/>
      <c r="X79" s="1">
        <v>0</v>
      </c>
      <c r="Y79" s="1"/>
      <c r="Z79" s="1">
        <v>0</v>
      </c>
      <c r="AA79" s="1"/>
      <c r="AB79" s="1">
        <v>0</v>
      </c>
      <c r="AC79" s="1"/>
      <c r="AD79" s="1">
        <v>0</v>
      </c>
      <c r="AE79" s="4"/>
      <c r="AF79" s="4">
        <f t="shared" si="3"/>
        <v>453147.58</v>
      </c>
      <c r="AI79" s="4"/>
    </row>
    <row r="80" spans="1:64">
      <c r="A80" s="4">
        <v>258</v>
      </c>
      <c r="B80" s="3" t="s">
        <v>128</v>
      </c>
      <c r="D80" s="3" t="s">
        <v>62</v>
      </c>
      <c r="F80" s="4">
        <v>162053</v>
      </c>
      <c r="G80" s="4"/>
      <c r="H80" s="4">
        <v>78564</v>
      </c>
      <c r="I80" s="4"/>
      <c r="J80" s="4">
        <v>33585</v>
      </c>
      <c r="K80" s="4"/>
      <c r="L80" s="4">
        <v>32000</v>
      </c>
      <c r="M80" s="4"/>
      <c r="N80" s="4">
        <v>0</v>
      </c>
      <c r="O80" s="4"/>
      <c r="P80" s="4">
        <v>4467</v>
      </c>
      <c r="Q80" s="4"/>
      <c r="R80" s="4">
        <v>9716</v>
      </c>
      <c r="S80" s="4"/>
      <c r="T80" s="4">
        <v>1450</v>
      </c>
      <c r="U80" s="4"/>
      <c r="V80" s="4">
        <v>0</v>
      </c>
      <c r="W80" s="4"/>
      <c r="X80" s="4">
        <v>0</v>
      </c>
      <c r="Y80" s="4"/>
      <c r="Z80" s="4">
        <v>0</v>
      </c>
      <c r="AA80" s="4"/>
      <c r="AB80" s="4">
        <v>0</v>
      </c>
      <c r="AC80" s="4"/>
      <c r="AD80" s="4">
        <v>0</v>
      </c>
      <c r="AE80" s="4"/>
      <c r="AF80" s="4">
        <f t="shared" si="3"/>
        <v>321835</v>
      </c>
      <c r="AI80" s="4"/>
    </row>
    <row r="81" spans="1:64">
      <c r="A81" s="4">
        <v>232</v>
      </c>
      <c r="B81" s="3" t="s">
        <v>129</v>
      </c>
      <c r="D81" s="3" t="s">
        <v>26</v>
      </c>
      <c r="F81" s="4">
        <v>410357</v>
      </c>
      <c r="G81" s="4"/>
      <c r="H81" s="4">
        <v>80215</v>
      </c>
      <c r="I81" s="4"/>
      <c r="J81" s="4">
        <v>76497</v>
      </c>
      <c r="K81" s="4"/>
      <c r="L81" s="4">
        <v>114475</v>
      </c>
      <c r="M81" s="4"/>
      <c r="N81" s="4">
        <v>0</v>
      </c>
      <c r="O81" s="4"/>
      <c r="P81" s="4">
        <v>12495</v>
      </c>
      <c r="Q81" s="4"/>
      <c r="R81" s="4">
        <v>5133</v>
      </c>
      <c r="S81" s="4"/>
      <c r="T81" s="4">
        <v>3389</v>
      </c>
      <c r="U81" s="4"/>
      <c r="V81" s="4">
        <v>0</v>
      </c>
      <c r="W81" s="4"/>
      <c r="X81" s="4">
        <v>0</v>
      </c>
      <c r="Y81" s="4"/>
      <c r="Z81" s="4">
        <v>0</v>
      </c>
      <c r="AA81" s="4"/>
      <c r="AB81" s="4">
        <v>0</v>
      </c>
      <c r="AC81" s="4"/>
      <c r="AD81" s="4">
        <v>0</v>
      </c>
      <c r="AE81" s="4"/>
      <c r="AF81" s="4">
        <f t="shared" si="3"/>
        <v>702561</v>
      </c>
      <c r="AI81" s="4"/>
    </row>
    <row r="82" spans="1:64">
      <c r="A82" s="4">
        <v>88</v>
      </c>
      <c r="B82" s="3" t="s">
        <v>333</v>
      </c>
      <c r="D82" s="3" t="s">
        <v>130</v>
      </c>
      <c r="F82" s="1">
        <v>526010.73</v>
      </c>
      <c r="G82" s="49"/>
      <c r="H82" s="1">
        <v>171666.38</v>
      </c>
      <c r="I82" s="1"/>
      <c r="J82" s="1">
        <v>114859.65</v>
      </c>
      <c r="K82" s="1"/>
      <c r="L82" s="1">
        <v>188038.7</v>
      </c>
      <c r="M82" s="1"/>
      <c r="N82" s="1">
        <v>0</v>
      </c>
      <c r="O82" s="1"/>
      <c r="P82" s="1">
        <v>34114.480000000003</v>
      </c>
      <c r="Q82" s="1"/>
      <c r="R82" s="1">
        <v>7073.27</v>
      </c>
      <c r="S82" s="1"/>
      <c r="T82" s="1">
        <v>14448.03</v>
      </c>
      <c r="U82" s="1"/>
      <c r="V82" s="1">
        <v>0</v>
      </c>
      <c r="W82" s="1"/>
      <c r="X82" s="1">
        <v>0</v>
      </c>
      <c r="Y82" s="1"/>
      <c r="Z82" s="1">
        <v>250000</v>
      </c>
      <c r="AA82" s="1"/>
      <c r="AB82" s="1">
        <v>0</v>
      </c>
      <c r="AC82" s="1"/>
      <c r="AD82" s="1">
        <v>0</v>
      </c>
      <c r="AE82" s="4"/>
      <c r="AF82" s="4">
        <f t="shared" si="3"/>
        <v>1306211.24</v>
      </c>
      <c r="AG82" s="31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4"/>
    </row>
    <row r="83" spans="1:64">
      <c r="A83" s="4">
        <v>138</v>
      </c>
      <c r="B83" s="18" t="s">
        <v>131</v>
      </c>
      <c r="C83" s="18"/>
      <c r="D83" s="18" t="s">
        <v>86</v>
      </c>
      <c r="E83" s="18"/>
      <c r="F83" s="4">
        <v>27764</v>
      </c>
      <c r="G83" s="18"/>
      <c r="H83" s="4">
        <v>3671</v>
      </c>
      <c r="I83" s="18"/>
      <c r="J83" s="4">
        <v>11100</v>
      </c>
      <c r="K83" s="18"/>
      <c r="L83" s="4">
        <v>11023</v>
      </c>
      <c r="M83" s="18"/>
      <c r="N83" s="4">
        <v>0</v>
      </c>
      <c r="O83" s="18"/>
      <c r="P83" s="4">
        <v>2462</v>
      </c>
      <c r="Q83" s="18"/>
      <c r="R83" s="4">
        <v>12409</v>
      </c>
      <c r="S83" s="18"/>
      <c r="T83" s="4">
        <v>0</v>
      </c>
      <c r="U83" s="18"/>
      <c r="V83" s="4">
        <v>0</v>
      </c>
      <c r="W83" s="18"/>
      <c r="X83" s="4">
        <v>0</v>
      </c>
      <c r="Y83" s="18"/>
      <c r="Z83" s="4">
        <v>0</v>
      </c>
      <c r="AA83" s="18"/>
      <c r="AB83" s="4">
        <v>0</v>
      </c>
      <c r="AC83" s="18"/>
      <c r="AD83" s="4">
        <v>0</v>
      </c>
      <c r="AE83" s="18"/>
      <c r="AF83" s="4">
        <f t="shared" si="3"/>
        <v>68429</v>
      </c>
    </row>
    <row r="84" spans="1:64">
      <c r="A84" s="4">
        <v>52</v>
      </c>
      <c r="B84" s="18" t="s">
        <v>426</v>
      </c>
      <c r="C84" s="18"/>
      <c r="D84" s="18" t="s">
        <v>453</v>
      </c>
      <c r="E84" s="18"/>
      <c r="F84" s="1">
        <v>1607130.53</v>
      </c>
      <c r="G84" s="49"/>
      <c r="H84" s="1">
        <v>585201.11</v>
      </c>
      <c r="I84" s="1"/>
      <c r="J84" s="1">
        <v>542998.88</v>
      </c>
      <c r="K84" s="1"/>
      <c r="L84" s="1">
        <v>107074.77</v>
      </c>
      <c r="M84" s="1"/>
      <c r="N84" s="1">
        <v>0</v>
      </c>
      <c r="O84" s="1"/>
      <c r="P84" s="1">
        <v>44439.22</v>
      </c>
      <c r="Q84" s="1"/>
      <c r="R84" s="1">
        <v>28455.41</v>
      </c>
      <c r="S84" s="1"/>
      <c r="T84" s="1">
        <v>18527.03</v>
      </c>
      <c r="U84" s="1"/>
      <c r="V84" s="1">
        <v>0</v>
      </c>
      <c r="W84" s="1"/>
      <c r="X84" s="1">
        <v>0</v>
      </c>
      <c r="Y84" s="1"/>
      <c r="Z84" s="1">
        <v>0</v>
      </c>
      <c r="AA84" s="1"/>
      <c r="AB84" s="1">
        <v>0</v>
      </c>
      <c r="AC84" s="1"/>
      <c r="AD84" s="1">
        <v>0</v>
      </c>
      <c r="AE84" s="18"/>
      <c r="AF84" s="4">
        <f t="shared" si="3"/>
        <v>2933826.95</v>
      </c>
    </row>
    <row r="85" spans="1:64">
      <c r="A85" s="4">
        <v>39</v>
      </c>
      <c r="B85" s="4" t="s">
        <v>514</v>
      </c>
      <c r="D85" s="3" t="s">
        <v>50</v>
      </c>
      <c r="F85" s="1">
        <v>349108.39</v>
      </c>
      <c r="G85" s="49"/>
      <c r="H85" s="1">
        <v>183953.66</v>
      </c>
      <c r="I85" s="1"/>
      <c r="J85" s="1">
        <v>59737.3</v>
      </c>
      <c r="K85" s="1"/>
      <c r="L85" s="1">
        <v>78613.72</v>
      </c>
      <c r="M85" s="1"/>
      <c r="N85" s="1">
        <v>0</v>
      </c>
      <c r="O85" s="1"/>
      <c r="P85" s="1">
        <v>7270.92</v>
      </c>
      <c r="Q85" s="1"/>
      <c r="R85" s="1">
        <v>8564.48</v>
      </c>
      <c r="S85" s="1"/>
      <c r="T85" s="1">
        <v>1635.3</v>
      </c>
      <c r="U85" s="1"/>
      <c r="V85" s="1">
        <v>0</v>
      </c>
      <c r="W85" s="1"/>
      <c r="X85" s="1">
        <v>0</v>
      </c>
      <c r="Y85" s="1"/>
      <c r="Z85" s="1">
        <v>0</v>
      </c>
      <c r="AA85" s="1"/>
      <c r="AB85" s="1">
        <v>0</v>
      </c>
      <c r="AC85" s="1"/>
      <c r="AD85" s="1">
        <v>0</v>
      </c>
      <c r="AE85" s="4"/>
      <c r="AF85" s="4">
        <f t="shared" si="3"/>
        <v>688883.77000000014</v>
      </c>
    </row>
    <row r="86" spans="1:64">
      <c r="A86" s="4"/>
      <c r="F86" s="1"/>
      <c r="G86" s="49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4"/>
      <c r="AF86" s="4"/>
    </row>
    <row r="87" spans="1:64" ht="14.25" customHeight="1">
      <c r="A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31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4"/>
    </row>
    <row r="88" spans="1:64">
      <c r="B88" s="3" t="s">
        <v>492</v>
      </c>
    </row>
    <row r="89" spans="1:64">
      <c r="B89" s="3" t="s">
        <v>565</v>
      </c>
    </row>
    <row r="90" spans="1:64">
      <c r="B90" s="24" t="s">
        <v>7</v>
      </c>
    </row>
    <row r="91" spans="1:64" s="19" customFormat="1">
      <c r="L91" s="19" t="s">
        <v>8</v>
      </c>
    </row>
    <row r="92" spans="1:64" s="19" customFormat="1">
      <c r="H92" s="19" t="s">
        <v>318</v>
      </c>
      <c r="J92" s="19" t="s">
        <v>320</v>
      </c>
      <c r="L92" s="19" t="s">
        <v>502</v>
      </c>
      <c r="N92" s="19" t="s">
        <v>501</v>
      </c>
      <c r="X92" s="19" t="s">
        <v>327</v>
      </c>
      <c r="AD92" s="19" t="s">
        <v>0</v>
      </c>
    </row>
    <row r="93" spans="1:64" s="19" customFormat="1">
      <c r="H93" s="19" t="s">
        <v>319</v>
      </c>
      <c r="J93" s="19" t="s">
        <v>321</v>
      </c>
      <c r="L93" s="19" t="s">
        <v>322</v>
      </c>
      <c r="N93" s="19" t="s">
        <v>499</v>
      </c>
      <c r="T93" s="19" t="s">
        <v>30</v>
      </c>
      <c r="V93" s="19" t="s">
        <v>325</v>
      </c>
      <c r="X93" s="19" t="s">
        <v>328</v>
      </c>
      <c r="AD93" s="19" t="s">
        <v>293</v>
      </c>
    </row>
    <row r="94" spans="1:64" s="19" customFormat="1" ht="12" customHeight="1">
      <c r="A94" s="19" t="s">
        <v>525</v>
      </c>
      <c r="B94" s="20" t="s">
        <v>8</v>
      </c>
      <c r="D94" s="20" t="s">
        <v>6</v>
      </c>
      <c r="F94" s="20" t="s">
        <v>2</v>
      </c>
      <c r="H94" s="20" t="s">
        <v>3</v>
      </c>
      <c r="J94" s="20" t="s">
        <v>29</v>
      </c>
      <c r="L94" s="20" t="s">
        <v>323</v>
      </c>
      <c r="N94" s="20" t="s">
        <v>500</v>
      </c>
      <c r="P94" s="20" t="s">
        <v>4</v>
      </c>
      <c r="R94" s="20" t="s">
        <v>0</v>
      </c>
      <c r="T94" s="20" t="s">
        <v>324</v>
      </c>
      <c r="V94" s="20" t="s">
        <v>326</v>
      </c>
      <c r="X94" s="20" t="s">
        <v>329</v>
      </c>
      <c r="Z94" s="20" t="s">
        <v>476</v>
      </c>
      <c r="AB94" s="20" t="s">
        <v>477</v>
      </c>
      <c r="AD94" s="20" t="s">
        <v>330</v>
      </c>
      <c r="AF94" s="29" t="s">
        <v>28</v>
      </c>
    </row>
    <row r="95" spans="1:64">
      <c r="A95" s="4">
        <v>40</v>
      </c>
      <c r="B95" s="3" t="s">
        <v>132</v>
      </c>
      <c r="D95" s="3" t="s">
        <v>50</v>
      </c>
      <c r="F95" s="2">
        <v>214455.67999999999</v>
      </c>
      <c r="G95" s="2"/>
      <c r="H95" s="2">
        <v>72261.740000000005</v>
      </c>
      <c r="I95" s="2"/>
      <c r="J95" s="2">
        <v>40802.980000000003</v>
      </c>
      <c r="K95" s="2"/>
      <c r="L95" s="2">
        <v>43797.73</v>
      </c>
      <c r="M95" s="2"/>
      <c r="N95" s="2">
        <v>0</v>
      </c>
      <c r="O95" s="2"/>
      <c r="P95" s="2">
        <v>13383.93</v>
      </c>
      <c r="Q95" s="2"/>
      <c r="R95" s="2">
        <v>451.86</v>
      </c>
      <c r="S95" s="2"/>
      <c r="T95" s="2">
        <v>390.19</v>
      </c>
      <c r="U95" s="2"/>
      <c r="V95" s="2">
        <v>0</v>
      </c>
      <c r="W95" s="2"/>
      <c r="X95" s="2">
        <v>0</v>
      </c>
      <c r="Y95" s="2"/>
      <c r="Z95" s="2">
        <v>0</v>
      </c>
      <c r="AA95" s="2"/>
      <c r="AB95" s="2">
        <v>0</v>
      </c>
      <c r="AC95" s="2"/>
      <c r="AD95" s="2">
        <v>0</v>
      </c>
      <c r="AE95" s="5"/>
      <c r="AF95" s="5">
        <f t="shared" ref="AF95" si="4">SUM(F95:AD95)</f>
        <v>385544.10999999993</v>
      </c>
    </row>
    <row r="96" spans="1:64">
      <c r="A96" s="4">
        <v>155</v>
      </c>
      <c r="B96" s="3" t="s">
        <v>400</v>
      </c>
      <c r="D96" s="3" t="s">
        <v>20</v>
      </c>
      <c r="F96" s="4">
        <f>397126+600433</f>
        <v>997559</v>
      </c>
      <c r="G96" s="4"/>
      <c r="H96" s="4">
        <v>0</v>
      </c>
      <c r="I96" s="4"/>
      <c r="J96" s="4">
        <v>0</v>
      </c>
      <c r="K96" s="4"/>
      <c r="L96" s="4">
        <f>740316+211974</f>
        <v>952290</v>
      </c>
      <c r="M96" s="4"/>
      <c r="N96" s="4">
        <v>208219</v>
      </c>
      <c r="O96" s="4"/>
      <c r="P96" s="4">
        <v>0</v>
      </c>
      <c r="Q96" s="4"/>
      <c r="R96" s="4">
        <v>0</v>
      </c>
      <c r="S96" s="4"/>
      <c r="T96" s="4">
        <v>7036</v>
      </c>
      <c r="U96" s="4"/>
      <c r="V96" s="4">
        <v>0</v>
      </c>
      <c r="W96" s="4"/>
      <c r="X96" s="4">
        <v>0</v>
      </c>
      <c r="Y96" s="4"/>
      <c r="Z96" s="4">
        <v>0</v>
      </c>
      <c r="AA96" s="4"/>
      <c r="AB96" s="4">
        <v>0</v>
      </c>
      <c r="AC96" s="4"/>
      <c r="AD96" s="4">
        <v>0</v>
      </c>
      <c r="AE96" s="4"/>
      <c r="AF96" s="4">
        <f t="shared" ref="AF96" si="5">SUM(F96:AD96)</f>
        <v>2165104</v>
      </c>
    </row>
    <row r="97" spans="1:64" s="5" customFormat="1">
      <c r="A97" s="5">
        <v>142</v>
      </c>
      <c r="B97" s="5" t="s">
        <v>133</v>
      </c>
      <c r="D97" s="5" t="s">
        <v>56</v>
      </c>
      <c r="F97" s="4">
        <v>1928805</v>
      </c>
      <c r="G97" s="4"/>
      <c r="H97" s="4">
        <v>565072</v>
      </c>
      <c r="I97" s="4"/>
      <c r="J97" s="4">
        <v>516286</v>
      </c>
      <c r="K97" s="4"/>
      <c r="L97" s="4">
        <v>409522</v>
      </c>
      <c r="M97" s="4"/>
      <c r="N97" s="4">
        <v>0</v>
      </c>
      <c r="O97" s="4"/>
      <c r="P97" s="4">
        <v>73535</v>
      </c>
      <c r="Q97" s="4"/>
      <c r="R97" s="4">
        <v>16827</v>
      </c>
      <c r="S97" s="4"/>
      <c r="T97" s="4">
        <v>10730</v>
      </c>
      <c r="U97" s="4"/>
      <c r="V97" s="4">
        <v>0</v>
      </c>
      <c r="W97" s="4"/>
      <c r="X97" s="4">
        <v>0</v>
      </c>
      <c r="Y97" s="4"/>
      <c r="Z97" s="4">
        <v>0</v>
      </c>
      <c r="AA97" s="4"/>
      <c r="AB97" s="4">
        <v>0</v>
      </c>
      <c r="AC97" s="4"/>
      <c r="AD97" s="4">
        <v>0</v>
      </c>
      <c r="AE97" s="4"/>
      <c r="AF97" s="4">
        <f t="shared" ref="AF97:AF129" si="6">SUM(F97:AD97)</f>
        <v>3520777</v>
      </c>
      <c r="AG97" s="30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</row>
    <row r="98" spans="1:64">
      <c r="A98" s="4">
        <v>53</v>
      </c>
      <c r="B98" s="3" t="s">
        <v>18</v>
      </c>
      <c r="D98" s="3" t="s">
        <v>19</v>
      </c>
      <c r="F98" s="4">
        <v>3431472</v>
      </c>
      <c r="G98" s="4"/>
      <c r="H98" s="4">
        <v>0</v>
      </c>
      <c r="I98" s="4"/>
      <c r="J98" s="4">
        <v>614544</v>
      </c>
      <c r="K98" s="4"/>
      <c r="L98" s="4">
        <v>799770</v>
      </c>
      <c r="M98" s="4"/>
      <c r="N98" s="4">
        <v>0</v>
      </c>
      <c r="O98" s="4"/>
      <c r="P98" s="4">
        <v>94984</v>
      </c>
      <c r="Q98" s="4"/>
      <c r="R98" s="4">
        <v>14382</v>
      </c>
      <c r="S98" s="4"/>
      <c r="T98" s="4">
        <v>127668</v>
      </c>
      <c r="U98" s="4"/>
      <c r="V98" s="4">
        <v>0</v>
      </c>
      <c r="W98" s="4"/>
      <c r="X98" s="4">
        <v>0</v>
      </c>
      <c r="Y98" s="4"/>
      <c r="Z98" s="4">
        <v>0</v>
      </c>
      <c r="AA98" s="4"/>
      <c r="AB98" s="4">
        <v>0</v>
      </c>
      <c r="AC98" s="4"/>
      <c r="AD98" s="4">
        <v>0</v>
      </c>
      <c r="AE98" s="4"/>
      <c r="AF98" s="4">
        <f t="shared" si="6"/>
        <v>5082820</v>
      </c>
      <c r="AR98" s="3">
        <v>1073.2</v>
      </c>
    </row>
    <row r="99" spans="1:64">
      <c r="A99" s="4">
        <v>84</v>
      </c>
      <c r="B99" s="3" t="s">
        <v>134</v>
      </c>
      <c r="D99" s="3" t="s">
        <v>41</v>
      </c>
      <c r="F99" s="1">
        <v>147493.6</v>
      </c>
      <c r="G99" s="1"/>
      <c r="H99" s="1">
        <v>38146.15</v>
      </c>
      <c r="I99" s="1"/>
      <c r="J99" s="1">
        <v>46510.080000000002</v>
      </c>
      <c r="K99" s="1"/>
      <c r="L99" s="1">
        <v>21840.49</v>
      </c>
      <c r="M99" s="1"/>
      <c r="N99" s="1">
        <v>0</v>
      </c>
      <c r="O99" s="1"/>
      <c r="P99" s="1">
        <v>19363.78</v>
      </c>
      <c r="Q99" s="1"/>
      <c r="R99" s="1">
        <v>3814</v>
      </c>
      <c r="S99" s="1"/>
      <c r="T99" s="1">
        <v>5309.62</v>
      </c>
      <c r="U99" s="1"/>
      <c r="V99" s="1">
        <v>0</v>
      </c>
      <c r="W99" s="1"/>
      <c r="X99" s="1">
        <v>0</v>
      </c>
      <c r="Y99" s="1"/>
      <c r="Z99" s="1">
        <v>0</v>
      </c>
      <c r="AA99" s="1"/>
      <c r="AB99" s="1">
        <v>0</v>
      </c>
      <c r="AC99" s="1"/>
      <c r="AD99" s="1">
        <v>0</v>
      </c>
      <c r="AE99" s="4"/>
      <c r="AF99" s="4">
        <f t="shared" si="6"/>
        <v>282477.71999999997</v>
      </c>
      <c r="AR99" s="3">
        <v>811.54</v>
      </c>
    </row>
    <row r="100" spans="1:64">
      <c r="A100" s="4">
        <v>70</v>
      </c>
      <c r="B100" s="5" t="s">
        <v>408</v>
      </c>
      <c r="C100" s="5"/>
      <c r="D100" s="5" t="s">
        <v>66</v>
      </c>
      <c r="E100" s="5"/>
      <c r="F100" s="4">
        <v>1656782</v>
      </c>
      <c r="G100" s="4"/>
      <c r="H100" s="4">
        <v>490650</v>
      </c>
      <c r="I100" s="4"/>
      <c r="J100" s="4">
        <v>630370</v>
      </c>
      <c r="K100" s="4"/>
      <c r="L100" s="4">
        <v>267987</v>
      </c>
      <c r="M100" s="4"/>
      <c r="N100" s="4">
        <v>0</v>
      </c>
      <c r="O100" s="4"/>
      <c r="P100" s="4">
        <v>70418</v>
      </c>
      <c r="Q100" s="4"/>
      <c r="R100" s="4">
        <v>20980</v>
      </c>
      <c r="S100" s="4"/>
      <c r="T100" s="4">
        <v>12373</v>
      </c>
      <c r="U100" s="4"/>
      <c r="V100" s="4">
        <v>0</v>
      </c>
      <c r="W100" s="4"/>
      <c r="X100" s="4">
        <v>0</v>
      </c>
      <c r="Y100" s="4"/>
      <c r="Z100" s="4">
        <v>71000</v>
      </c>
      <c r="AA100" s="4"/>
      <c r="AB100" s="4">
        <v>0</v>
      </c>
      <c r="AC100" s="4"/>
      <c r="AD100" s="4">
        <v>0</v>
      </c>
      <c r="AE100" s="4"/>
      <c r="AF100" s="4">
        <f t="shared" si="6"/>
        <v>3220560</v>
      </c>
      <c r="AG100" s="31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4"/>
    </row>
    <row r="101" spans="1:64">
      <c r="A101" s="4">
        <v>123</v>
      </c>
      <c r="B101" s="3" t="s">
        <v>135</v>
      </c>
      <c r="D101" s="3" t="s">
        <v>15</v>
      </c>
      <c r="F101" s="4">
        <v>206081</v>
      </c>
      <c r="G101" s="4"/>
      <c r="H101" s="4">
        <v>59702</v>
      </c>
      <c r="I101" s="4"/>
      <c r="J101" s="4">
        <v>47785</v>
      </c>
      <c r="K101" s="4"/>
      <c r="L101" s="4">
        <v>60340</v>
      </c>
      <c r="M101" s="4"/>
      <c r="N101" s="4">
        <v>0</v>
      </c>
      <c r="O101" s="4"/>
      <c r="P101" s="4">
        <v>11012</v>
      </c>
      <c r="Q101" s="4"/>
      <c r="R101" s="4">
        <v>1431</v>
      </c>
      <c r="S101" s="4"/>
      <c r="T101" s="4">
        <v>1514</v>
      </c>
      <c r="U101" s="4"/>
      <c r="V101" s="4">
        <v>0</v>
      </c>
      <c r="W101" s="4"/>
      <c r="X101" s="4">
        <v>0</v>
      </c>
      <c r="Y101" s="4"/>
      <c r="Z101" s="4">
        <v>0</v>
      </c>
      <c r="AA101" s="4"/>
      <c r="AB101" s="4">
        <v>0</v>
      </c>
      <c r="AC101" s="4"/>
      <c r="AD101" s="4">
        <v>0</v>
      </c>
      <c r="AE101" s="4"/>
      <c r="AF101" s="4">
        <f t="shared" si="6"/>
        <v>387865</v>
      </c>
      <c r="AR101" s="3">
        <v>2070.62</v>
      </c>
    </row>
    <row r="102" spans="1:64">
      <c r="A102" s="4">
        <v>93</v>
      </c>
      <c r="B102" s="3" t="s">
        <v>544</v>
      </c>
      <c r="D102" s="3" t="s">
        <v>137</v>
      </c>
      <c r="F102" s="1">
        <v>1165952.9099999999</v>
      </c>
      <c r="G102" s="1"/>
      <c r="H102" s="1">
        <v>438818.05</v>
      </c>
      <c r="I102" s="1"/>
      <c r="J102" s="1">
        <v>316092.59999999998</v>
      </c>
      <c r="K102" s="1"/>
      <c r="L102" s="1">
        <v>238809.73</v>
      </c>
      <c r="M102" s="1"/>
      <c r="N102" s="1">
        <v>0</v>
      </c>
      <c r="O102" s="1"/>
      <c r="P102" s="1">
        <v>86786.25</v>
      </c>
      <c r="Q102" s="1"/>
      <c r="R102" s="1">
        <v>85840.48</v>
      </c>
      <c r="S102" s="1"/>
      <c r="T102" s="1">
        <v>86621.06</v>
      </c>
      <c r="U102" s="1"/>
      <c r="V102" s="1">
        <v>0</v>
      </c>
      <c r="W102" s="1"/>
      <c r="X102" s="1">
        <v>26575</v>
      </c>
      <c r="Y102" s="1"/>
      <c r="Z102" s="1">
        <v>362228.92</v>
      </c>
      <c r="AA102" s="1"/>
      <c r="AB102" s="1">
        <v>0</v>
      </c>
      <c r="AC102" s="1"/>
      <c r="AD102" s="1">
        <v>0</v>
      </c>
      <c r="AE102" s="4"/>
      <c r="AF102" s="4">
        <f t="shared" si="6"/>
        <v>2807725</v>
      </c>
    </row>
    <row r="103" spans="1:64">
      <c r="A103" s="4">
        <v>93</v>
      </c>
      <c r="B103" s="3" t="s">
        <v>356</v>
      </c>
      <c r="D103" s="3" t="s">
        <v>464</v>
      </c>
      <c r="F103" s="1">
        <v>494366.4</v>
      </c>
      <c r="G103" s="1"/>
      <c r="H103" s="1">
        <v>180135.07</v>
      </c>
      <c r="I103" s="1"/>
      <c r="J103" s="1">
        <v>310648.67</v>
      </c>
      <c r="K103" s="1"/>
      <c r="L103" s="1">
        <v>93169.93</v>
      </c>
      <c r="M103" s="1"/>
      <c r="N103" s="1"/>
      <c r="O103" s="1"/>
      <c r="P103" s="1">
        <v>20511.23</v>
      </c>
      <c r="Q103" s="1"/>
      <c r="R103" s="1">
        <v>104.5</v>
      </c>
      <c r="S103" s="1"/>
      <c r="T103" s="1">
        <v>4166.62</v>
      </c>
      <c r="U103" s="1"/>
      <c r="V103" s="1">
        <v>0</v>
      </c>
      <c r="W103" s="1"/>
      <c r="X103" s="1">
        <v>0</v>
      </c>
      <c r="Y103" s="1"/>
      <c r="Z103" s="1">
        <v>0</v>
      </c>
      <c r="AA103" s="1"/>
      <c r="AB103" s="1">
        <v>0</v>
      </c>
      <c r="AC103" s="1"/>
      <c r="AD103" s="1">
        <v>0</v>
      </c>
      <c r="AE103" s="4"/>
      <c r="AF103" s="4">
        <f t="shared" ref="AF103" si="7">SUM(F103:AD103)</f>
        <v>1103102.42</v>
      </c>
    </row>
    <row r="104" spans="1:64">
      <c r="A104" s="4">
        <v>97</v>
      </c>
      <c r="B104" s="3" t="s">
        <v>138</v>
      </c>
      <c r="D104" s="3" t="s">
        <v>60</v>
      </c>
      <c r="F104" s="1">
        <v>47910.94</v>
      </c>
      <c r="G104" s="1"/>
      <c r="H104" s="1">
        <v>13372.6</v>
      </c>
      <c r="I104" s="1"/>
      <c r="J104" s="1">
        <v>28404.33</v>
      </c>
      <c r="K104" s="1"/>
      <c r="L104" s="1">
        <v>16370.55</v>
      </c>
      <c r="M104" s="1"/>
      <c r="N104" s="1">
        <v>0</v>
      </c>
      <c r="O104" s="1"/>
      <c r="P104" s="1">
        <v>2918.1</v>
      </c>
      <c r="Q104" s="1"/>
      <c r="R104" s="1">
        <v>1305</v>
      </c>
      <c r="S104" s="1"/>
      <c r="T104" s="1">
        <v>149</v>
      </c>
      <c r="U104" s="1"/>
      <c r="V104" s="1">
        <v>0</v>
      </c>
      <c r="W104" s="1"/>
      <c r="X104" s="1">
        <v>0</v>
      </c>
      <c r="Y104" s="1"/>
      <c r="Z104" s="1">
        <v>0</v>
      </c>
      <c r="AA104" s="1"/>
      <c r="AB104" s="1">
        <v>0</v>
      </c>
      <c r="AC104" s="1"/>
      <c r="AD104" s="1">
        <v>0</v>
      </c>
      <c r="AE104" s="4"/>
      <c r="AF104" s="4">
        <f t="shared" si="6"/>
        <v>110430.52</v>
      </c>
    </row>
    <row r="105" spans="1:64">
      <c r="A105" s="4">
        <v>159</v>
      </c>
      <c r="B105" s="3" t="s">
        <v>139</v>
      </c>
      <c r="D105" s="3" t="s">
        <v>49</v>
      </c>
      <c r="F105" s="4">
        <v>56393</v>
      </c>
      <c r="G105" s="4"/>
      <c r="H105" s="4">
        <v>8541</v>
      </c>
      <c r="I105" s="4"/>
      <c r="J105" s="4">
        <v>16443</v>
      </c>
      <c r="K105" s="4"/>
      <c r="L105" s="4">
        <v>18765</v>
      </c>
      <c r="M105" s="4"/>
      <c r="N105" s="4">
        <v>0</v>
      </c>
      <c r="O105" s="4"/>
      <c r="P105" s="4">
        <v>4587</v>
      </c>
      <c r="Q105" s="4"/>
      <c r="R105" s="4">
        <v>403</v>
      </c>
      <c r="S105" s="4"/>
      <c r="T105" s="4">
        <v>3576</v>
      </c>
      <c r="U105" s="4"/>
      <c r="V105" s="4">
        <v>0</v>
      </c>
      <c r="W105" s="4"/>
      <c r="X105" s="4">
        <v>0</v>
      </c>
      <c r="Y105" s="4"/>
      <c r="Z105" s="4">
        <v>0</v>
      </c>
      <c r="AA105" s="4"/>
      <c r="AB105" s="4">
        <v>0</v>
      </c>
      <c r="AC105" s="4"/>
      <c r="AD105" s="4">
        <v>0</v>
      </c>
      <c r="AE105" s="4"/>
      <c r="AF105" s="4">
        <f t="shared" si="6"/>
        <v>108708</v>
      </c>
      <c r="AG105" s="31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4"/>
    </row>
    <row r="106" spans="1:64">
      <c r="A106" s="4">
        <v>240</v>
      </c>
      <c r="B106" s="3" t="s">
        <v>140</v>
      </c>
      <c r="D106" s="3" t="s">
        <v>53</v>
      </c>
      <c r="F106" s="1">
        <v>643281.13</v>
      </c>
      <c r="G106" s="1"/>
      <c r="H106" s="1">
        <v>240666.1</v>
      </c>
      <c r="I106" s="1"/>
      <c r="J106" s="1">
        <v>157677.57</v>
      </c>
      <c r="K106" s="1"/>
      <c r="L106" s="1">
        <v>144006.32</v>
      </c>
      <c r="M106" s="1"/>
      <c r="N106" s="1">
        <v>0</v>
      </c>
      <c r="O106" s="1"/>
      <c r="P106" s="1">
        <v>29366.41</v>
      </c>
      <c r="Q106" s="1"/>
      <c r="R106" s="1">
        <v>4714.2700000000004</v>
      </c>
      <c r="S106" s="1"/>
      <c r="T106" s="1">
        <v>2926.36</v>
      </c>
      <c r="U106" s="1"/>
      <c r="V106" s="1">
        <v>0</v>
      </c>
      <c r="W106" s="1"/>
      <c r="X106" s="1">
        <v>0</v>
      </c>
      <c r="Y106" s="1"/>
      <c r="Z106" s="1">
        <v>0</v>
      </c>
      <c r="AA106" s="1"/>
      <c r="AB106" s="1">
        <v>0</v>
      </c>
      <c r="AC106" s="1"/>
      <c r="AD106" s="1">
        <v>1896.07</v>
      </c>
      <c r="AE106" s="4"/>
      <c r="AF106" s="4">
        <f t="shared" si="6"/>
        <v>1224534.2300000002</v>
      </c>
    </row>
    <row r="107" spans="1:64">
      <c r="A107" s="4">
        <v>48</v>
      </c>
      <c r="B107" s="18" t="s">
        <v>141</v>
      </c>
      <c r="C107" s="18"/>
      <c r="D107" s="18" t="s">
        <v>452</v>
      </c>
      <c r="E107" s="18"/>
      <c r="F107" s="1">
        <v>304274.48</v>
      </c>
      <c r="G107" s="1"/>
      <c r="H107" s="1">
        <v>71393.16</v>
      </c>
      <c r="I107" s="1"/>
      <c r="J107" s="1">
        <v>101179.28</v>
      </c>
      <c r="K107" s="1"/>
      <c r="L107" s="1">
        <v>79582.2</v>
      </c>
      <c r="M107" s="1"/>
      <c r="N107" s="1">
        <v>0</v>
      </c>
      <c r="O107" s="1"/>
      <c r="P107" s="1">
        <v>12532.33</v>
      </c>
      <c r="Q107" s="1"/>
      <c r="R107" s="1">
        <v>2291.11</v>
      </c>
      <c r="S107" s="1"/>
      <c r="T107" s="1">
        <v>3665.41</v>
      </c>
      <c r="U107" s="1"/>
      <c r="V107" s="1">
        <v>0</v>
      </c>
      <c r="W107" s="1"/>
      <c r="X107" s="1">
        <v>0</v>
      </c>
      <c r="Y107" s="1"/>
      <c r="Z107" s="1">
        <v>0</v>
      </c>
      <c r="AA107" s="1"/>
      <c r="AB107" s="1">
        <v>0</v>
      </c>
      <c r="AC107" s="1"/>
      <c r="AD107" s="1">
        <v>39.61</v>
      </c>
      <c r="AE107" s="18"/>
      <c r="AF107" s="4">
        <f t="shared" si="6"/>
        <v>574957.57999999996</v>
      </c>
    </row>
    <row r="108" spans="1:64">
      <c r="A108" s="4">
        <v>190</v>
      </c>
      <c r="B108" s="3" t="s">
        <v>142</v>
      </c>
      <c r="D108" s="3" t="s">
        <v>143</v>
      </c>
      <c r="F108" s="4">
        <v>480914</v>
      </c>
      <c r="G108" s="4"/>
      <c r="H108" s="4">
        <v>152466</v>
      </c>
      <c r="I108" s="4"/>
      <c r="J108" s="4">
        <v>126578</v>
      </c>
      <c r="K108" s="4"/>
      <c r="L108" s="4">
        <v>35402</v>
      </c>
      <c r="M108" s="4"/>
      <c r="N108" s="4">
        <v>0</v>
      </c>
      <c r="O108" s="4"/>
      <c r="P108" s="4">
        <v>14228</v>
      </c>
      <c r="Q108" s="4"/>
      <c r="R108" s="4">
        <v>4796</v>
      </c>
      <c r="S108" s="4"/>
      <c r="T108" s="4">
        <v>6604</v>
      </c>
      <c r="U108" s="4"/>
      <c r="V108" s="4">
        <v>0</v>
      </c>
      <c r="W108" s="4"/>
      <c r="X108" s="4">
        <v>0</v>
      </c>
      <c r="Y108" s="4"/>
      <c r="Z108" s="4">
        <v>30861</v>
      </c>
      <c r="AA108" s="4"/>
      <c r="AB108" s="4">
        <v>0</v>
      </c>
      <c r="AC108" s="4"/>
      <c r="AD108" s="4">
        <v>0</v>
      </c>
      <c r="AE108" s="4"/>
      <c r="AF108" s="4">
        <f t="shared" si="6"/>
        <v>851849</v>
      </c>
      <c r="AO108" s="3">
        <f>+AO107+6837.16</f>
        <v>6837.16</v>
      </c>
      <c r="AR108" s="3">
        <v>23.2</v>
      </c>
    </row>
    <row r="109" spans="1:64">
      <c r="A109" s="4">
        <v>90</v>
      </c>
      <c r="B109" s="3" t="s">
        <v>144</v>
      </c>
      <c r="D109" s="3" t="s">
        <v>17</v>
      </c>
      <c r="F109" s="4">
        <v>3098375</v>
      </c>
      <c r="G109" s="4"/>
      <c r="H109" s="4">
        <v>703714</v>
      </c>
      <c r="I109" s="4"/>
      <c r="J109" s="4">
        <v>748243</v>
      </c>
      <c r="K109" s="4"/>
      <c r="L109" s="4">
        <v>856773</v>
      </c>
      <c r="M109" s="4"/>
      <c r="N109" s="4">
        <v>0</v>
      </c>
      <c r="O109" s="4"/>
      <c r="P109" s="4">
        <v>148482</v>
      </c>
      <c r="Q109" s="4"/>
      <c r="R109" s="4">
        <v>13989</v>
      </c>
      <c r="S109" s="4"/>
      <c r="T109" s="4">
        <v>25413</v>
      </c>
      <c r="U109" s="4"/>
      <c r="V109" s="4">
        <v>0</v>
      </c>
      <c r="W109" s="4"/>
      <c r="X109" s="4">
        <v>0</v>
      </c>
      <c r="Y109" s="4"/>
      <c r="Z109" s="4">
        <v>27408</v>
      </c>
      <c r="AA109" s="4"/>
      <c r="AB109" s="4">
        <v>0</v>
      </c>
      <c r="AC109" s="4"/>
      <c r="AD109" s="4">
        <v>0</v>
      </c>
      <c r="AE109" s="4"/>
      <c r="AF109" s="4">
        <f t="shared" si="6"/>
        <v>5622397</v>
      </c>
    </row>
    <row r="110" spans="1:64">
      <c r="A110" s="4">
        <v>170</v>
      </c>
      <c r="B110" s="18" t="s">
        <v>145</v>
      </c>
      <c r="C110" s="18"/>
      <c r="D110" s="18" t="s">
        <v>467</v>
      </c>
      <c r="E110" s="18"/>
      <c r="F110" s="1">
        <v>410362.16</v>
      </c>
      <c r="G110" s="1"/>
      <c r="H110" s="1">
        <v>101520.19</v>
      </c>
      <c r="I110" s="1"/>
      <c r="J110" s="1">
        <v>74073.45</v>
      </c>
      <c r="K110" s="1"/>
      <c r="L110" s="1">
        <v>47997.08</v>
      </c>
      <c r="M110" s="1"/>
      <c r="N110" s="1">
        <v>0</v>
      </c>
      <c r="O110" s="1"/>
      <c r="P110" s="1">
        <v>10138.129999999999</v>
      </c>
      <c r="Q110" s="1"/>
      <c r="R110" s="1">
        <v>4794.22</v>
      </c>
      <c r="S110" s="1"/>
      <c r="T110" s="1">
        <v>0</v>
      </c>
      <c r="U110" s="1"/>
      <c r="V110" s="1">
        <v>0</v>
      </c>
      <c r="W110" s="1"/>
      <c r="X110" s="1">
        <v>0</v>
      </c>
      <c r="Y110" s="1"/>
      <c r="Z110" s="1">
        <v>0</v>
      </c>
      <c r="AA110" s="1"/>
      <c r="AB110" s="1">
        <v>0</v>
      </c>
      <c r="AC110" s="1"/>
      <c r="AD110" s="1">
        <v>0</v>
      </c>
      <c r="AE110" s="18"/>
      <c r="AF110" s="4">
        <f t="shared" si="6"/>
        <v>648885.22999999986</v>
      </c>
    </row>
    <row r="111" spans="1:64" s="4" customFormat="1">
      <c r="A111" s="4">
        <v>224</v>
      </c>
      <c r="B111" s="3" t="s">
        <v>34</v>
      </c>
      <c r="C111" s="3"/>
      <c r="D111" s="3" t="s">
        <v>26</v>
      </c>
      <c r="E111" s="3"/>
      <c r="F111" s="1">
        <v>67041.7</v>
      </c>
      <c r="G111" s="1"/>
      <c r="H111" s="1">
        <v>11179.53</v>
      </c>
      <c r="I111" s="1"/>
      <c r="J111" s="1">
        <v>10458.299999999999</v>
      </c>
      <c r="K111" s="1"/>
      <c r="L111" s="1">
        <v>10854.66</v>
      </c>
      <c r="M111" s="1"/>
      <c r="N111" s="1"/>
      <c r="O111" s="1"/>
      <c r="P111" s="1">
        <v>5070.51</v>
      </c>
      <c r="Q111" s="1"/>
      <c r="R111" s="1">
        <v>226</v>
      </c>
      <c r="S111" s="1"/>
      <c r="T111" s="1">
        <v>959.54</v>
      </c>
      <c r="U111" s="1"/>
      <c r="V111" s="1">
        <v>0</v>
      </c>
      <c r="W111" s="1"/>
      <c r="X111" s="1">
        <v>0</v>
      </c>
      <c r="Y111" s="1"/>
      <c r="Z111" s="1">
        <v>0</v>
      </c>
      <c r="AA111" s="1"/>
      <c r="AB111" s="1">
        <v>0</v>
      </c>
      <c r="AC111" s="1"/>
      <c r="AD111" s="1">
        <v>0</v>
      </c>
      <c r="AF111" s="4">
        <f t="shared" si="6"/>
        <v>105790.23999999999</v>
      </c>
      <c r="AR111" s="4">
        <v>2845</v>
      </c>
    </row>
    <row r="112" spans="1:64" s="5" customFormat="1">
      <c r="A112" s="4">
        <v>143</v>
      </c>
      <c r="B112" s="3" t="s">
        <v>146</v>
      </c>
      <c r="C112" s="3"/>
      <c r="D112" s="3" t="s">
        <v>56</v>
      </c>
      <c r="E112" s="3"/>
      <c r="F112" s="1">
        <v>294454.61</v>
      </c>
      <c r="G112" s="1"/>
      <c r="H112" s="1">
        <v>96430.59</v>
      </c>
      <c r="I112" s="1"/>
      <c r="J112" s="1">
        <v>76700.37</v>
      </c>
      <c r="K112" s="1"/>
      <c r="L112" s="1">
        <v>77371.72</v>
      </c>
      <c r="M112" s="1"/>
      <c r="N112" s="1">
        <v>0</v>
      </c>
      <c r="O112" s="1"/>
      <c r="P112" s="1">
        <v>6511.3</v>
      </c>
      <c r="Q112" s="1"/>
      <c r="R112" s="1">
        <v>4207.95</v>
      </c>
      <c r="S112" s="1"/>
      <c r="T112" s="1">
        <v>0</v>
      </c>
      <c r="U112" s="1"/>
      <c r="V112" s="1">
        <v>0</v>
      </c>
      <c r="W112" s="1"/>
      <c r="X112" s="1">
        <v>0</v>
      </c>
      <c r="Y112" s="1"/>
      <c r="Z112" s="1">
        <v>0</v>
      </c>
      <c r="AA112" s="1"/>
      <c r="AB112" s="1">
        <v>0</v>
      </c>
      <c r="AC112" s="1"/>
      <c r="AD112" s="1">
        <v>0</v>
      </c>
      <c r="AE112" s="4"/>
      <c r="AF112" s="4">
        <f t="shared" si="6"/>
        <v>555676.53999999992</v>
      </c>
      <c r="AR112" s="5">
        <v>10653.53</v>
      </c>
    </row>
    <row r="113" spans="1:64">
      <c r="A113" s="4">
        <v>11</v>
      </c>
      <c r="B113" s="18" t="s">
        <v>301</v>
      </c>
      <c r="C113" s="18"/>
      <c r="D113" s="18" t="s">
        <v>441</v>
      </c>
      <c r="E113" s="18"/>
      <c r="F113" s="1">
        <v>109349.92</v>
      </c>
      <c r="G113" s="1"/>
      <c r="H113" s="1">
        <v>17182.89</v>
      </c>
      <c r="I113" s="1"/>
      <c r="J113" s="1">
        <v>31741.8</v>
      </c>
      <c r="K113" s="1"/>
      <c r="L113" s="1">
        <v>21049.18</v>
      </c>
      <c r="M113" s="1"/>
      <c r="N113" s="1">
        <v>0</v>
      </c>
      <c r="O113" s="1"/>
      <c r="P113" s="1">
        <v>4013.18</v>
      </c>
      <c r="Q113" s="1"/>
      <c r="R113" s="1">
        <v>10429.1</v>
      </c>
      <c r="S113" s="1"/>
      <c r="T113" s="1">
        <v>2231.62</v>
      </c>
      <c r="U113" s="1"/>
      <c r="V113" s="1">
        <v>0</v>
      </c>
      <c r="W113" s="1"/>
      <c r="X113" s="1">
        <v>0</v>
      </c>
      <c r="Y113" s="1"/>
      <c r="Z113" s="1">
        <v>0</v>
      </c>
      <c r="AA113" s="1"/>
      <c r="AB113" s="1">
        <v>0</v>
      </c>
      <c r="AC113" s="1"/>
      <c r="AD113" s="1">
        <v>0</v>
      </c>
      <c r="AE113" s="18"/>
      <c r="AF113" s="4">
        <f t="shared" si="6"/>
        <v>195997.68999999997</v>
      </c>
    </row>
    <row r="114" spans="1:64">
      <c r="A114" s="4">
        <v>77</v>
      </c>
      <c r="B114" s="3" t="s">
        <v>147</v>
      </c>
      <c r="D114" s="3" t="s">
        <v>91</v>
      </c>
      <c r="F114" s="4">
        <v>1287086</v>
      </c>
      <c r="G114" s="4"/>
      <c r="H114" s="4">
        <v>500230</v>
      </c>
      <c r="I114" s="4"/>
      <c r="J114" s="4">
        <v>364631</v>
      </c>
      <c r="K114" s="4"/>
      <c r="L114" s="4">
        <v>265738</v>
      </c>
      <c r="M114" s="4"/>
      <c r="N114" s="4">
        <v>0</v>
      </c>
      <c r="O114" s="4"/>
      <c r="P114" s="4">
        <v>45663</v>
      </c>
      <c r="Q114" s="4"/>
      <c r="R114" s="4">
        <v>5196</v>
      </c>
      <c r="S114" s="4"/>
      <c r="T114" s="4">
        <v>16876</v>
      </c>
      <c r="U114" s="4"/>
      <c r="V114" s="4">
        <v>0</v>
      </c>
      <c r="W114" s="4"/>
      <c r="X114" s="4">
        <v>0</v>
      </c>
      <c r="Y114" s="4"/>
      <c r="Z114" s="4">
        <v>42075</v>
      </c>
      <c r="AA114" s="4"/>
      <c r="AB114" s="4">
        <v>0</v>
      </c>
      <c r="AC114" s="4"/>
      <c r="AD114" s="4">
        <v>0</v>
      </c>
      <c r="AE114" s="4"/>
      <c r="AF114" s="4">
        <f t="shared" si="6"/>
        <v>2527495</v>
      </c>
    </row>
    <row r="115" spans="1:64">
      <c r="A115" s="4">
        <v>132</v>
      </c>
      <c r="B115" s="3" t="s">
        <v>148</v>
      </c>
      <c r="D115" s="3" t="s">
        <v>40</v>
      </c>
      <c r="F115" s="4">
        <v>408540</v>
      </c>
      <c r="G115" s="4"/>
      <c r="H115" s="4">
        <v>106672</v>
      </c>
      <c r="I115" s="4"/>
      <c r="J115" s="4">
        <v>125579</v>
      </c>
      <c r="K115" s="4"/>
      <c r="L115" s="4">
        <v>93023</v>
      </c>
      <c r="M115" s="4"/>
      <c r="N115" s="4">
        <v>0</v>
      </c>
      <c r="O115" s="4"/>
      <c r="P115" s="4">
        <v>6996</v>
      </c>
      <c r="Q115" s="4"/>
      <c r="R115" s="4">
        <v>3041</v>
      </c>
      <c r="S115" s="4"/>
      <c r="T115" s="4">
        <v>1072</v>
      </c>
      <c r="U115" s="4"/>
      <c r="V115" s="4">
        <v>0</v>
      </c>
      <c r="W115" s="4"/>
      <c r="X115" s="4">
        <v>0</v>
      </c>
      <c r="Y115" s="4"/>
      <c r="Z115" s="4">
        <v>0</v>
      </c>
      <c r="AA115" s="4"/>
      <c r="AB115" s="4">
        <v>0</v>
      </c>
      <c r="AC115" s="4"/>
      <c r="AD115" s="4">
        <v>0</v>
      </c>
      <c r="AE115" s="4"/>
      <c r="AF115" s="4">
        <f t="shared" si="6"/>
        <v>744923</v>
      </c>
    </row>
    <row r="116" spans="1:64">
      <c r="A116" s="4">
        <v>91</v>
      </c>
      <c r="B116" s="3" t="s">
        <v>545</v>
      </c>
      <c r="D116" s="3" t="s">
        <v>150</v>
      </c>
      <c r="F116" s="4">
        <f>701181+1462567</f>
        <v>2163748</v>
      </c>
      <c r="G116" s="4"/>
      <c r="H116" s="4">
        <v>0</v>
      </c>
      <c r="I116" s="4"/>
      <c r="J116" s="4">
        <v>0</v>
      </c>
      <c r="K116" s="4"/>
      <c r="L116" s="4">
        <f>3782269+359842</f>
        <v>4142111</v>
      </c>
      <c r="M116" s="4"/>
      <c r="N116" s="4">
        <v>617522</v>
      </c>
      <c r="O116" s="4"/>
      <c r="P116" s="4">
        <v>1343746</v>
      </c>
      <c r="Q116" s="4"/>
      <c r="R116" s="4">
        <v>13200</v>
      </c>
      <c r="S116" s="4"/>
      <c r="T116" s="4">
        <v>59887</v>
      </c>
      <c r="U116" s="4"/>
      <c r="V116" s="4">
        <v>0</v>
      </c>
      <c r="W116" s="4"/>
      <c r="X116" s="4">
        <v>0</v>
      </c>
      <c r="Y116" s="4"/>
      <c r="Z116" s="4">
        <v>100000</v>
      </c>
      <c r="AA116" s="4"/>
      <c r="AB116" s="4">
        <v>0</v>
      </c>
      <c r="AC116" s="4"/>
      <c r="AD116" s="4">
        <v>0</v>
      </c>
      <c r="AE116" s="4"/>
      <c r="AF116" s="4">
        <f t="shared" si="6"/>
        <v>8440214</v>
      </c>
    </row>
    <row r="117" spans="1:64">
      <c r="A117" s="4">
        <v>59</v>
      </c>
      <c r="B117" s="3" t="s">
        <v>151</v>
      </c>
      <c r="D117" s="3" t="s">
        <v>80</v>
      </c>
      <c r="F117" s="1">
        <v>440758.34</v>
      </c>
      <c r="G117" s="1"/>
      <c r="H117" s="1">
        <v>81804.31</v>
      </c>
      <c r="I117" s="1"/>
      <c r="J117" s="1">
        <v>86686.12</v>
      </c>
      <c r="K117" s="1"/>
      <c r="L117" s="1">
        <v>70994.17</v>
      </c>
      <c r="M117" s="1"/>
      <c r="N117" s="1">
        <v>0</v>
      </c>
      <c r="O117" s="1"/>
      <c r="P117" s="1">
        <v>25984.33</v>
      </c>
      <c r="Q117" s="1"/>
      <c r="R117" s="1">
        <v>3453</v>
      </c>
      <c r="S117" s="1"/>
      <c r="T117" s="1">
        <v>25778.03</v>
      </c>
      <c r="U117" s="1"/>
      <c r="V117" s="1">
        <v>0</v>
      </c>
      <c r="W117" s="1"/>
      <c r="X117" s="1">
        <v>107350.56</v>
      </c>
      <c r="Y117" s="1"/>
      <c r="Z117" s="1">
        <v>0</v>
      </c>
      <c r="AA117" s="1"/>
      <c r="AB117" s="1">
        <v>0</v>
      </c>
      <c r="AC117" s="1"/>
      <c r="AD117" s="1">
        <v>3693.86</v>
      </c>
      <c r="AE117" s="4"/>
      <c r="AF117" s="4">
        <f t="shared" si="6"/>
        <v>846502.72000000009</v>
      </c>
    </row>
    <row r="118" spans="1:64">
      <c r="A118" s="4">
        <v>92</v>
      </c>
      <c r="B118" s="3" t="s">
        <v>546</v>
      </c>
      <c r="D118" s="3" t="s">
        <v>152</v>
      </c>
      <c r="F118" s="4">
        <v>745042</v>
      </c>
      <c r="G118" s="4"/>
      <c r="H118" s="4">
        <v>351983</v>
      </c>
      <c r="I118" s="4"/>
      <c r="J118" s="4">
        <v>184643</v>
      </c>
      <c r="K118" s="4"/>
      <c r="L118" s="4">
        <v>199293</v>
      </c>
      <c r="M118" s="4"/>
      <c r="N118" s="4">
        <v>0</v>
      </c>
      <c r="O118" s="4"/>
      <c r="P118" s="4">
        <v>30983</v>
      </c>
      <c r="Q118" s="4"/>
      <c r="R118" s="4">
        <v>10283</v>
      </c>
      <c r="S118" s="4"/>
      <c r="T118" s="4">
        <v>29217</v>
      </c>
      <c r="U118" s="4"/>
      <c r="V118" s="4">
        <v>0</v>
      </c>
      <c r="W118" s="4"/>
      <c r="X118" s="4">
        <v>0</v>
      </c>
      <c r="Y118" s="4"/>
      <c r="Z118" s="4">
        <v>0</v>
      </c>
      <c r="AA118" s="4"/>
      <c r="AB118" s="4">
        <v>0</v>
      </c>
      <c r="AC118" s="4"/>
      <c r="AD118" s="4">
        <v>0</v>
      </c>
      <c r="AE118" s="4"/>
      <c r="AF118" s="4">
        <f t="shared" si="6"/>
        <v>1551444</v>
      </c>
      <c r="AG118" s="31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4"/>
    </row>
    <row r="119" spans="1:64">
      <c r="A119" s="4">
        <v>12</v>
      </c>
      <c r="B119" s="18" t="s">
        <v>153</v>
      </c>
      <c r="C119" s="18"/>
      <c r="D119" s="18" t="s">
        <v>441</v>
      </c>
      <c r="E119" s="18"/>
      <c r="F119" s="1">
        <v>220654.68</v>
      </c>
      <c r="G119" s="1"/>
      <c r="H119" s="1">
        <v>53980.98</v>
      </c>
      <c r="I119" s="1"/>
      <c r="J119" s="1">
        <v>61714.58</v>
      </c>
      <c r="K119" s="1"/>
      <c r="L119" s="1">
        <v>23637.11</v>
      </c>
      <c r="M119" s="1"/>
      <c r="N119" s="1">
        <v>0</v>
      </c>
      <c r="O119" s="1"/>
      <c r="P119" s="1">
        <v>8336.42</v>
      </c>
      <c r="Q119" s="1"/>
      <c r="R119" s="1">
        <v>3180.66</v>
      </c>
      <c r="S119" s="1"/>
      <c r="T119" s="1">
        <v>0</v>
      </c>
      <c r="U119" s="1"/>
      <c r="V119" s="1">
        <v>0</v>
      </c>
      <c r="W119" s="1"/>
      <c r="X119" s="1">
        <v>0</v>
      </c>
      <c r="Y119" s="1"/>
      <c r="Z119" s="1">
        <v>97623.52</v>
      </c>
      <c r="AA119" s="1"/>
      <c r="AB119" s="1">
        <v>0</v>
      </c>
      <c r="AC119" s="1"/>
      <c r="AD119" s="1">
        <v>0</v>
      </c>
      <c r="AE119" s="18"/>
      <c r="AF119" s="4">
        <f t="shared" si="6"/>
        <v>469127.94999999995</v>
      </c>
    </row>
    <row r="120" spans="1:64">
      <c r="A120" s="4">
        <v>98</v>
      </c>
      <c r="B120" s="3" t="s">
        <v>154</v>
      </c>
      <c r="D120" s="3" t="s">
        <v>60</v>
      </c>
      <c r="F120" s="4">
        <v>33304</v>
      </c>
      <c r="G120" s="4"/>
      <c r="H120" s="4">
        <v>5354</v>
      </c>
      <c r="I120" s="4"/>
      <c r="J120" s="4">
        <v>12532</v>
      </c>
      <c r="K120" s="4"/>
      <c r="L120" s="4">
        <v>10166</v>
      </c>
      <c r="M120" s="4"/>
      <c r="N120" s="4">
        <v>0</v>
      </c>
      <c r="O120" s="4"/>
      <c r="P120" s="4">
        <v>2235</v>
      </c>
      <c r="Q120" s="4"/>
      <c r="R120" s="4">
        <v>1115</v>
      </c>
      <c r="S120" s="4"/>
      <c r="T120" s="4">
        <v>1033</v>
      </c>
      <c r="U120" s="4"/>
      <c r="V120" s="4">
        <v>0</v>
      </c>
      <c r="W120" s="4"/>
      <c r="X120" s="4">
        <v>0</v>
      </c>
      <c r="Y120" s="4"/>
      <c r="Z120" s="4">
        <v>0</v>
      </c>
      <c r="AA120" s="4"/>
      <c r="AB120" s="4">
        <v>0</v>
      </c>
      <c r="AC120" s="4"/>
      <c r="AD120" s="4">
        <v>0</v>
      </c>
      <c r="AE120" s="4"/>
      <c r="AF120" s="4">
        <f t="shared" si="6"/>
        <v>65739</v>
      </c>
      <c r="AG120" s="31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4"/>
    </row>
    <row r="121" spans="1:64">
      <c r="A121" s="4">
        <v>181</v>
      </c>
      <c r="B121" s="3" t="s">
        <v>155</v>
      </c>
      <c r="D121" s="3" t="s">
        <v>156</v>
      </c>
      <c r="F121" s="4">
        <v>247210</v>
      </c>
      <c r="G121" s="4"/>
      <c r="H121" s="4">
        <v>54434</v>
      </c>
      <c r="I121" s="4"/>
      <c r="J121" s="4">
        <v>67140</v>
      </c>
      <c r="K121" s="4"/>
      <c r="L121" s="4">
        <v>31441</v>
      </c>
      <c r="M121" s="4"/>
      <c r="N121" s="4">
        <v>0</v>
      </c>
      <c r="O121" s="4"/>
      <c r="P121" s="4">
        <v>12600</v>
      </c>
      <c r="Q121" s="4"/>
      <c r="R121" s="4">
        <v>15007</v>
      </c>
      <c r="S121" s="4"/>
      <c r="T121" s="4">
        <v>1729</v>
      </c>
      <c r="U121" s="4"/>
      <c r="V121" s="4">
        <v>0</v>
      </c>
      <c r="W121" s="4"/>
      <c r="X121" s="4">
        <v>0</v>
      </c>
      <c r="Y121" s="4"/>
      <c r="Z121" s="4">
        <v>0</v>
      </c>
      <c r="AA121" s="4"/>
      <c r="AB121" s="4">
        <v>0</v>
      </c>
      <c r="AC121" s="4"/>
      <c r="AD121" s="4">
        <v>0</v>
      </c>
      <c r="AE121" s="4"/>
      <c r="AF121" s="4">
        <f t="shared" si="6"/>
        <v>429561</v>
      </c>
      <c r="AG121" s="31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4"/>
    </row>
    <row r="122" spans="1:64">
      <c r="A122" s="4">
        <v>13</v>
      </c>
      <c r="B122" s="4" t="s">
        <v>302</v>
      </c>
      <c r="C122" s="18"/>
      <c r="D122" s="18" t="s">
        <v>441</v>
      </c>
      <c r="E122" s="18"/>
      <c r="F122" s="1">
        <v>190853.23</v>
      </c>
      <c r="G122" s="1"/>
      <c r="H122" s="1">
        <v>53671.79</v>
      </c>
      <c r="I122" s="1"/>
      <c r="J122" s="1">
        <v>60748.82</v>
      </c>
      <c r="K122" s="1"/>
      <c r="L122" s="1">
        <v>74655.33</v>
      </c>
      <c r="M122" s="1"/>
      <c r="N122" s="1">
        <v>0</v>
      </c>
      <c r="O122" s="1"/>
      <c r="P122" s="1">
        <v>6477.69</v>
      </c>
      <c r="Q122" s="1"/>
      <c r="R122" s="1">
        <v>1294.5899999999999</v>
      </c>
      <c r="S122" s="1"/>
      <c r="T122" s="1">
        <v>5229.58</v>
      </c>
      <c r="U122" s="1"/>
      <c r="V122" s="1">
        <v>0</v>
      </c>
      <c r="W122" s="1"/>
      <c r="X122" s="1">
        <v>0</v>
      </c>
      <c r="Y122" s="1"/>
      <c r="Z122" s="1">
        <v>2500</v>
      </c>
      <c r="AA122" s="1"/>
      <c r="AB122" s="1">
        <v>0</v>
      </c>
      <c r="AC122" s="1"/>
      <c r="AD122" s="1">
        <v>0</v>
      </c>
      <c r="AE122" s="18"/>
      <c r="AF122" s="4">
        <f t="shared" si="6"/>
        <v>395431.03000000009</v>
      </c>
      <c r="AG122" s="31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4"/>
    </row>
    <row r="123" spans="1:64">
      <c r="A123" s="4">
        <v>239</v>
      </c>
      <c r="B123" s="3" t="s">
        <v>157</v>
      </c>
      <c r="D123" s="3" t="s">
        <v>158</v>
      </c>
      <c r="F123" s="4">
        <v>231143</v>
      </c>
      <c r="G123" s="4"/>
      <c r="H123" s="4">
        <v>77599</v>
      </c>
      <c r="I123" s="4"/>
      <c r="J123" s="4">
        <v>52082</v>
      </c>
      <c r="K123" s="4"/>
      <c r="L123" s="4">
        <v>54252</v>
      </c>
      <c r="M123" s="4"/>
      <c r="N123" s="4">
        <v>0</v>
      </c>
      <c r="O123" s="4"/>
      <c r="P123" s="4">
        <v>16090</v>
      </c>
      <c r="Q123" s="4"/>
      <c r="R123" s="4">
        <v>1842</v>
      </c>
      <c r="S123" s="4"/>
      <c r="T123" s="4">
        <v>21853</v>
      </c>
      <c r="U123" s="4"/>
      <c r="V123" s="4">
        <v>0</v>
      </c>
      <c r="W123" s="4"/>
      <c r="X123" s="4">
        <v>0</v>
      </c>
      <c r="Y123" s="4"/>
      <c r="Z123" s="4">
        <v>0</v>
      </c>
      <c r="AA123" s="4"/>
      <c r="AB123" s="4">
        <v>0</v>
      </c>
      <c r="AC123" s="4"/>
      <c r="AD123" s="4">
        <v>0</v>
      </c>
      <c r="AE123" s="4"/>
      <c r="AF123" s="4">
        <f t="shared" si="6"/>
        <v>454861</v>
      </c>
    </row>
    <row r="124" spans="1:64">
      <c r="A124" s="4">
        <v>144</v>
      </c>
      <c r="B124" s="3" t="s">
        <v>35</v>
      </c>
      <c r="D124" s="3" t="s">
        <v>56</v>
      </c>
      <c r="F124" s="1">
        <v>247506.56</v>
      </c>
      <c r="G124" s="1"/>
      <c r="H124" s="1">
        <v>72734.12</v>
      </c>
      <c r="I124" s="1"/>
      <c r="J124" s="1">
        <v>69188.350000000006</v>
      </c>
      <c r="K124" s="1"/>
      <c r="L124" s="1">
        <v>48131.81</v>
      </c>
      <c r="M124" s="1"/>
      <c r="N124" s="1">
        <v>0</v>
      </c>
      <c r="O124" s="1"/>
      <c r="P124" s="1">
        <v>9062.44</v>
      </c>
      <c r="Q124" s="1"/>
      <c r="R124" s="1">
        <v>2080.64</v>
      </c>
      <c r="S124" s="1"/>
      <c r="T124" s="1">
        <v>22</v>
      </c>
      <c r="U124" s="1"/>
      <c r="V124" s="1">
        <v>0</v>
      </c>
      <c r="W124" s="1"/>
      <c r="X124" s="1">
        <v>0</v>
      </c>
      <c r="Y124" s="1"/>
      <c r="Z124" s="1">
        <v>0</v>
      </c>
      <c r="AA124" s="1"/>
      <c r="AB124" s="1">
        <v>0</v>
      </c>
      <c r="AC124" s="1"/>
      <c r="AD124" s="1">
        <v>0</v>
      </c>
      <c r="AE124" s="4"/>
      <c r="AF124" s="4">
        <f t="shared" si="6"/>
        <v>448725.92000000004</v>
      </c>
    </row>
    <row r="125" spans="1:64">
      <c r="A125" s="4">
        <v>107</v>
      </c>
      <c r="B125" s="3" t="s">
        <v>159</v>
      </c>
      <c r="D125" s="3" t="s">
        <v>57</v>
      </c>
      <c r="F125" s="1">
        <v>687621.22</v>
      </c>
      <c r="G125" s="1"/>
      <c r="H125" s="1">
        <v>185814.99</v>
      </c>
      <c r="I125" s="1"/>
      <c r="J125" s="1">
        <v>196571.98</v>
      </c>
      <c r="K125" s="1"/>
      <c r="L125" s="1">
        <v>149693.35</v>
      </c>
      <c r="M125" s="1"/>
      <c r="N125" s="1">
        <v>0</v>
      </c>
      <c r="O125" s="1"/>
      <c r="P125" s="1">
        <v>22300.560000000001</v>
      </c>
      <c r="Q125" s="1"/>
      <c r="R125" s="1">
        <v>6117.73</v>
      </c>
      <c r="S125" s="1"/>
      <c r="T125" s="1">
        <v>14825.16</v>
      </c>
      <c r="U125" s="1"/>
      <c r="V125" s="1">
        <v>0</v>
      </c>
      <c r="W125" s="1"/>
      <c r="X125" s="1">
        <v>0</v>
      </c>
      <c r="Y125" s="1"/>
      <c r="Z125" s="1">
        <v>154.96</v>
      </c>
      <c r="AA125" s="1"/>
      <c r="AB125" s="1">
        <v>0</v>
      </c>
      <c r="AC125" s="1"/>
      <c r="AD125" s="1">
        <v>0</v>
      </c>
      <c r="AE125" s="4"/>
      <c r="AF125" s="4">
        <f t="shared" si="6"/>
        <v>1263099.95</v>
      </c>
    </row>
    <row r="126" spans="1:64">
      <c r="A126" s="4">
        <v>103</v>
      </c>
      <c r="B126" s="3" t="s">
        <v>160</v>
      </c>
      <c r="D126" s="3" t="s">
        <v>59</v>
      </c>
      <c r="F126" s="4">
        <v>64654</v>
      </c>
      <c r="G126" s="4"/>
      <c r="H126" s="4">
        <v>9986</v>
      </c>
      <c r="I126" s="4"/>
      <c r="J126" s="4">
        <v>100141</v>
      </c>
      <c r="K126" s="4"/>
      <c r="L126" s="4">
        <v>16634</v>
      </c>
      <c r="M126" s="4"/>
      <c r="N126" s="4">
        <v>0</v>
      </c>
      <c r="O126" s="4"/>
      <c r="P126" s="4">
        <v>2694</v>
      </c>
      <c r="Q126" s="4"/>
      <c r="R126" s="4">
        <v>17717</v>
      </c>
      <c r="S126" s="4"/>
      <c r="T126" s="4">
        <v>0</v>
      </c>
      <c r="U126" s="4"/>
      <c r="V126" s="4">
        <v>0</v>
      </c>
      <c r="W126" s="4"/>
      <c r="X126" s="4">
        <v>0</v>
      </c>
      <c r="Y126" s="4"/>
      <c r="Z126" s="4">
        <v>0</v>
      </c>
      <c r="AA126" s="4"/>
      <c r="AB126" s="4">
        <v>0</v>
      </c>
      <c r="AC126" s="4"/>
      <c r="AD126" s="4">
        <v>0</v>
      </c>
      <c r="AE126" s="4"/>
      <c r="AF126" s="4">
        <f t="shared" si="6"/>
        <v>211826</v>
      </c>
    </row>
    <row r="127" spans="1:64">
      <c r="A127" s="4">
        <v>109</v>
      </c>
      <c r="B127" s="3" t="s">
        <v>547</v>
      </c>
      <c r="D127" s="3" t="s">
        <v>161</v>
      </c>
      <c r="F127" s="1">
        <v>703078.65</v>
      </c>
      <c r="G127" s="1"/>
      <c r="H127" s="1">
        <v>164275.73000000001</v>
      </c>
      <c r="I127" s="1"/>
      <c r="J127" s="1">
        <v>141263.88</v>
      </c>
      <c r="K127" s="1"/>
      <c r="L127" s="1">
        <v>75984.490000000005</v>
      </c>
      <c r="M127" s="1"/>
      <c r="N127" s="1">
        <v>0</v>
      </c>
      <c r="O127" s="1"/>
      <c r="P127" s="1">
        <v>13610.24</v>
      </c>
      <c r="Q127" s="1"/>
      <c r="R127" s="1">
        <v>3454</v>
      </c>
      <c r="S127" s="1"/>
      <c r="T127" s="1">
        <v>862.48</v>
      </c>
      <c r="U127" s="1"/>
      <c r="V127" s="1">
        <v>0</v>
      </c>
      <c r="W127" s="1"/>
      <c r="X127" s="1">
        <v>0</v>
      </c>
      <c r="Y127" s="1"/>
      <c r="Z127" s="1">
        <v>0</v>
      </c>
      <c r="AA127" s="1"/>
      <c r="AB127" s="1">
        <v>0</v>
      </c>
      <c r="AC127" s="1"/>
      <c r="AD127" s="1">
        <v>0</v>
      </c>
      <c r="AE127" s="4"/>
      <c r="AF127" s="4">
        <f t="shared" si="6"/>
        <v>1102529.47</v>
      </c>
    </row>
    <row r="128" spans="1:64">
      <c r="A128" s="4">
        <v>133</v>
      </c>
      <c r="B128" s="3" t="s">
        <v>303</v>
      </c>
      <c r="D128" s="3" t="s">
        <v>40</v>
      </c>
      <c r="F128" s="1">
        <v>121433.76</v>
      </c>
      <c r="G128" s="1"/>
      <c r="H128" s="1">
        <v>20371.439999999999</v>
      </c>
      <c r="I128" s="1"/>
      <c r="J128" s="1">
        <v>26811.84</v>
      </c>
      <c r="K128" s="1"/>
      <c r="L128" s="1">
        <v>27477.55</v>
      </c>
      <c r="M128" s="1"/>
      <c r="N128" s="1">
        <v>0</v>
      </c>
      <c r="O128" s="1"/>
      <c r="P128" s="1">
        <v>4298.41</v>
      </c>
      <c r="Q128" s="1"/>
      <c r="R128" s="1">
        <v>882.24</v>
      </c>
      <c r="S128" s="1"/>
      <c r="T128" s="1">
        <v>0</v>
      </c>
      <c r="U128" s="1"/>
      <c r="V128" s="1">
        <v>0</v>
      </c>
      <c r="W128" s="1"/>
      <c r="X128" s="1">
        <v>0</v>
      </c>
      <c r="Y128" s="1"/>
      <c r="Z128" s="1">
        <v>0</v>
      </c>
      <c r="AA128" s="1"/>
      <c r="AB128" s="1">
        <v>0</v>
      </c>
      <c r="AC128" s="1"/>
      <c r="AD128" s="1">
        <v>0</v>
      </c>
      <c r="AE128" s="4"/>
      <c r="AF128" s="4">
        <f t="shared" si="6"/>
        <v>201275.23999999996</v>
      </c>
      <c r="AG128" s="31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4"/>
    </row>
    <row r="129" spans="1:64">
      <c r="A129" s="4">
        <v>225</v>
      </c>
      <c r="B129" s="3" t="s">
        <v>162</v>
      </c>
      <c r="D129" s="3" t="s">
        <v>55</v>
      </c>
      <c r="F129" s="1">
        <v>426992.98</v>
      </c>
      <c r="G129" s="1"/>
      <c r="H129" s="1">
        <v>150025.78</v>
      </c>
      <c r="I129" s="1"/>
      <c r="J129" s="1">
        <v>76148.039999999994</v>
      </c>
      <c r="K129" s="1"/>
      <c r="L129" s="1">
        <v>66897.13</v>
      </c>
      <c r="M129" s="1"/>
      <c r="N129" s="1">
        <v>0</v>
      </c>
      <c r="O129" s="1"/>
      <c r="P129" s="1">
        <v>19560.25</v>
      </c>
      <c r="Q129" s="1"/>
      <c r="R129" s="1">
        <v>2074.25</v>
      </c>
      <c r="S129" s="1"/>
      <c r="T129" s="1">
        <v>2302</v>
      </c>
      <c r="U129" s="1"/>
      <c r="V129" s="1">
        <v>0</v>
      </c>
      <c r="W129" s="1"/>
      <c r="X129" s="1">
        <v>0</v>
      </c>
      <c r="Y129" s="1"/>
      <c r="Z129" s="1">
        <v>19750</v>
      </c>
      <c r="AA129" s="1"/>
      <c r="AB129" s="1">
        <v>0</v>
      </c>
      <c r="AC129" s="1"/>
      <c r="AD129" s="1">
        <v>0</v>
      </c>
      <c r="AE129" s="4"/>
      <c r="AF129" s="4">
        <f t="shared" si="6"/>
        <v>763750.43</v>
      </c>
    </row>
    <row r="130" spans="1:64">
      <c r="A130" s="4">
        <v>218</v>
      </c>
      <c r="B130" s="3" t="s">
        <v>334</v>
      </c>
      <c r="D130" s="3" t="s">
        <v>22</v>
      </c>
      <c r="F130" s="4">
        <v>1176921</v>
      </c>
      <c r="G130" s="4"/>
      <c r="H130" s="4">
        <v>308166</v>
      </c>
      <c r="I130" s="4"/>
      <c r="J130" s="4">
        <v>506851</v>
      </c>
      <c r="K130" s="4"/>
      <c r="L130" s="4">
        <v>214898</v>
      </c>
      <c r="M130" s="4"/>
      <c r="N130" s="4">
        <v>0</v>
      </c>
      <c r="O130" s="4"/>
      <c r="P130" s="4">
        <v>53530</v>
      </c>
      <c r="Q130" s="4"/>
      <c r="R130" s="4">
        <v>49756</v>
      </c>
      <c r="S130" s="4"/>
      <c r="T130" s="4">
        <v>26648</v>
      </c>
      <c r="U130" s="4"/>
      <c r="V130" s="4">
        <v>0</v>
      </c>
      <c r="W130" s="4"/>
      <c r="X130" s="4">
        <v>0</v>
      </c>
      <c r="Y130" s="4"/>
      <c r="Z130" s="4">
        <v>0</v>
      </c>
      <c r="AA130" s="4"/>
      <c r="AB130" s="4">
        <v>0</v>
      </c>
      <c r="AC130" s="4"/>
      <c r="AD130" s="4">
        <v>0</v>
      </c>
      <c r="AE130" s="4"/>
      <c r="AF130" s="4">
        <f t="shared" ref="AF130:AF163" si="8">SUM(F130:AD130)</f>
        <v>2336770</v>
      </c>
      <c r="AG130" s="31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4"/>
    </row>
    <row r="131" spans="1:64">
      <c r="A131" s="4">
        <v>66</v>
      </c>
      <c r="B131" s="3" t="s">
        <v>164</v>
      </c>
      <c r="D131" s="3" t="s">
        <v>165</v>
      </c>
      <c r="F131" s="4">
        <v>351067</v>
      </c>
      <c r="G131" s="4"/>
      <c r="H131" s="4">
        <v>115091</v>
      </c>
      <c r="I131" s="4"/>
      <c r="J131" s="4">
        <v>158267</v>
      </c>
      <c r="K131" s="4"/>
      <c r="L131" s="4">
        <v>36857</v>
      </c>
      <c r="M131" s="4"/>
      <c r="N131" s="4">
        <v>0</v>
      </c>
      <c r="O131" s="4"/>
      <c r="P131" s="4">
        <v>14498</v>
      </c>
      <c r="Q131" s="4"/>
      <c r="R131" s="4">
        <v>1444</v>
      </c>
      <c r="S131" s="4"/>
      <c r="T131" s="4">
        <v>0</v>
      </c>
      <c r="U131" s="4"/>
      <c r="V131" s="4">
        <v>0</v>
      </c>
      <c r="W131" s="4"/>
      <c r="X131" s="4">
        <v>0</v>
      </c>
      <c r="Y131" s="4"/>
      <c r="Z131" s="4">
        <v>0</v>
      </c>
      <c r="AA131" s="4"/>
      <c r="AB131" s="4">
        <v>0</v>
      </c>
      <c r="AC131" s="4"/>
      <c r="AD131" s="4">
        <v>0</v>
      </c>
      <c r="AE131" s="4"/>
      <c r="AF131" s="4">
        <f t="shared" si="8"/>
        <v>677224</v>
      </c>
      <c r="AG131" s="31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4"/>
    </row>
    <row r="132" spans="1:64">
      <c r="A132" s="4">
        <v>148</v>
      </c>
      <c r="B132" s="3" t="s">
        <v>36</v>
      </c>
      <c r="D132" s="3" t="s">
        <v>12</v>
      </c>
      <c r="F132" s="1">
        <v>178165.74</v>
      </c>
      <c r="G132" s="1"/>
      <c r="H132" s="1">
        <v>28457.919999999998</v>
      </c>
      <c r="I132" s="1"/>
      <c r="J132" s="1">
        <v>61798.12</v>
      </c>
      <c r="K132" s="1"/>
      <c r="L132" s="1">
        <v>38824.129999999997</v>
      </c>
      <c r="M132" s="1"/>
      <c r="N132" s="1">
        <v>0</v>
      </c>
      <c r="O132" s="1"/>
      <c r="P132" s="1">
        <v>5507.38</v>
      </c>
      <c r="Q132" s="1"/>
      <c r="R132" s="1">
        <v>50</v>
      </c>
      <c r="S132" s="1"/>
      <c r="T132" s="1">
        <v>0</v>
      </c>
      <c r="U132" s="1"/>
      <c r="V132" s="1">
        <v>30000</v>
      </c>
      <c r="W132" s="1"/>
      <c r="X132" s="1">
        <v>51852.5</v>
      </c>
      <c r="Y132" s="1"/>
      <c r="Z132" s="1">
        <v>0</v>
      </c>
      <c r="AA132" s="1"/>
      <c r="AB132" s="1">
        <v>0</v>
      </c>
      <c r="AC132" s="1"/>
      <c r="AD132" s="1">
        <v>0</v>
      </c>
      <c r="AE132" s="4"/>
      <c r="AF132" s="4">
        <f t="shared" si="8"/>
        <v>394655.79</v>
      </c>
    </row>
    <row r="133" spans="1:64" hidden="1">
      <c r="A133" s="4">
        <v>182</v>
      </c>
      <c r="B133" s="3" t="s">
        <v>166</v>
      </c>
      <c r="D133" s="3" t="s">
        <v>156</v>
      </c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>
        <f t="shared" si="8"/>
        <v>0</v>
      </c>
      <c r="AG133" s="31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4"/>
    </row>
    <row r="134" spans="1:64">
      <c r="A134" s="4">
        <v>164</v>
      </c>
      <c r="B134" s="18" t="s">
        <v>336</v>
      </c>
      <c r="C134" s="18"/>
      <c r="D134" s="18" t="s">
        <v>464</v>
      </c>
      <c r="E134" s="18"/>
      <c r="F134" s="1">
        <v>146423</v>
      </c>
      <c r="G134" s="1"/>
      <c r="H134" s="1">
        <v>22512.52</v>
      </c>
      <c r="I134" s="1"/>
      <c r="J134" s="1">
        <v>28791.82</v>
      </c>
      <c r="K134" s="1"/>
      <c r="L134" s="1">
        <v>23776.25</v>
      </c>
      <c r="M134" s="1"/>
      <c r="N134" s="1">
        <v>0</v>
      </c>
      <c r="O134" s="1"/>
      <c r="P134" s="1">
        <v>3080.99</v>
      </c>
      <c r="Q134" s="1"/>
      <c r="R134" s="1">
        <v>850</v>
      </c>
      <c r="S134" s="1"/>
      <c r="T134" s="1">
        <v>9868.19</v>
      </c>
      <c r="U134" s="1"/>
      <c r="V134" s="1">
        <v>0</v>
      </c>
      <c r="W134" s="1"/>
      <c r="X134" s="1">
        <v>0</v>
      </c>
      <c r="Y134" s="1"/>
      <c r="Z134" s="1">
        <v>0</v>
      </c>
      <c r="AA134" s="1"/>
      <c r="AB134" s="1">
        <v>0</v>
      </c>
      <c r="AC134" s="1"/>
      <c r="AD134" s="1">
        <v>0</v>
      </c>
      <c r="AE134" s="18"/>
      <c r="AF134" s="4">
        <f t="shared" si="8"/>
        <v>235302.77</v>
      </c>
    </row>
    <row r="135" spans="1:64">
      <c r="A135" s="4">
        <v>115</v>
      </c>
      <c r="B135" s="3" t="s">
        <v>167</v>
      </c>
      <c r="D135" s="3" t="s">
        <v>168</v>
      </c>
      <c r="F135" s="1">
        <v>210551.48</v>
      </c>
      <c r="G135" s="1"/>
      <c r="H135" s="1">
        <v>105273.27</v>
      </c>
      <c r="I135" s="1"/>
      <c r="J135" s="1">
        <v>48384.49</v>
      </c>
      <c r="K135" s="1"/>
      <c r="L135" s="1">
        <v>47244.1</v>
      </c>
      <c r="M135" s="1"/>
      <c r="N135" s="1">
        <v>0</v>
      </c>
      <c r="O135" s="1"/>
      <c r="P135" s="1">
        <v>11700.19</v>
      </c>
      <c r="Q135" s="1"/>
      <c r="R135" s="1">
        <v>1312</v>
      </c>
      <c r="S135" s="1"/>
      <c r="T135" s="1">
        <v>14816.28</v>
      </c>
      <c r="U135" s="1"/>
      <c r="V135" s="1">
        <v>0</v>
      </c>
      <c r="W135" s="1"/>
      <c r="X135" s="1">
        <v>0</v>
      </c>
      <c r="Y135" s="1"/>
      <c r="Z135" s="1">
        <v>0</v>
      </c>
      <c r="AA135" s="1"/>
      <c r="AB135" s="1">
        <v>0</v>
      </c>
      <c r="AC135" s="1"/>
      <c r="AD135" s="1">
        <v>0</v>
      </c>
      <c r="AE135" s="4"/>
      <c r="AF135" s="4">
        <f t="shared" si="8"/>
        <v>439281.81</v>
      </c>
    </row>
    <row r="136" spans="1:64">
      <c r="A136" s="4">
        <v>173</v>
      </c>
      <c r="B136" s="3" t="s">
        <v>335</v>
      </c>
      <c r="D136" s="3" t="s">
        <v>58</v>
      </c>
      <c r="F136" s="1">
        <v>250323.39</v>
      </c>
      <c r="G136" s="1"/>
      <c r="H136" s="1">
        <v>76731.960000000006</v>
      </c>
      <c r="I136" s="1"/>
      <c r="J136" s="1">
        <v>88410.31</v>
      </c>
      <c r="K136" s="1"/>
      <c r="L136" s="1">
        <v>36874.89</v>
      </c>
      <c r="M136" s="1"/>
      <c r="N136" s="1">
        <v>0</v>
      </c>
      <c r="O136" s="1"/>
      <c r="P136" s="1">
        <v>13161.12</v>
      </c>
      <c r="Q136" s="1"/>
      <c r="R136" s="1">
        <v>4439.8100000000004</v>
      </c>
      <c r="S136" s="1"/>
      <c r="T136" s="1">
        <v>1143.73</v>
      </c>
      <c r="U136" s="1"/>
      <c r="V136" s="1">
        <v>0</v>
      </c>
      <c r="W136" s="1"/>
      <c r="X136" s="1">
        <v>0</v>
      </c>
      <c r="Y136" s="1"/>
      <c r="Z136" s="1">
        <v>0</v>
      </c>
      <c r="AA136" s="1"/>
      <c r="AB136" s="1">
        <v>0</v>
      </c>
      <c r="AC136" s="1"/>
      <c r="AD136" s="1">
        <v>0</v>
      </c>
      <c r="AE136" s="4"/>
      <c r="AF136" s="4">
        <f t="shared" si="8"/>
        <v>471085.21</v>
      </c>
    </row>
    <row r="137" spans="1:64">
      <c r="A137" s="4">
        <v>205</v>
      </c>
      <c r="B137" s="3" t="s">
        <v>169</v>
      </c>
      <c r="D137" s="3" t="s">
        <v>44</v>
      </c>
      <c r="F137" s="4">
        <v>477307</v>
      </c>
      <c r="G137" s="4"/>
      <c r="H137" s="4">
        <v>0</v>
      </c>
      <c r="I137" s="4"/>
      <c r="J137" s="4">
        <v>46787</v>
      </c>
      <c r="K137" s="4"/>
      <c r="L137" s="4">
        <v>79558</v>
      </c>
      <c r="M137" s="4"/>
      <c r="N137" s="4">
        <v>0</v>
      </c>
      <c r="O137" s="4"/>
      <c r="P137" s="4">
        <v>1461</v>
      </c>
      <c r="Q137" s="4"/>
      <c r="R137" s="4">
        <v>3406</v>
      </c>
      <c r="S137" s="4"/>
      <c r="T137" s="4">
        <v>545</v>
      </c>
      <c r="U137" s="4"/>
      <c r="V137" s="4">
        <v>0</v>
      </c>
      <c r="W137" s="4"/>
      <c r="X137" s="4">
        <v>0</v>
      </c>
      <c r="Y137" s="4"/>
      <c r="Z137" s="4">
        <v>0</v>
      </c>
      <c r="AA137" s="4"/>
      <c r="AB137" s="4">
        <v>0</v>
      </c>
      <c r="AC137" s="4"/>
      <c r="AD137" s="4">
        <v>0</v>
      </c>
      <c r="AE137" s="4"/>
      <c r="AF137" s="4">
        <f t="shared" si="8"/>
        <v>609064</v>
      </c>
    </row>
    <row r="138" spans="1:64">
      <c r="A138" s="4">
        <v>191</v>
      </c>
      <c r="B138" s="3" t="s">
        <v>170</v>
      </c>
      <c r="D138" s="3" t="s">
        <v>171</v>
      </c>
      <c r="F138" s="1">
        <v>796646.98</v>
      </c>
      <c r="G138" s="1"/>
      <c r="H138" s="1">
        <v>159732.69</v>
      </c>
      <c r="I138" s="1"/>
      <c r="J138" s="1">
        <v>291470.8</v>
      </c>
      <c r="K138" s="1"/>
      <c r="L138" s="1">
        <v>168797.57</v>
      </c>
      <c r="M138" s="1"/>
      <c r="N138" s="1">
        <v>0</v>
      </c>
      <c r="O138" s="1"/>
      <c r="P138" s="1">
        <v>34450.39</v>
      </c>
      <c r="Q138" s="1"/>
      <c r="R138" s="1">
        <v>19251.22</v>
      </c>
      <c r="S138" s="1"/>
      <c r="T138" s="1">
        <v>28166.65</v>
      </c>
      <c r="U138" s="1"/>
      <c r="V138" s="1">
        <v>0</v>
      </c>
      <c r="W138" s="1"/>
      <c r="X138" s="1">
        <v>0</v>
      </c>
      <c r="Y138" s="1"/>
      <c r="Z138" s="1">
        <v>0</v>
      </c>
      <c r="AA138" s="1"/>
      <c r="AB138" s="1">
        <v>0</v>
      </c>
      <c r="AC138" s="1"/>
      <c r="AD138" s="1">
        <v>0</v>
      </c>
      <c r="AE138" s="4"/>
      <c r="AF138" s="4">
        <f t="shared" si="8"/>
        <v>1498516.2999999998</v>
      </c>
    </row>
    <row r="139" spans="1:64">
      <c r="A139" s="4">
        <v>14</v>
      </c>
      <c r="B139" s="18" t="s">
        <v>172</v>
      </c>
      <c r="C139" s="18"/>
      <c r="D139" s="18" t="s">
        <v>441</v>
      </c>
      <c r="E139" s="18"/>
      <c r="F139" s="1">
        <v>234275.43</v>
      </c>
      <c r="G139" s="1"/>
      <c r="H139" s="1">
        <v>36106.660000000003</v>
      </c>
      <c r="I139" s="1"/>
      <c r="J139" s="1">
        <v>47779.17</v>
      </c>
      <c r="K139" s="1"/>
      <c r="L139" s="1">
        <v>31929.61</v>
      </c>
      <c r="M139" s="1"/>
      <c r="N139" s="1">
        <v>0</v>
      </c>
      <c r="O139" s="1"/>
      <c r="P139" s="1">
        <v>14579.92</v>
      </c>
      <c r="Q139" s="1"/>
      <c r="R139" s="1">
        <v>4242.8900000000003</v>
      </c>
      <c r="S139" s="1"/>
      <c r="T139" s="1">
        <v>2476.67</v>
      </c>
      <c r="U139" s="1"/>
      <c r="V139" s="1">
        <v>0</v>
      </c>
      <c r="W139" s="1"/>
      <c r="X139" s="1">
        <v>0</v>
      </c>
      <c r="Y139" s="1"/>
      <c r="Z139" s="1">
        <v>0</v>
      </c>
      <c r="AA139" s="1"/>
      <c r="AB139" s="1">
        <v>0</v>
      </c>
      <c r="AC139" s="1"/>
      <c r="AD139" s="1">
        <v>0</v>
      </c>
      <c r="AE139" s="18"/>
      <c r="AF139" s="4">
        <f t="shared" si="8"/>
        <v>371390.34999999992</v>
      </c>
    </row>
    <row r="140" spans="1:64">
      <c r="A140" s="4">
        <v>226</v>
      </c>
      <c r="B140" s="3" t="s">
        <v>173</v>
      </c>
      <c r="D140" s="3" t="s">
        <v>55</v>
      </c>
      <c r="F140" s="1">
        <v>267916.90999999997</v>
      </c>
      <c r="G140" s="1"/>
      <c r="H140" s="1">
        <v>86439.48</v>
      </c>
      <c r="I140" s="1"/>
      <c r="J140" s="1">
        <v>57010.14</v>
      </c>
      <c r="K140" s="1"/>
      <c r="L140" s="1">
        <v>74774.47</v>
      </c>
      <c r="M140" s="1"/>
      <c r="N140" s="1">
        <v>0</v>
      </c>
      <c r="O140" s="1"/>
      <c r="P140" s="1">
        <v>9541.1200000000008</v>
      </c>
      <c r="Q140" s="1"/>
      <c r="R140" s="1">
        <v>4797.1000000000004</v>
      </c>
      <c r="S140" s="1"/>
      <c r="T140" s="1">
        <v>4153.03</v>
      </c>
      <c r="U140" s="1"/>
      <c r="V140" s="1">
        <v>0</v>
      </c>
      <c r="W140" s="1"/>
      <c r="X140" s="1">
        <v>0</v>
      </c>
      <c r="Y140" s="1"/>
      <c r="Z140" s="1">
        <v>0</v>
      </c>
      <c r="AA140" s="1"/>
      <c r="AB140" s="1">
        <v>0</v>
      </c>
      <c r="AC140" s="1"/>
      <c r="AD140" s="1">
        <v>0</v>
      </c>
      <c r="AE140" s="4"/>
      <c r="AF140" s="4">
        <f t="shared" si="8"/>
        <v>504632.25</v>
      </c>
      <c r="AI140" s="4"/>
    </row>
    <row r="141" spans="1:64">
      <c r="A141" s="4">
        <v>124</v>
      </c>
      <c r="B141" s="3" t="s">
        <v>174</v>
      </c>
      <c r="D141" s="3" t="s">
        <v>15</v>
      </c>
      <c r="F141" s="1">
        <v>401782.49</v>
      </c>
      <c r="G141" s="1"/>
      <c r="H141" s="1">
        <v>82006.47</v>
      </c>
      <c r="I141" s="1"/>
      <c r="J141" s="1">
        <v>110364.13</v>
      </c>
      <c r="K141" s="1"/>
      <c r="L141" s="1">
        <v>122123.11</v>
      </c>
      <c r="M141" s="1"/>
      <c r="N141" s="1">
        <v>0</v>
      </c>
      <c r="O141" s="1"/>
      <c r="P141" s="1">
        <v>15636.14</v>
      </c>
      <c r="Q141" s="1"/>
      <c r="R141" s="1">
        <v>4372.93</v>
      </c>
      <c r="S141" s="1"/>
      <c r="T141" s="1">
        <v>9063.93</v>
      </c>
      <c r="U141" s="1"/>
      <c r="V141" s="1">
        <v>0</v>
      </c>
      <c r="W141" s="1"/>
      <c r="X141" s="1">
        <v>0</v>
      </c>
      <c r="Y141" s="1"/>
      <c r="Z141" s="1">
        <v>27000</v>
      </c>
      <c r="AA141" s="1"/>
      <c r="AB141" s="1">
        <v>0</v>
      </c>
      <c r="AC141" s="1"/>
      <c r="AD141" s="1">
        <v>0</v>
      </c>
      <c r="AE141" s="4"/>
      <c r="AF141" s="4">
        <f t="shared" si="8"/>
        <v>772349.20000000007</v>
      </c>
      <c r="AH141" s="32"/>
      <c r="AI141" s="32"/>
      <c r="AJ141" s="32"/>
      <c r="AK141" s="32"/>
    </row>
    <row r="142" spans="1:64">
      <c r="A142" s="4">
        <v>54</v>
      </c>
      <c r="B142" s="10" t="s">
        <v>409</v>
      </c>
      <c r="C142" s="13"/>
      <c r="D142" s="13" t="s">
        <v>19</v>
      </c>
      <c r="E142" s="13"/>
      <c r="F142" s="4">
        <f>1435157+506501</f>
        <v>1941658</v>
      </c>
      <c r="G142" s="13"/>
      <c r="H142" s="4">
        <v>0</v>
      </c>
      <c r="I142" s="13"/>
      <c r="J142" s="4">
        <v>0</v>
      </c>
      <c r="K142" s="13"/>
      <c r="L142" s="4">
        <f>1602296+67523</f>
        <v>1669819</v>
      </c>
      <c r="M142" s="13"/>
      <c r="N142" s="4">
        <v>769667</v>
      </c>
      <c r="O142" s="13"/>
      <c r="P142" s="4">
        <v>0</v>
      </c>
      <c r="Q142" s="13"/>
      <c r="R142" s="4">
        <v>0</v>
      </c>
      <c r="S142" s="13"/>
      <c r="T142" s="4">
        <v>50408</v>
      </c>
      <c r="U142" s="13"/>
      <c r="V142" s="4">
        <v>0</v>
      </c>
      <c r="W142" s="13"/>
      <c r="X142" s="4">
        <v>0</v>
      </c>
      <c r="Y142" s="13"/>
      <c r="Z142" s="4">
        <v>0</v>
      </c>
      <c r="AA142" s="13"/>
      <c r="AB142" s="4">
        <v>0</v>
      </c>
      <c r="AC142" s="13"/>
      <c r="AD142" s="4">
        <v>0</v>
      </c>
      <c r="AE142" s="13"/>
      <c r="AF142" s="4">
        <f t="shared" si="8"/>
        <v>4431552</v>
      </c>
    </row>
    <row r="143" spans="1:64">
      <c r="A143" s="4">
        <v>25</v>
      </c>
      <c r="B143" s="3" t="s">
        <v>9</v>
      </c>
      <c r="D143" s="3" t="s">
        <v>10</v>
      </c>
      <c r="F143" s="4">
        <f>1116523+760550</f>
        <v>1877073</v>
      </c>
      <c r="G143" s="4"/>
      <c r="H143" s="4">
        <v>0</v>
      </c>
      <c r="I143" s="4"/>
      <c r="J143" s="4">
        <v>0</v>
      </c>
      <c r="K143" s="4"/>
      <c r="L143" s="4">
        <f>2534208+226140</f>
        <v>2760348</v>
      </c>
      <c r="M143" s="4"/>
      <c r="N143" s="4">
        <v>529516</v>
      </c>
      <c r="O143" s="4"/>
      <c r="P143" s="4">
        <v>0</v>
      </c>
      <c r="Q143" s="4"/>
      <c r="R143" s="4">
        <v>0</v>
      </c>
      <c r="S143" s="4"/>
      <c r="T143" s="4">
        <v>62511</v>
      </c>
      <c r="U143" s="4"/>
      <c r="V143" s="4">
        <v>0</v>
      </c>
      <c r="W143" s="4"/>
      <c r="X143" s="4">
        <v>0</v>
      </c>
      <c r="Y143" s="4"/>
      <c r="Z143" s="4">
        <v>0</v>
      </c>
      <c r="AA143" s="4"/>
      <c r="AB143" s="4">
        <v>0</v>
      </c>
      <c r="AC143" s="4"/>
      <c r="AD143" s="4">
        <v>0</v>
      </c>
      <c r="AE143" s="4"/>
      <c r="AF143" s="4">
        <f t="shared" si="8"/>
        <v>5229448</v>
      </c>
      <c r="AG143" s="31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4"/>
    </row>
    <row r="144" spans="1:64">
      <c r="A144" s="4">
        <v>241</v>
      </c>
      <c r="B144" s="3" t="s">
        <v>175</v>
      </c>
      <c r="D144" s="3" t="s">
        <v>53</v>
      </c>
      <c r="F144" s="1">
        <v>406688.64</v>
      </c>
      <c r="G144" s="1"/>
      <c r="H144" s="1">
        <v>141286.49</v>
      </c>
      <c r="I144" s="1"/>
      <c r="J144" s="1">
        <v>99049.16</v>
      </c>
      <c r="K144" s="1"/>
      <c r="L144" s="1">
        <v>163792.18</v>
      </c>
      <c r="M144" s="1"/>
      <c r="N144" s="1">
        <v>0</v>
      </c>
      <c r="O144" s="1"/>
      <c r="P144" s="1">
        <v>41180.620000000003</v>
      </c>
      <c r="Q144" s="1"/>
      <c r="R144" s="1">
        <v>9336.7800000000007</v>
      </c>
      <c r="S144" s="1"/>
      <c r="T144" s="1">
        <v>0</v>
      </c>
      <c r="U144" s="1"/>
      <c r="V144" s="1">
        <v>0</v>
      </c>
      <c r="W144" s="1"/>
      <c r="X144" s="1">
        <v>0</v>
      </c>
      <c r="Y144" s="1"/>
      <c r="Z144" s="1">
        <v>0</v>
      </c>
      <c r="AA144" s="1"/>
      <c r="AB144" s="1">
        <v>0</v>
      </c>
      <c r="AC144" s="1"/>
      <c r="AD144" s="1">
        <v>0</v>
      </c>
      <c r="AE144" s="4"/>
      <c r="AF144" s="4">
        <f t="shared" si="8"/>
        <v>861333.87</v>
      </c>
      <c r="AG144" s="31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4"/>
    </row>
    <row r="145" spans="1:64">
      <c r="A145" s="4">
        <v>41</v>
      </c>
      <c r="B145" s="18" t="s">
        <v>304</v>
      </c>
      <c r="C145" s="18"/>
      <c r="D145" s="18" t="s">
        <v>451</v>
      </c>
      <c r="E145" s="18"/>
      <c r="F145" s="1">
        <v>117335.03999999999</v>
      </c>
      <c r="G145" s="1"/>
      <c r="H145" s="1">
        <v>47126.84</v>
      </c>
      <c r="I145" s="1"/>
      <c r="J145" s="1">
        <v>61651.98</v>
      </c>
      <c r="K145" s="1"/>
      <c r="L145" s="1">
        <v>27608.38</v>
      </c>
      <c r="M145" s="1"/>
      <c r="N145" s="1">
        <v>0</v>
      </c>
      <c r="O145" s="1"/>
      <c r="P145" s="1">
        <v>2543.5700000000002</v>
      </c>
      <c r="Q145" s="1"/>
      <c r="R145" s="1">
        <v>4968.2299999999996</v>
      </c>
      <c r="S145" s="1"/>
      <c r="T145" s="1">
        <v>1267.3</v>
      </c>
      <c r="U145" s="1"/>
      <c r="V145" s="1">
        <v>800000</v>
      </c>
      <c r="W145" s="1"/>
      <c r="X145" s="1">
        <v>0</v>
      </c>
      <c r="Y145" s="1"/>
      <c r="Z145" s="1">
        <v>608111.57999999996</v>
      </c>
      <c r="AA145" s="1"/>
      <c r="AB145" s="1">
        <v>0</v>
      </c>
      <c r="AC145" s="1"/>
      <c r="AD145" s="1">
        <v>0</v>
      </c>
      <c r="AE145" s="18"/>
      <c r="AF145" s="4">
        <f t="shared" si="8"/>
        <v>1670612.92</v>
      </c>
    </row>
    <row r="146" spans="1:64" s="4" customFormat="1">
      <c r="A146" s="4">
        <v>42</v>
      </c>
      <c r="B146" s="3" t="s">
        <v>176</v>
      </c>
      <c r="C146" s="3"/>
      <c r="D146" s="3" t="s">
        <v>50</v>
      </c>
      <c r="E146" s="3"/>
      <c r="F146" s="1">
        <v>242946.95</v>
      </c>
      <c r="G146" s="1"/>
      <c r="H146" s="1">
        <v>96448.08</v>
      </c>
      <c r="I146" s="1"/>
      <c r="J146" s="1">
        <v>147727</v>
      </c>
      <c r="K146" s="1"/>
      <c r="L146" s="1">
        <v>62789.36</v>
      </c>
      <c r="M146" s="1"/>
      <c r="N146" s="1">
        <v>0</v>
      </c>
      <c r="O146" s="1"/>
      <c r="P146" s="1">
        <v>16010.14</v>
      </c>
      <c r="Q146" s="1"/>
      <c r="R146" s="1">
        <v>7316.85</v>
      </c>
      <c r="S146" s="1"/>
      <c r="T146" s="1">
        <v>365591.81</v>
      </c>
      <c r="U146" s="1"/>
      <c r="V146" s="1">
        <v>0</v>
      </c>
      <c r="W146" s="1"/>
      <c r="X146" s="1">
        <v>0</v>
      </c>
      <c r="Y146" s="1"/>
      <c r="Z146" s="1">
        <v>0</v>
      </c>
      <c r="AA146" s="1"/>
      <c r="AB146" s="1">
        <v>0</v>
      </c>
      <c r="AC146" s="1"/>
      <c r="AD146" s="1">
        <v>0</v>
      </c>
      <c r="AF146" s="4">
        <f t="shared" si="8"/>
        <v>938830.19</v>
      </c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</row>
    <row r="147" spans="1:64" s="4" customFormat="1">
      <c r="A147" s="4">
        <v>104</v>
      </c>
      <c r="B147" s="3" t="s">
        <v>177</v>
      </c>
      <c r="C147" s="3"/>
      <c r="D147" s="3" t="s">
        <v>59</v>
      </c>
      <c r="E147" s="3"/>
      <c r="F147" s="1">
        <v>69431.73</v>
      </c>
      <c r="G147" s="1"/>
      <c r="H147" s="1">
        <v>17543.38</v>
      </c>
      <c r="I147" s="1"/>
      <c r="J147" s="1">
        <v>29697.1</v>
      </c>
      <c r="K147" s="1"/>
      <c r="L147" s="1">
        <v>5261.63</v>
      </c>
      <c r="M147" s="1"/>
      <c r="N147" s="1">
        <v>0</v>
      </c>
      <c r="O147" s="1"/>
      <c r="P147" s="1">
        <v>2720.09</v>
      </c>
      <c r="Q147" s="1"/>
      <c r="R147" s="1">
        <v>1742.01</v>
      </c>
      <c r="S147" s="1"/>
      <c r="T147" s="1">
        <v>100</v>
      </c>
      <c r="U147" s="1"/>
      <c r="V147" s="1">
        <v>12407.5</v>
      </c>
      <c r="W147" s="1"/>
      <c r="X147" s="1">
        <v>9266.14</v>
      </c>
      <c r="Y147" s="1"/>
      <c r="Z147" s="1">
        <v>0</v>
      </c>
      <c r="AA147" s="1"/>
      <c r="AB147" s="1">
        <v>0</v>
      </c>
      <c r="AC147" s="1"/>
      <c r="AD147" s="1">
        <v>0</v>
      </c>
      <c r="AF147" s="4">
        <f t="shared" si="8"/>
        <v>148169.58000000002</v>
      </c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</row>
    <row r="148" spans="1:64" s="4" customFormat="1" hidden="1">
      <c r="A148" s="4">
        <v>134</v>
      </c>
      <c r="B148" s="3" t="s">
        <v>519</v>
      </c>
      <c r="C148" s="3"/>
      <c r="D148" s="3" t="s">
        <v>40</v>
      </c>
      <c r="E148" s="3"/>
      <c r="AF148" s="4">
        <f t="shared" si="8"/>
        <v>0</v>
      </c>
      <c r="AG148" s="31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</row>
    <row r="149" spans="1:64" s="4" customFormat="1">
      <c r="A149" s="4">
        <v>5</v>
      </c>
      <c r="B149" s="3" t="s">
        <v>178</v>
      </c>
      <c r="C149" s="3"/>
      <c r="D149" s="3" t="s">
        <v>96</v>
      </c>
      <c r="E149" s="3"/>
      <c r="F149" s="4">
        <v>1911376</v>
      </c>
      <c r="H149" s="4">
        <v>678580</v>
      </c>
      <c r="J149" s="4">
        <v>327743</v>
      </c>
      <c r="L149" s="4">
        <v>223675</v>
      </c>
      <c r="N149" s="4">
        <v>0</v>
      </c>
      <c r="P149" s="4">
        <v>41384</v>
      </c>
      <c r="R149" s="4">
        <v>38665</v>
      </c>
      <c r="T149" s="4">
        <v>0</v>
      </c>
      <c r="V149" s="4">
        <v>0</v>
      </c>
      <c r="X149" s="4">
        <v>0</v>
      </c>
      <c r="Z149" s="4">
        <v>0</v>
      </c>
      <c r="AB149" s="4">
        <v>0</v>
      </c>
      <c r="AD149" s="4">
        <v>0</v>
      </c>
      <c r="AF149" s="4">
        <f t="shared" si="8"/>
        <v>3221423</v>
      </c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</row>
    <row r="150" spans="1:64" s="4" customFormat="1">
      <c r="A150" s="4">
        <v>139</v>
      </c>
      <c r="B150" s="3" t="s">
        <v>520</v>
      </c>
      <c r="C150" s="3"/>
      <c r="D150" s="3" t="s">
        <v>86</v>
      </c>
      <c r="E150" s="3"/>
      <c r="F150" s="4">
        <v>868350</v>
      </c>
      <c r="H150" s="4">
        <v>99874</v>
      </c>
      <c r="J150" s="4">
        <v>199346</v>
      </c>
      <c r="L150" s="4">
        <v>173860</v>
      </c>
      <c r="N150" s="4">
        <v>0</v>
      </c>
      <c r="P150" s="4">
        <v>38972</v>
      </c>
      <c r="R150" s="4">
        <v>14401</v>
      </c>
      <c r="T150" s="4">
        <v>58570</v>
      </c>
      <c r="V150" s="4">
        <v>0</v>
      </c>
      <c r="X150" s="4">
        <v>0</v>
      </c>
      <c r="Z150" s="4">
        <v>0</v>
      </c>
      <c r="AB150" s="4">
        <v>0</v>
      </c>
      <c r="AD150" s="4">
        <v>0</v>
      </c>
      <c r="AF150" s="4">
        <f t="shared" si="8"/>
        <v>1453373</v>
      </c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</row>
    <row r="151" spans="1:64" s="4" customFormat="1">
      <c r="A151" s="4">
        <v>108</v>
      </c>
      <c r="B151" s="3" t="s">
        <v>521</v>
      </c>
      <c r="C151" s="3"/>
      <c r="D151" s="3" t="s">
        <v>179</v>
      </c>
      <c r="E151" s="3"/>
      <c r="F151" s="4">
        <v>330444</v>
      </c>
      <c r="H151" s="4">
        <v>128688</v>
      </c>
      <c r="J151" s="4">
        <v>128232</v>
      </c>
      <c r="L151" s="4">
        <v>139691</v>
      </c>
      <c r="N151" s="4">
        <v>0</v>
      </c>
      <c r="P151" s="4">
        <v>42104</v>
      </c>
      <c r="R151" s="4">
        <v>3614</v>
      </c>
      <c r="T151" s="4">
        <v>21860</v>
      </c>
      <c r="V151" s="4">
        <v>0</v>
      </c>
      <c r="X151" s="4">
        <v>0</v>
      </c>
      <c r="Z151" s="4">
        <v>0</v>
      </c>
      <c r="AB151" s="4">
        <v>0</v>
      </c>
      <c r="AD151" s="4">
        <v>0</v>
      </c>
      <c r="AF151" s="4">
        <f t="shared" si="8"/>
        <v>794633</v>
      </c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</row>
    <row r="152" spans="1:64" s="4" customFormat="1">
      <c r="A152" s="4">
        <v>149</v>
      </c>
      <c r="B152" s="3" t="s">
        <v>11</v>
      </c>
      <c r="C152" s="3"/>
      <c r="D152" s="3" t="s">
        <v>12</v>
      </c>
      <c r="E152" s="3"/>
      <c r="F152" s="4">
        <v>528928</v>
      </c>
      <c r="H152" s="4">
        <v>0</v>
      </c>
      <c r="J152" s="4">
        <v>93211</v>
      </c>
      <c r="L152" s="4">
        <v>108231</v>
      </c>
      <c r="N152" s="4">
        <v>0</v>
      </c>
      <c r="P152" s="4">
        <v>24907</v>
      </c>
      <c r="R152" s="4">
        <v>2280</v>
      </c>
      <c r="T152" s="4">
        <v>23038</v>
      </c>
      <c r="V152" s="4">
        <v>0</v>
      </c>
      <c r="X152" s="4">
        <v>0</v>
      </c>
      <c r="Z152" s="4">
        <v>0</v>
      </c>
      <c r="AB152" s="4">
        <v>0</v>
      </c>
      <c r="AD152" s="4">
        <v>0</v>
      </c>
      <c r="AF152" s="4">
        <f t="shared" si="8"/>
        <v>780595</v>
      </c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</row>
    <row r="153" spans="1:64" s="4" customFormat="1">
      <c r="A153" s="4">
        <v>7</v>
      </c>
      <c r="B153" s="3" t="s">
        <v>510</v>
      </c>
      <c r="C153" s="3"/>
      <c r="D153" s="3" t="s">
        <v>82</v>
      </c>
      <c r="E153" s="3"/>
      <c r="F153" s="4">
        <v>333516</v>
      </c>
      <c r="H153" s="4">
        <v>96554</v>
      </c>
      <c r="J153" s="4">
        <v>93348</v>
      </c>
      <c r="L153" s="4">
        <v>43781</v>
      </c>
      <c r="N153" s="4">
        <v>0</v>
      </c>
      <c r="P153" s="4">
        <v>14265</v>
      </c>
      <c r="R153" s="4">
        <v>2593</v>
      </c>
      <c r="T153" s="4">
        <v>3236</v>
      </c>
      <c r="V153" s="4">
        <v>0</v>
      </c>
      <c r="X153" s="4">
        <v>0</v>
      </c>
      <c r="Z153" s="4">
        <v>16547</v>
      </c>
      <c r="AB153" s="4">
        <v>0</v>
      </c>
      <c r="AD153" s="4">
        <v>0</v>
      </c>
      <c r="AF153" s="4">
        <f t="shared" si="8"/>
        <v>603840</v>
      </c>
      <c r="AG153" s="31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</row>
    <row r="154" spans="1:64" s="4" customFormat="1">
      <c r="A154" s="4">
        <v>145</v>
      </c>
      <c r="B154" s="3" t="s">
        <v>180</v>
      </c>
      <c r="C154" s="3"/>
      <c r="D154" s="3" t="s">
        <v>56</v>
      </c>
      <c r="E154" s="3"/>
      <c r="F154" s="4">
        <v>199832</v>
      </c>
      <c r="H154" s="4">
        <v>0</v>
      </c>
      <c r="J154" s="4">
        <v>0</v>
      </c>
      <c r="L154" s="4">
        <v>2251036</v>
      </c>
      <c r="N154" s="4">
        <v>38697</v>
      </c>
      <c r="P154" s="4">
        <v>0</v>
      </c>
      <c r="R154" s="4">
        <v>0</v>
      </c>
      <c r="T154" s="4">
        <v>85761</v>
      </c>
      <c r="V154" s="4">
        <v>0</v>
      </c>
      <c r="X154" s="4">
        <v>0</v>
      </c>
      <c r="Z154" s="4">
        <v>0</v>
      </c>
      <c r="AB154" s="4">
        <v>0</v>
      </c>
      <c r="AD154" s="4">
        <v>2394745</v>
      </c>
      <c r="AF154" s="4">
        <f t="shared" si="8"/>
        <v>4970071</v>
      </c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</row>
    <row r="155" spans="1:64" s="4" customFormat="1">
      <c r="A155" s="4">
        <v>210</v>
      </c>
      <c r="B155" s="3" t="s">
        <v>305</v>
      </c>
      <c r="C155" s="3"/>
      <c r="D155" s="3" t="s">
        <v>25</v>
      </c>
      <c r="E155" s="3"/>
      <c r="F155" s="1">
        <v>355708.75</v>
      </c>
      <c r="G155" s="1"/>
      <c r="H155" s="1">
        <v>74125.38</v>
      </c>
      <c r="I155" s="1"/>
      <c r="J155" s="1">
        <v>85759.7</v>
      </c>
      <c r="K155" s="1"/>
      <c r="L155" s="1">
        <v>106758.49</v>
      </c>
      <c r="M155" s="1"/>
      <c r="N155" s="1">
        <v>0</v>
      </c>
      <c r="O155" s="1"/>
      <c r="P155" s="1">
        <v>9916.0499999999993</v>
      </c>
      <c r="Q155" s="1"/>
      <c r="R155" s="1">
        <v>5338.51</v>
      </c>
      <c r="S155" s="1"/>
      <c r="T155" s="1">
        <v>0</v>
      </c>
      <c r="U155" s="1"/>
      <c r="V155" s="1">
        <v>0</v>
      </c>
      <c r="W155" s="1"/>
      <c r="X155" s="1">
        <v>0</v>
      </c>
      <c r="Y155" s="1"/>
      <c r="Z155" s="1">
        <v>0</v>
      </c>
      <c r="AA155" s="1"/>
      <c r="AB155" s="1">
        <v>0</v>
      </c>
      <c r="AC155" s="1"/>
      <c r="AD155" s="1">
        <v>0</v>
      </c>
      <c r="AF155" s="4">
        <f t="shared" si="8"/>
        <v>637606.88000000012</v>
      </c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</row>
    <row r="156" spans="1:64">
      <c r="A156" s="4">
        <v>125</v>
      </c>
      <c r="B156" s="3" t="s">
        <v>182</v>
      </c>
      <c r="D156" s="3" t="s">
        <v>15</v>
      </c>
      <c r="F156" s="4">
        <v>586465</v>
      </c>
      <c r="G156" s="4"/>
      <c r="H156" s="4">
        <v>167562</v>
      </c>
      <c r="I156" s="4"/>
      <c r="J156" s="4">
        <v>158454</v>
      </c>
      <c r="K156" s="4"/>
      <c r="L156" s="4">
        <v>211870</v>
      </c>
      <c r="M156" s="4"/>
      <c r="N156" s="4">
        <v>0</v>
      </c>
      <c r="O156" s="4"/>
      <c r="P156" s="4">
        <v>26399</v>
      </c>
      <c r="Q156" s="4"/>
      <c r="R156" s="4">
        <v>5714</v>
      </c>
      <c r="S156" s="4"/>
      <c r="T156" s="4">
        <v>0</v>
      </c>
      <c r="U156" s="4"/>
      <c r="V156" s="4">
        <v>0</v>
      </c>
      <c r="W156" s="4"/>
      <c r="X156" s="4">
        <v>0</v>
      </c>
      <c r="Y156" s="4"/>
      <c r="Z156" s="4">
        <v>0</v>
      </c>
      <c r="AA156" s="4"/>
      <c r="AB156" s="4">
        <v>0</v>
      </c>
      <c r="AC156" s="4"/>
      <c r="AD156" s="4">
        <v>0</v>
      </c>
      <c r="AE156" s="4"/>
      <c r="AF156" s="4">
        <f t="shared" si="8"/>
        <v>1156464</v>
      </c>
      <c r="AG156" s="31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4"/>
    </row>
    <row r="157" spans="1:64">
      <c r="A157" s="4">
        <v>197</v>
      </c>
      <c r="B157" s="3" t="s">
        <v>548</v>
      </c>
      <c r="D157" s="3" t="s">
        <v>183</v>
      </c>
      <c r="F157" s="4">
        <v>4182282</v>
      </c>
      <c r="G157" s="4"/>
      <c r="H157" s="4">
        <v>1898509</v>
      </c>
      <c r="I157" s="4"/>
      <c r="J157" s="4">
        <v>867374</v>
      </c>
      <c r="K157" s="4"/>
      <c r="L157" s="4">
        <v>834451</v>
      </c>
      <c r="M157" s="4"/>
      <c r="N157" s="4">
        <v>0</v>
      </c>
      <c r="O157" s="4"/>
      <c r="P157" s="4">
        <v>166932</v>
      </c>
      <c r="Q157" s="4"/>
      <c r="R157" s="4">
        <v>35019</v>
      </c>
      <c r="S157" s="4"/>
      <c r="T157" s="4">
        <v>8112</v>
      </c>
      <c r="U157" s="4"/>
      <c r="V157" s="4">
        <v>1089</v>
      </c>
      <c r="W157" s="4"/>
      <c r="X157" s="4">
        <v>931</v>
      </c>
      <c r="Y157" s="4"/>
      <c r="Z157" s="4">
        <v>0</v>
      </c>
      <c r="AA157" s="4"/>
      <c r="AB157" s="4">
        <v>0</v>
      </c>
      <c r="AC157" s="4"/>
      <c r="AD157" s="4">
        <v>0</v>
      </c>
      <c r="AE157" s="4"/>
      <c r="AF157" s="4">
        <f t="shared" si="8"/>
        <v>7994699</v>
      </c>
      <c r="AG157" s="31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4"/>
    </row>
    <row r="158" spans="1:64">
      <c r="A158" s="4">
        <v>195</v>
      </c>
      <c r="B158" s="3" t="s">
        <v>184</v>
      </c>
      <c r="D158" s="3" t="s">
        <v>101</v>
      </c>
      <c r="F158" s="1">
        <v>26952.84</v>
      </c>
      <c r="G158" s="1"/>
      <c r="H158" s="1">
        <v>3920.48</v>
      </c>
      <c r="I158" s="1"/>
      <c r="J158" s="1">
        <v>11633.34</v>
      </c>
      <c r="K158" s="1"/>
      <c r="L158" s="1">
        <v>12526.21</v>
      </c>
      <c r="M158" s="1"/>
      <c r="N158" s="1">
        <v>0</v>
      </c>
      <c r="O158" s="1"/>
      <c r="P158" s="1">
        <v>7719.22</v>
      </c>
      <c r="Q158" s="1"/>
      <c r="R158" s="1">
        <v>271</v>
      </c>
      <c r="S158" s="1"/>
      <c r="T158" s="1">
        <v>0</v>
      </c>
      <c r="U158" s="1"/>
      <c r="V158" s="1">
        <v>0</v>
      </c>
      <c r="W158" s="1"/>
      <c r="X158" s="1">
        <v>0</v>
      </c>
      <c r="Y158" s="1"/>
      <c r="Z158" s="1">
        <v>0</v>
      </c>
      <c r="AA158" s="1"/>
      <c r="AB158" s="1">
        <v>0</v>
      </c>
      <c r="AC158" s="1"/>
      <c r="AD158" s="1">
        <v>190.92</v>
      </c>
      <c r="AE158" s="4"/>
      <c r="AF158" s="4">
        <f t="shared" si="8"/>
        <v>63214.01</v>
      </c>
      <c r="AG158" s="31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4"/>
    </row>
    <row r="159" spans="1:64">
      <c r="A159" s="4">
        <v>154</v>
      </c>
      <c r="B159" s="3" t="s">
        <v>185</v>
      </c>
      <c r="D159" s="3" t="s">
        <v>186</v>
      </c>
      <c r="F159" s="4">
        <v>1165576</v>
      </c>
      <c r="G159" s="4"/>
      <c r="H159" s="4">
        <v>369284</v>
      </c>
      <c r="I159" s="4"/>
      <c r="J159" s="4">
        <v>236951</v>
      </c>
      <c r="K159" s="4"/>
      <c r="L159" s="4">
        <v>150846</v>
      </c>
      <c r="M159" s="4"/>
      <c r="N159" s="4">
        <v>0</v>
      </c>
      <c r="O159" s="4"/>
      <c r="P159" s="4">
        <v>36291</v>
      </c>
      <c r="Q159" s="4"/>
      <c r="R159" s="4">
        <v>13172</v>
      </c>
      <c r="S159" s="4"/>
      <c r="T159" s="4">
        <v>58057</v>
      </c>
      <c r="U159" s="4"/>
      <c r="V159" s="4">
        <v>0</v>
      </c>
      <c r="W159" s="4"/>
      <c r="X159" s="4">
        <v>0</v>
      </c>
      <c r="Y159" s="4"/>
      <c r="Z159" s="4">
        <v>0</v>
      </c>
      <c r="AA159" s="4"/>
      <c r="AB159" s="4">
        <v>0</v>
      </c>
      <c r="AC159" s="4"/>
      <c r="AD159" s="4">
        <v>0</v>
      </c>
      <c r="AE159" s="4"/>
      <c r="AF159" s="4">
        <f t="shared" si="8"/>
        <v>2030177</v>
      </c>
      <c r="AG159" s="31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4"/>
    </row>
    <row r="160" spans="1:64">
      <c r="A160" s="4">
        <v>21</v>
      </c>
      <c r="B160" s="18" t="s">
        <v>401</v>
      </c>
      <c r="C160" s="18"/>
      <c r="D160" s="18" t="s">
        <v>444</v>
      </c>
      <c r="E160" s="18"/>
      <c r="F160" s="1">
        <v>508943.74</v>
      </c>
      <c r="G160" s="1"/>
      <c r="H160" s="1">
        <v>144889</v>
      </c>
      <c r="I160" s="1"/>
      <c r="J160" s="1">
        <v>167689.29</v>
      </c>
      <c r="K160" s="1"/>
      <c r="L160" s="1">
        <v>171243.75</v>
      </c>
      <c r="M160" s="1"/>
      <c r="N160" s="1">
        <v>0</v>
      </c>
      <c r="O160" s="1"/>
      <c r="P160" s="1">
        <v>23849.47</v>
      </c>
      <c r="Q160" s="1"/>
      <c r="R160" s="1">
        <v>4649.5200000000004</v>
      </c>
      <c r="S160" s="1"/>
      <c r="T160" s="1">
        <v>3180.93</v>
      </c>
      <c r="U160" s="1"/>
      <c r="V160" s="1">
        <v>0</v>
      </c>
      <c r="W160" s="1"/>
      <c r="X160" s="1">
        <v>0</v>
      </c>
      <c r="Y160" s="1"/>
      <c r="Z160" s="1">
        <v>15.78</v>
      </c>
      <c r="AA160" s="1"/>
      <c r="AB160" s="1">
        <v>0</v>
      </c>
      <c r="AC160" s="1"/>
      <c r="AD160" s="1">
        <v>0</v>
      </c>
      <c r="AE160" s="18"/>
      <c r="AF160" s="4">
        <f t="shared" si="8"/>
        <v>1024461.4800000001</v>
      </c>
      <c r="AI160" s="4"/>
    </row>
    <row r="161" spans="1:64">
      <c r="A161" s="4">
        <v>198</v>
      </c>
      <c r="B161" s="3" t="s">
        <v>187</v>
      </c>
      <c r="D161" s="3" t="s">
        <v>183</v>
      </c>
      <c r="F161" s="1">
        <v>257438.01</v>
      </c>
      <c r="G161" s="1"/>
      <c r="H161" s="1">
        <v>122139.54</v>
      </c>
      <c r="I161" s="1"/>
      <c r="J161" s="1">
        <v>97187.39</v>
      </c>
      <c r="K161" s="1"/>
      <c r="L161" s="1">
        <v>73223.47</v>
      </c>
      <c r="M161" s="1"/>
      <c r="N161" s="1">
        <v>0</v>
      </c>
      <c r="O161" s="1"/>
      <c r="P161" s="1">
        <v>16223.78</v>
      </c>
      <c r="Q161" s="1"/>
      <c r="R161" s="1">
        <v>565</v>
      </c>
      <c r="S161" s="1"/>
      <c r="T161" s="1">
        <v>3490.08</v>
      </c>
      <c r="U161" s="1"/>
      <c r="V161" s="1">
        <v>0</v>
      </c>
      <c r="W161" s="1"/>
      <c r="X161" s="1">
        <v>325</v>
      </c>
      <c r="Y161" s="1"/>
      <c r="Z161" s="1">
        <v>0</v>
      </c>
      <c r="AA161" s="1"/>
      <c r="AB161" s="1">
        <v>0</v>
      </c>
      <c r="AC161" s="1"/>
      <c r="AD161" s="1">
        <v>440</v>
      </c>
      <c r="AE161" s="4"/>
      <c r="AF161" s="4">
        <f t="shared" si="8"/>
        <v>571032.27</v>
      </c>
    </row>
    <row r="162" spans="1:64">
      <c r="A162" s="4">
        <v>242</v>
      </c>
      <c r="B162" s="18" t="s">
        <v>188</v>
      </c>
      <c r="C162" s="18"/>
      <c r="D162" s="18" t="s">
        <v>472</v>
      </c>
      <c r="E162" s="18"/>
      <c r="F162" s="1">
        <v>347746.86</v>
      </c>
      <c r="G162" s="1"/>
      <c r="H162" s="1">
        <v>58410.23</v>
      </c>
      <c r="I162" s="1"/>
      <c r="J162" s="1">
        <v>77014.45</v>
      </c>
      <c r="K162" s="1"/>
      <c r="L162" s="1">
        <v>80809.59</v>
      </c>
      <c r="M162" s="1"/>
      <c r="N162" s="1">
        <v>0</v>
      </c>
      <c r="O162" s="1"/>
      <c r="P162" s="1">
        <v>9578.56</v>
      </c>
      <c r="Q162" s="1"/>
      <c r="R162" s="1">
        <v>2747.6</v>
      </c>
      <c r="S162" s="1"/>
      <c r="T162" s="1">
        <v>191.06</v>
      </c>
      <c r="U162" s="1"/>
      <c r="V162" s="1">
        <v>0</v>
      </c>
      <c r="W162" s="1"/>
      <c r="X162" s="1">
        <v>0</v>
      </c>
      <c r="Y162" s="1"/>
      <c r="Z162" s="1">
        <v>0</v>
      </c>
      <c r="AA162" s="1"/>
      <c r="AB162" s="1">
        <v>0</v>
      </c>
      <c r="AC162" s="1"/>
      <c r="AD162" s="1">
        <v>0</v>
      </c>
      <c r="AE162" s="18"/>
      <c r="AF162" s="4">
        <f t="shared" si="8"/>
        <v>576498.35000000009</v>
      </c>
    </row>
    <row r="163" spans="1:64">
      <c r="A163" s="4">
        <v>99</v>
      </c>
      <c r="B163" s="3" t="s">
        <v>189</v>
      </c>
      <c r="D163" s="3" t="s">
        <v>60</v>
      </c>
      <c r="F163" s="1">
        <v>314739.42</v>
      </c>
      <c r="G163" s="1"/>
      <c r="H163" s="1">
        <v>72947.91</v>
      </c>
      <c r="I163" s="1"/>
      <c r="J163" s="1">
        <v>90401.55</v>
      </c>
      <c r="K163" s="1"/>
      <c r="L163" s="1">
        <v>85122.74</v>
      </c>
      <c r="M163" s="1"/>
      <c r="N163" s="1">
        <v>0</v>
      </c>
      <c r="O163" s="1"/>
      <c r="P163" s="1">
        <v>43627.95</v>
      </c>
      <c r="Q163" s="1"/>
      <c r="R163" s="1">
        <v>3797.31</v>
      </c>
      <c r="S163" s="1"/>
      <c r="T163" s="1">
        <v>10252.68</v>
      </c>
      <c r="U163" s="1"/>
      <c r="V163" s="1">
        <v>0</v>
      </c>
      <c r="W163" s="1"/>
      <c r="X163" s="1">
        <v>0</v>
      </c>
      <c r="Y163" s="1"/>
      <c r="Z163" s="1">
        <v>0</v>
      </c>
      <c r="AA163" s="1"/>
      <c r="AB163" s="1">
        <v>0</v>
      </c>
      <c r="AC163" s="1"/>
      <c r="AD163" s="1">
        <v>0</v>
      </c>
      <c r="AE163" s="4"/>
      <c r="AF163" s="4">
        <f t="shared" si="8"/>
        <v>620889.56000000006</v>
      </c>
      <c r="AG163" s="31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4"/>
    </row>
    <row r="164" spans="1:64">
      <c r="A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31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4"/>
    </row>
    <row r="165" spans="1:64">
      <c r="A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27" t="s">
        <v>538</v>
      </c>
      <c r="AG165" s="31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4"/>
    </row>
    <row r="166" spans="1:64">
      <c r="B166" s="3" t="s">
        <v>492</v>
      </c>
    </row>
    <row r="167" spans="1:64">
      <c r="B167" s="3" t="s">
        <v>565</v>
      </c>
    </row>
    <row r="168" spans="1:64">
      <c r="B168" s="24" t="s">
        <v>7</v>
      </c>
    </row>
    <row r="169" spans="1:64" s="19" customFormat="1">
      <c r="L169" s="19" t="s">
        <v>8</v>
      </c>
    </row>
    <row r="170" spans="1:64" s="19" customFormat="1">
      <c r="H170" s="19" t="s">
        <v>318</v>
      </c>
      <c r="J170" s="19" t="s">
        <v>320</v>
      </c>
      <c r="L170" s="19" t="s">
        <v>502</v>
      </c>
      <c r="N170" s="19" t="s">
        <v>501</v>
      </c>
      <c r="X170" s="19" t="s">
        <v>327</v>
      </c>
      <c r="AD170" s="19" t="s">
        <v>0</v>
      </c>
    </row>
    <row r="171" spans="1:64" s="19" customFormat="1">
      <c r="H171" s="19" t="s">
        <v>319</v>
      </c>
      <c r="J171" s="19" t="s">
        <v>321</v>
      </c>
      <c r="L171" s="19" t="s">
        <v>322</v>
      </c>
      <c r="N171" s="19" t="s">
        <v>499</v>
      </c>
      <c r="T171" s="19" t="s">
        <v>30</v>
      </c>
      <c r="V171" s="19" t="s">
        <v>325</v>
      </c>
      <c r="X171" s="19" t="s">
        <v>328</v>
      </c>
      <c r="AD171" s="19" t="s">
        <v>293</v>
      </c>
    </row>
    <row r="172" spans="1:64" s="19" customFormat="1" ht="12" customHeight="1">
      <c r="A172" s="19" t="s">
        <v>525</v>
      </c>
      <c r="B172" s="20" t="s">
        <v>8</v>
      </c>
      <c r="D172" s="20" t="s">
        <v>6</v>
      </c>
      <c r="F172" s="20" t="s">
        <v>2</v>
      </c>
      <c r="H172" s="20" t="s">
        <v>3</v>
      </c>
      <c r="J172" s="20" t="s">
        <v>29</v>
      </c>
      <c r="L172" s="20" t="s">
        <v>323</v>
      </c>
      <c r="N172" s="20" t="s">
        <v>500</v>
      </c>
      <c r="P172" s="20" t="s">
        <v>4</v>
      </c>
      <c r="R172" s="20" t="s">
        <v>0</v>
      </c>
      <c r="T172" s="20" t="s">
        <v>324</v>
      </c>
      <c r="V172" s="20" t="s">
        <v>326</v>
      </c>
      <c r="X172" s="20" t="s">
        <v>329</v>
      </c>
      <c r="Z172" s="20" t="s">
        <v>476</v>
      </c>
      <c r="AB172" s="20" t="s">
        <v>477</v>
      </c>
      <c r="AD172" s="20" t="s">
        <v>330</v>
      </c>
      <c r="AF172" s="29" t="s">
        <v>28</v>
      </c>
    </row>
    <row r="173" spans="1:64" s="5" customFormat="1">
      <c r="A173" s="5">
        <v>237</v>
      </c>
      <c r="B173" s="5" t="s">
        <v>190</v>
      </c>
      <c r="D173" s="5" t="s">
        <v>191</v>
      </c>
      <c r="F173" s="5">
        <v>806533</v>
      </c>
      <c r="H173" s="5">
        <v>198393</v>
      </c>
      <c r="J173" s="5">
        <v>136193</v>
      </c>
      <c r="L173" s="5">
        <v>311063</v>
      </c>
      <c r="N173" s="5">
        <v>0</v>
      </c>
      <c r="P173" s="5">
        <v>20221</v>
      </c>
      <c r="R173" s="5">
        <v>95964</v>
      </c>
      <c r="T173" s="5">
        <v>32181</v>
      </c>
      <c r="V173" s="5">
        <v>0</v>
      </c>
      <c r="X173" s="5">
        <v>0</v>
      </c>
      <c r="Z173" s="5">
        <v>0</v>
      </c>
      <c r="AB173" s="5">
        <v>0</v>
      </c>
      <c r="AD173" s="5">
        <v>0</v>
      </c>
      <c r="AF173" s="5">
        <f t="shared" ref="AF173:AF204" si="9">SUM(F173:AD173)</f>
        <v>1600548</v>
      </c>
      <c r="AG173" s="30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</row>
    <row r="174" spans="1:64">
      <c r="A174" s="4">
        <v>243</v>
      </c>
      <c r="B174" s="18" t="s">
        <v>192</v>
      </c>
      <c r="C174" s="18"/>
      <c r="D174" s="18" t="s">
        <v>472</v>
      </c>
      <c r="E174" s="18"/>
      <c r="F174" s="1">
        <v>642258.71</v>
      </c>
      <c r="G174" s="1"/>
      <c r="H174" s="1">
        <v>230401.51</v>
      </c>
      <c r="I174" s="1"/>
      <c r="J174" s="1">
        <v>191709.17</v>
      </c>
      <c r="K174" s="1"/>
      <c r="L174" s="1">
        <v>203865.97</v>
      </c>
      <c r="M174" s="1"/>
      <c r="N174" s="1">
        <v>0</v>
      </c>
      <c r="O174" s="1"/>
      <c r="P174" s="1">
        <v>19206.32</v>
      </c>
      <c r="Q174" s="1"/>
      <c r="R174" s="1">
        <v>4797.79</v>
      </c>
      <c r="S174" s="1"/>
      <c r="T174" s="1">
        <v>3536.22</v>
      </c>
      <c r="U174" s="1"/>
      <c r="V174" s="1">
        <v>0</v>
      </c>
      <c r="W174" s="1"/>
      <c r="X174" s="1">
        <v>0</v>
      </c>
      <c r="Y174" s="1"/>
      <c r="Z174" s="1">
        <v>0</v>
      </c>
      <c r="AA174" s="1"/>
      <c r="AB174" s="1">
        <v>0</v>
      </c>
      <c r="AC174" s="1"/>
      <c r="AD174" s="1">
        <v>0</v>
      </c>
      <c r="AE174" s="18"/>
      <c r="AF174" s="4">
        <f t="shared" si="9"/>
        <v>1295775.69</v>
      </c>
    </row>
    <row r="175" spans="1:64">
      <c r="A175" s="4">
        <v>211</v>
      </c>
      <c r="B175" s="3" t="s">
        <v>193</v>
      </c>
      <c r="D175" s="3" t="s">
        <v>25</v>
      </c>
      <c r="F175" s="1">
        <v>1162147.52</v>
      </c>
      <c r="G175" s="1"/>
      <c r="H175" s="1">
        <v>249609.61</v>
      </c>
      <c r="I175" s="1"/>
      <c r="J175" s="1">
        <v>325672.09999999998</v>
      </c>
      <c r="K175" s="1"/>
      <c r="L175" s="1">
        <v>324125.5</v>
      </c>
      <c r="M175" s="1"/>
      <c r="N175" s="1">
        <v>0</v>
      </c>
      <c r="O175" s="1"/>
      <c r="P175" s="1">
        <v>48364.1</v>
      </c>
      <c r="Q175" s="1"/>
      <c r="R175" s="1">
        <v>10073.77</v>
      </c>
      <c r="S175" s="1"/>
      <c r="T175" s="1">
        <v>31518.91</v>
      </c>
      <c r="U175" s="1"/>
      <c r="V175" s="1">
        <v>0</v>
      </c>
      <c r="W175" s="1"/>
      <c r="X175" s="1">
        <v>0</v>
      </c>
      <c r="Y175" s="1"/>
      <c r="Z175" s="1">
        <v>31000</v>
      </c>
      <c r="AA175" s="1"/>
      <c r="AB175" s="1">
        <v>0</v>
      </c>
      <c r="AC175" s="1"/>
      <c r="AD175" s="1">
        <v>0</v>
      </c>
      <c r="AE175" s="4"/>
      <c r="AF175" s="4">
        <f t="shared" si="9"/>
        <v>2182511.5100000002</v>
      </c>
    </row>
    <row r="176" spans="1:64">
      <c r="A176" s="4">
        <v>94</v>
      </c>
      <c r="B176" s="3" t="s">
        <v>337</v>
      </c>
      <c r="D176" s="3" t="s">
        <v>137</v>
      </c>
      <c r="F176" s="1">
        <v>152571.26999999999</v>
      </c>
      <c r="G176" s="1"/>
      <c r="H176" s="1">
        <v>52819.31</v>
      </c>
      <c r="I176" s="1"/>
      <c r="J176" s="1">
        <v>31595.24</v>
      </c>
      <c r="K176" s="1"/>
      <c r="L176" s="1">
        <v>22404.49</v>
      </c>
      <c r="M176" s="1"/>
      <c r="N176" s="1">
        <v>0</v>
      </c>
      <c r="O176" s="1"/>
      <c r="P176" s="1">
        <v>4930.1499999999996</v>
      </c>
      <c r="Q176" s="1"/>
      <c r="R176" s="1">
        <v>3374.49</v>
      </c>
      <c r="S176" s="1"/>
      <c r="T176" s="1">
        <v>199.6</v>
      </c>
      <c r="U176" s="1"/>
      <c r="V176" s="1">
        <v>0</v>
      </c>
      <c r="W176" s="1"/>
      <c r="X176" s="1">
        <v>0</v>
      </c>
      <c r="Y176" s="1"/>
      <c r="Z176" s="1">
        <v>0</v>
      </c>
      <c r="AA176" s="1"/>
      <c r="AB176" s="1">
        <v>0</v>
      </c>
      <c r="AC176" s="1"/>
      <c r="AD176" s="1">
        <v>0</v>
      </c>
      <c r="AE176" s="4"/>
      <c r="AF176" s="4">
        <f t="shared" si="9"/>
        <v>267894.54999999993</v>
      </c>
    </row>
    <row r="177" spans="1:64">
      <c r="A177" s="4">
        <v>227</v>
      </c>
      <c r="B177" s="5" t="s">
        <v>411</v>
      </c>
      <c r="C177" s="5"/>
      <c r="D177" s="5" t="s">
        <v>55</v>
      </c>
      <c r="E177" s="5"/>
      <c r="F177" s="4">
        <v>484399</v>
      </c>
      <c r="G177" s="4"/>
      <c r="H177" s="4">
        <v>166536</v>
      </c>
      <c r="I177" s="4"/>
      <c r="J177" s="4">
        <v>131279</v>
      </c>
      <c r="K177" s="4"/>
      <c r="L177" s="4">
        <v>105746</v>
      </c>
      <c r="M177" s="4"/>
      <c r="N177" s="4">
        <v>0</v>
      </c>
      <c r="O177" s="4"/>
      <c r="P177" s="4">
        <v>14468</v>
      </c>
      <c r="Q177" s="4"/>
      <c r="R177" s="4">
        <v>4242</v>
      </c>
      <c r="S177" s="4"/>
      <c r="T177" s="4">
        <v>5841</v>
      </c>
      <c r="U177" s="4"/>
      <c r="V177" s="4">
        <v>0</v>
      </c>
      <c r="W177" s="4"/>
      <c r="X177" s="4">
        <v>0</v>
      </c>
      <c r="Y177" s="4"/>
      <c r="Z177" s="4">
        <v>18357</v>
      </c>
      <c r="AA177" s="4"/>
      <c r="AB177" s="4">
        <v>0</v>
      </c>
      <c r="AC177" s="4"/>
      <c r="AD177" s="4">
        <v>0</v>
      </c>
      <c r="AE177" s="4"/>
      <c r="AF177" s="4">
        <f t="shared" si="9"/>
        <v>930868</v>
      </c>
    </row>
    <row r="178" spans="1:64">
      <c r="A178" s="4">
        <v>29</v>
      </c>
      <c r="B178" s="18" t="s">
        <v>194</v>
      </c>
      <c r="C178" s="18"/>
      <c r="D178" s="18" t="s">
        <v>448</v>
      </c>
      <c r="E178" s="18"/>
      <c r="F178" s="1">
        <v>158823.88</v>
      </c>
      <c r="G178" s="1"/>
      <c r="H178" s="1">
        <v>62044.61</v>
      </c>
      <c r="I178" s="1"/>
      <c r="J178" s="1">
        <v>31632.77</v>
      </c>
      <c r="K178" s="1"/>
      <c r="L178" s="1">
        <v>24798.93</v>
      </c>
      <c r="M178" s="1"/>
      <c r="N178" s="1">
        <v>0</v>
      </c>
      <c r="O178" s="1"/>
      <c r="P178" s="1">
        <v>6554.69</v>
      </c>
      <c r="Q178" s="1"/>
      <c r="R178" s="1">
        <v>1372.32</v>
      </c>
      <c r="S178" s="1"/>
      <c r="T178" s="1">
        <v>8512</v>
      </c>
      <c r="U178" s="1"/>
      <c r="V178" s="1">
        <v>0</v>
      </c>
      <c r="W178" s="1"/>
      <c r="X178" s="1">
        <v>0</v>
      </c>
      <c r="Y178" s="1"/>
      <c r="Z178" s="1">
        <v>0</v>
      </c>
      <c r="AA178" s="1"/>
      <c r="AB178" s="1">
        <v>0</v>
      </c>
      <c r="AC178" s="1"/>
      <c r="AD178" s="1">
        <v>0</v>
      </c>
      <c r="AE178" s="18"/>
      <c r="AF178" s="4">
        <f t="shared" si="9"/>
        <v>293739.2</v>
      </c>
      <c r="AI178" s="4"/>
    </row>
    <row r="179" spans="1:64">
      <c r="A179" s="4">
        <v>156</v>
      </c>
      <c r="B179" s="3" t="s">
        <v>549</v>
      </c>
      <c r="D179" s="3" t="s">
        <v>20</v>
      </c>
      <c r="F179" s="4">
        <v>4112686</v>
      </c>
      <c r="G179" s="4"/>
      <c r="H179" s="4">
        <v>1082466</v>
      </c>
      <c r="I179" s="4"/>
      <c r="J179" s="4">
        <v>1382228</v>
      </c>
      <c r="K179" s="4"/>
      <c r="L179" s="4">
        <v>927174</v>
      </c>
      <c r="M179" s="4"/>
      <c r="N179" s="4">
        <v>0</v>
      </c>
      <c r="O179" s="4"/>
      <c r="P179" s="4">
        <v>130003</v>
      </c>
      <c r="Q179" s="4"/>
      <c r="R179" s="4">
        <v>26343</v>
      </c>
      <c r="S179" s="4"/>
      <c r="T179" s="4">
        <v>0</v>
      </c>
      <c r="U179" s="4"/>
      <c r="V179" s="4">
        <v>0</v>
      </c>
      <c r="W179" s="4"/>
      <c r="X179" s="4">
        <v>0</v>
      </c>
      <c r="Y179" s="4"/>
      <c r="Z179" s="4">
        <v>0</v>
      </c>
      <c r="AA179" s="4"/>
      <c r="AB179" s="4">
        <v>0</v>
      </c>
      <c r="AC179" s="4"/>
      <c r="AD179" s="4">
        <v>0</v>
      </c>
      <c r="AE179" s="4"/>
      <c r="AF179" s="4">
        <f t="shared" si="9"/>
        <v>7660900</v>
      </c>
      <c r="AG179" s="31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4"/>
    </row>
    <row r="180" spans="1:64">
      <c r="A180" s="4">
        <v>157</v>
      </c>
      <c r="B180" s="18" t="s">
        <v>460</v>
      </c>
      <c r="C180" s="18"/>
      <c r="D180" s="18" t="s">
        <v>461</v>
      </c>
      <c r="E180" s="18"/>
      <c r="F180" s="1">
        <v>395874.16</v>
      </c>
      <c r="G180" s="1"/>
      <c r="H180" s="1">
        <v>103344.97</v>
      </c>
      <c r="I180" s="1"/>
      <c r="J180" s="1">
        <v>92001.14</v>
      </c>
      <c r="K180" s="1"/>
      <c r="L180" s="1">
        <v>87242.33</v>
      </c>
      <c r="M180" s="1"/>
      <c r="N180" s="1">
        <v>0</v>
      </c>
      <c r="O180" s="1"/>
      <c r="P180" s="1">
        <v>18352.810000000001</v>
      </c>
      <c r="Q180" s="1"/>
      <c r="R180" s="1">
        <v>3295</v>
      </c>
      <c r="S180" s="1"/>
      <c r="T180" s="1">
        <v>4238.95</v>
      </c>
      <c r="U180" s="1"/>
      <c r="V180" s="1">
        <v>0</v>
      </c>
      <c r="W180" s="1"/>
      <c r="X180" s="1">
        <v>0</v>
      </c>
      <c r="Y180" s="1"/>
      <c r="Z180" s="1">
        <v>50000</v>
      </c>
      <c r="AA180" s="1"/>
      <c r="AB180" s="1">
        <v>0</v>
      </c>
      <c r="AC180" s="1"/>
      <c r="AD180" s="1">
        <v>0</v>
      </c>
      <c r="AE180" s="18"/>
      <c r="AF180" s="4">
        <f t="shared" si="9"/>
        <v>754349.36</v>
      </c>
      <c r="AI180" s="4"/>
    </row>
    <row r="181" spans="1:64">
      <c r="A181" s="4">
        <v>126</v>
      </c>
      <c r="B181" s="18" t="s">
        <v>14</v>
      </c>
      <c r="C181" s="18"/>
      <c r="D181" s="18" t="s">
        <v>15</v>
      </c>
      <c r="E181" s="18"/>
      <c r="F181" s="18">
        <v>2018693</v>
      </c>
      <c r="G181" s="18"/>
      <c r="H181" s="18">
        <v>0</v>
      </c>
      <c r="I181" s="18"/>
      <c r="J181" s="18">
        <v>557522</v>
      </c>
      <c r="K181" s="18"/>
      <c r="L181" s="18">
        <v>794900</v>
      </c>
      <c r="M181" s="18"/>
      <c r="N181" s="18">
        <v>0</v>
      </c>
      <c r="O181" s="18"/>
      <c r="P181" s="4">
        <v>50463</v>
      </c>
      <c r="Q181" s="18"/>
      <c r="R181" s="18">
        <v>11301</v>
      </c>
      <c r="S181" s="18"/>
      <c r="T181" s="18">
        <v>66634</v>
      </c>
      <c r="U181" s="18"/>
      <c r="V181" s="4">
        <v>0</v>
      </c>
      <c r="W181" s="18"/>
      <c r="X181" s="18">
        <v>0</v>
      </c>
      <c r="Y181" s="18"/>
      <c r="Z181" s="18">
        <v>96615</v>
      </c>
      <c r="AA181" s="18"/>
      <c r="AB181" s="4">
        <v>0</v>
      </c>
      <c r="AC181" s="18"/>
      <c r="AD181" s="18">
        <v>0</v>
      </c>
      <c r="AE181" s="18"/>
      <c r="AF181" s="4">
        <f t="shared" si="9"/>
        <v>3596128</v>
      </c>
      <c r="AI181" s="4"/>
    </row>
    <row r="182" spans="1:64">
      <c r="A182" s="4">
        <v>160</v>
      </c>
      <c r="B182" s="18" t="s">
        <v>550</v>
      </c>
      <c r="C182" s="18"/>
      <c r="D182" s="18" t="s">
        <v>463</v>
      </c>
      <c r="E182" s="18"/>
      <c r="F182" s="1">
        <v>479320.94</v>
      </c>
      <c r="G182" s="1"/>
      <c r="H182" s="1">
        <v>141777.49</v>
      </c>
      <c r="I182" s="1"/>
      <c r="J182" s="1">
        <v>142888.9</v>
      </c>
      <c r="K182" s="1"/>
      <c r="L182" s="1">
        <v>19628.09</v>
      </c>
      <c r="M182" s="1"/>
      <c r="N182" s="1">
        <v>0</v>
      </c>
      <c r="O182" s="1"/>
      <c r="P182" s="1">
        <v>19055.21</v>
      </c>
      <c r="Q182" s="1"/>
      <c r="R182" s="1">
        <v>3734.27</v>
      </c>
      <c r="S182" s="1"/>
      <c r="T182" s="1">
        <v>5826.61</v>
      </c>
      <c r="U182" s="1"/>
      <c r="V182" s="1">
        <v>0</v>
      </c>
      <c r="W182" s="1"/>
      <c r="X182" s="1">
        <v>0</v>
      </c>
      <c r="Y182" s="1"/>
      <c r="Z182" s="1">
        <v>0</v>
      </c>
      <c r="AA182" s="1"/>
      <c r="AB182" s="1">
        <v>0</v>
      </c>
      <c r="AC182" s="1"/>
      <c r="AD182" s="1">
        <v>0</v>
      </c>
      <c r="AE182" s="18"/>
      <c r="AF182" s="4">
        <f t="shared" si="9"/>
        <v>812231.50999999989</v>
      </c>
    </row>
    <row r="183" spans="1:64">
      <c r="A183" s="4">
        <v>26</v>
      </c>
      <c r="B183" s="3" t="s">
        <v>195</v>
      </c>
      <c r="D183" s="3" t="s">
        <v>10</v>
      </c>
      <c r="F183" s="4">
        <f>1279176+751449</f>
        <v>2030625</v>
      </c>
      <c r="G183" s="4"/>
      <c r="H183" s="4">
        <v>0</v>
      </c>
      <c r="I183" s="4"/>
      <c r="J183" s="4">
        <v>0</v>
      </c>
      <c r="K183" s="4"/>
      <c r="L183" s="4">
        <f>2299330+115173</f>
        <v>2414503</v>
      </c>
      <c r="M183" s="4"/>
      <c r="N183" s="4">
        <v>711316</v>
      </c>
      <c r="O183" s="4"/>
      <c r="P183" s="4">
        <v>0</v>
      </c>
      <c r="Q183" s="4"/>
      <c r="R183" s="4">
        <v>0</v>
      </c>
      <c r="S183" s="4"/>
      <c r="T183" s="4">
        <v>55247</v>
      </c>
      <c r="U183" s="4"/>
      <c r="V183" s="4">
        <v>0</v>
      </c>
      <c r="W183" s="4"/>
      <c r="X183" s="4">
        <v>0</v>
      </c>
      <c r="Y183" s="4"/>
      <c r="Z183" s="4">
        <v>2000000</v>
      </c>
      <c r="AA183" s="4"/>
      <c r="AB183" s="4">
        <v>0</v>
      </c>
      <c r="AC183" s="4"/>
      <c r="AD183" s="4">
        <v>0</v>
      </c>
      <c r="AE183" s="4"/>
      <c r="AF183" s="4">
        <f t="shared" si="9"/>
        <v>7211691</v>
      </c>
      <c r="AG183" s="31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4"/>
    </row>
    <row r="184" spans="1:64">
      <c r="A184" s="4">
        <v>67</v>
      </c>
      <c r="B184" s="3" t="s">
        <v>196</v>
      </c>
      <c r="D184" s="3" t="s">
        <v>165</v>
      </c>
      <c r="F184" s="1">
        <v>410042.16</v>
      </c>
      <c r="G184" s="1"/>
      <c r="H184" s="1">
        <v>69476.27</v>
      </c>
      <c r="I184" s="1"/>
      <c r="J184" s="1">
        <v>101182.18</v>
      </c>
      <c r="K184" s="1"/>
      <c r="L184" s="1">
        <v>142919.06</v>
      </c>
      <c r="M184" s="1"/>
      <c r="N184" s="1">
        <v>0</v>
      </c>
      <c r="O184" s="1"/>
      <c r="P184" s="1">
        <v>30226.97</v>
      </c>
      <c r="Q184" s="1"/>
      <c r="R184" s="1">
        <v>2377.5</v>
      </c>
      <c r="S184" s="1"/>
      <c r="T184" s="1">
        <v>0</v>
      </c>
      <c r="U184" s="1"/>
      <c r="V184" s="1">
        <v>0</v>
      </c>
      <c r="W184" s="1"/>
      <c r="X184" s="1">
        <v>0</v>
      </c>
      <c r="Y184" s="1"/>
      <c r="Z184" s="1">
        <v>0</v>
      </c>
      <c r="AA184" s="1"/>
      <c r="AB184" s="1">
        <v>0</v>
      </c>
      <c r="AC184" s="1"/>
      <c r="AD184" s="1">
        <v>0</v>
      </c>
      <c r="AE184" s="4"/>
      <c r="AF184" s="4">
        <f t="shared" si="9"/>
        <v>756224.1399999999</v>
      </c>
    </row>
    <row r="185" spans="1:64">
      <c r="A185" s="4">
        <v>165</v>
      </c>
      <c r="B185" s="18" t="s">
        <v>197</v>
      </c>
      <c r="C185" s="18"/>
      <c r="D185" s="18" t="s">
        <v>464</v>
      </c>
      <c r="E185" s="18"/>
      <c r="F185" s="1">
        <v>228378.23</v>
      </c>
      <c r="G185" s="1"/>
      <c r="H185" s="1">
        <v>62301.95</v>
      </c>
      <c r="I185" s="1"/>
      <c r="J185" s="1">
        <v>69253.08</v>
      </c>
      <c r="K185" s="1"/>
      <c r="L185" s="1">
        <v>47000.959999999999</v>
      </c>
      <c r="M185" s="1"/>
      <c r="N185" s="1">
        <v>0</v>
      </c>
      <c r="O185" s="1"/>
      <c r="P185" s="1">
        <v>9270.86</v>
      </c>
      <c r="Q185" s="1"/>
      <c r="R185" s="1">
        <v>1097.8499999999999</v>
      </c>
      <c r="S185" s="1"/>
      <c r="T185" s="1">
        <v>1060.79</v>
      </c>
      <c r="U185" s="1"/>
      <c r="V185" s="1">
        <v>0</v>
      </c>
      <c r="W185" s="1"/>
      <c r="X185" s="1">
        <v>0</v>
      </c>
      <c r="Y185" s="1"/>
      <c r="Z185" s="1">
        <v>0</v>
      </c>
      <c r="AA185" s="1"/>
      <c r="AB185" s="1">
        <v>0</v>
      </c>
      <c r="AC185" s="1"/>
      <c r="AD185" s="1">
        <v>0</v>
      </c>
      <c r="AE185" s="18"/>
      <c r="AF185" s="4">
        <f t="shared" si="9"/>
        <v>418363.72</v>
      </c>
    </row>
    <row r="186" spans="1:64">
      <c r="A186" s="4">
        <v>212</v>
      </c>
      <c r="B186" s="18" t="s">
        <v>198</v>
      </c>
      <c r="C186" s="18"/>
      <c r="D186" s="18" t="s">
        <v>469</v>
      </c>
      <c r="E186" s="18"/>
      <c r="F186" s="1">
        <v>391758.78</v>
      </c>
      <c r="G186" s="1"/>
      <c r="H186" s="1">
        <v>115714.25</v>
      </c>
      <c r="I186" s="1"/>
      <c r="J186" s="1">
        <v>73262.14</v>
      </c>
      <c r="K186" s="1"/>
      <c r="L186" s="1">
        <v>79867.199999999997</v>
      </c>
      <c r="M186" s="1"/>
      <c r="N186" s="1">
        <v>0</v>
      </c>
      <c r="O186" s="1"/>
      <c r="P186" s="1">
        <v>12785.45</v>
      </c>
      <c r="Q186" s="1"/>
      <c r="R186" s="1">
        <v>21860.9</v>
      </c>
      <c r="S186" s="1"/>
      <c r="T186" s="1">
        <v>0</v>
      </c>
      <c r="U186" s="1"/>
      <c r="V186" s="1">
        <v>0</v>
      </c>
      <c r="W186" s="1"/>
      <c r="X186" s="1">
        <v>0</v>
      </c>
      <c r="Y186" s="1"/>
      <c r="Z186" s="1">
        <v>0</v>
      </c>
      <c r="AA186" s="1"/>
      <c r="AB186" s="1">
        <v>0</v>
      </c>
      <c r="AC186" s="1"/>
      <c r="AD186" s="1">
        <v>0</v>
      </c>
      <c r="AE186" s="18"/>
      <c r="AF186" s="4">
        <f t="shared" si="9"/>
        <v>695248.72</v>
      </c>
      <c r="AG186" s="31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4"/>
    </row>
    <row r="187" spans="1:64">
      <c r="A187" s="4">
        <v>259</v>
      </c>
      <c r="B187" s="3" t="s">
        <v>306</v>
      </c>
      <c r="D187" s="3" t="s">
        <v>62</v>
      </c>
      <c r="F187" s="1">
        <v>115705.65</v>
      </c>
      <c r="G187" s="1"/>
      <c r="H187" s="1">
        <v>18179.53</v>
      </c>
      <c r="I187" s="1"/>
      <c r="J187" s="1">
        <v>43641.86</v>
      </c>
      <c r="K187" s="1"/>
      <c r="L187" s="1">
        <v>32481.26</v>
      </c>
      <c r="M187" s="1"/>
      <c r="N187" s="1">
        <v>0</v>
      </c>
      <c r="O187" s="1"/>
      <c r="P187" s="1">
        <v>7232.59</v>
      </c>
      <c r="Q187" s="1"/>
      <c r="R187" s="1">
        <v>1922.5</v>
      </c>
      <c r="S187" s="1"/>
      <c r="T187" s="1">
        <v>7235.74</v>
      </c>
      <c r="U187" s="1"/>
      <c r="V187" s="1">
        <v>0</v>
      </c>
      <c r="W187" s="1"/>
      <c r="X187" s="1">
        <v>0</v>
      </c>
      <c r="Y187" s="1"/>
      <c r="Z187" s="1">
        <v>0</v>
      </c>
      <c r="AA187" s="1"/>
      <c r="AB187" s="1">
        <v>0</v>
      </c>
      <c r="AC187" s="1"/>
      <c r="AD187" s="1">
        <v>0</v>
      </c>
      <c r="AE187" s="4"/>
      <c r="AF187" s="4">
        <f t="shared" si="9"/>
        <v>226399.12999999998</v>
      </c>
      <c r="AG187" s="31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4"/>
    </row>
    <row r="188" spans="1:64">
      <c r="A188" s="4">
        <v>168</v>
      </c>
      <c r="B188" s="18" t="s">
        <v>465</v>
      </c>
      <c r="C188" s="18"/>
      <c r="D188" s="18" t="s">
        <v>466</v>
      </c>
      <c r="E188" s="18"/>
      <c r="F188" s="1">
        <v>248647.08</v>
      </c>
      <c r="G188" s="1"/>
      <c r="H188" s="1">
        <v>90772.5</v>
      </c>
      <c r="I188" s="1"/>
      <c r="J188" s="1">
        <v>86837.52</v>
      </c>
      <c r="K188" s="1"/>
      <c r="L188" s="1">
        <v>66257.39</v>
      </c>
      <c r="M188" s="1"/>
      <c r="N188" s="1">
        <v>0</v>
      </c>
      <c r="O188" s="1"/>
      <c r="P188" s="1">
        <v>7770.78</v>
      </c>
      <c r="Q188" s="1"/>
      <c r="R188" s="1">
        <v>7388</v>
      </c>
      <c r="S188" s="1"/>
      <c r="T188" s="1">
        <v>0</v>
      </c>
      <c r="U188" s="1"/>
      <c r="V188" s="1">
        <v>0</v>
      </c>
      <c r="W188" s="1"/>
      <c r="X188" s="1">
        <v>0</v>
      </c>
      <c r="Y188" s="1"/>
      <c r="Z188" s="1">
        <v>0</v>
      </c>
      <c r="AA188" s="1"/>
      <c r="AB188" s="1">
        <v>0</v>
      </c>
      <c r="AC188" s="1"/>
      <c r="AD188" s="1">
        <v>0</v>
      </c>
      <c r="AE188" s="18"/>
      <c r="AF188" s="4">
        <f t="shared" si="9"/>
        <v>507673.27</v>
      </c>
      <c r="AI188" s="4"/>
    </row>
    <row r="189" spans="1:64">
      <c r="A189" s="4">
        <v>111</v>
      </c>
      <c r="B189" s="3" t="s">
        <v>200</v>
      </c>
      <c r="D189" s="3" t="s">
        <v>88</v>
      </c>
      <c r="F189" s="4">
        <v>73590</v>
      </c>
      <c r="G189" s="4"/>
      <c r="H189" s="4">
        <v>10676</v>
      </c>
      <c r="I189" s="4"/>
      <c r="J189" s="4">
        <v>24737</v>
      </c>
      <c r="K189" s="4"/>
      <c r="L189" s="4">
        <v>15835</v>
      </c>
      <c r="M189" s="4"/>
      <c r="N189" s="4">
        <v>0</v>
      </c>
      <c r="O189" s="4"/>
      <c r="P189" s="4">
        <v>2867</v>
      </c>
      <c r="Q189" s="4"/>
      <c r="R189" s="4">
        <v>370</v>
      </c>
      <c r="S189" s="4"/>
      <c r="T189" s="4">
        <v>0</v>
      </c>
      <c r="U189" s="4"/>
      <c r="V189" s="4">
        <v>0</v>
      </c>
      <c r="W189" s="4"/>
      <c r="X189" s="4">
        <v>0</v>
      </c>
      <c r="Y189" s="4"/>
      <c r="Z189" s="4">
        <v>0</v>
      </c>
      <c r="AA189" s="4"/>
      <c r="AB189" s="4">
        <v>0</v>
      </c>
      <c r="AC189" s="4"/>
      <c r="AD189" s="4">
        <v>0</v>
      </c>
      <c r="AE189" s="4"/>
      <c r="AF189" s="4">
        <f t="shared" si="9"/>
        <v>128075</v>
      </c>
    </row>
    <row r="190" spans="1:64">
      <c r="A190" s="4">
        <v>248</v>
      </c>
      <c r="B190" s="3" t="s">
        <v>201</v>
      </c>
      <c r="D190" s="3" t="s">
        <v>202</v>
      </c>
      <c r="F190" s="4">
        <v>111763</v>
      </c>
      <c r="G190" s="4"/>
      <c r="H190" s="4">
        <v>18178</v>
      </c>
      <c r="I190" s="4"/>
      <c r="J190" s="4">
        <v>52677</v>
      </c>
      <c r="K190" s="4"/>
      <c r="L190" s="4">
        <v>18532</v>
      </c>
      <c r="M190" s="4"/>
      <c r="N190" s="4">
        <v>0</v>
      </c>
      <c r="O190" s="4"/>
      <c r="P190" s="4">
        <v>7317</v>
      </c>
      <c r="Q190" s="4"/>
      <c r="R190" s="4">
        <v>2630</v>
      </c>
      <c r="S190" s="4"/>
      <c r="T190" s="4">
        <v>440656</v>
      </c>
      <c r="U190" s="4"/>
      <c r="V190" s="4">
        <v>0</v>
      </c>
      <c r="W190" s="4"/>
      <c r="X190" s="4">
        <v>0</v>
      </c>
      <c r="Y190" s="4"/>
      <c r="Z190" s="4">
        <v>0</v>
      </c>
      <c r="AA190" s="4"/>
      <c r="AB190" s="4">
        <v>0</v>
      </c>
      <c r="AC190" s="4"/>
      <c r="AD190" s="4">
        <v>0</v>
      </c>
      <c r="AE190" s="4"/>
      <c r="AF190" s="4">
        <f t="shared" si="9"/>
        <v>651753</v>
      </c>
    </row>
    <row r="191" spans="1:64">
      <c r="A191" s="4">
        <v>127</v>
      </c>
      <c r="B191" s="3" t="s">
        <v>203</v>
      </c>
      <c r="D191" s="3" t="s">
        <v>15</v>
      </c>
      <c r="F191" s="4">
        <v>1303967</v>
      </c>
      <c r="G191" s="4"/>
      <c r="H191" s="4">
        <v>411747</v>
      </c>
      <c r="I191" s="4"/>
      <c r="J191" s="4">
        <v>357816</v>
      </c>
      <c r="K191" s="4"/>
      <c r="L191" s="4">
        <v>416375</v>
      </c>
      <c r="M191" s="4"/>
      <c r="N191" s="4">
        <v>0</v>
      </c>
      <c r="O191" s="4"/>
      <c r="P191" s="4">
        <v>55793</v>
      </c>
      <c r="Q191" s="4"/>
      <c r="R191" s="4">
        <v>9682</v>
      </c>
      <c r="S191" s="4"/>
      <c r="T191" s="4">
        <v>10959</v>
      </c>
      <c r="U191" s="4"/>
      <c r="V191" s="4">
        <v>0</v>
      </c>
      <c r="W191" s="4"/>
      <c r="X191" s="4">
        <v>0</v>
      </c>
      <c r="Y191" s="4"/>
      <c r="Z191" s="4">
        <v>0</v>
      </c>
      <c r="AA191" s="4"/>
      <c r="AB191" s="4">
        <v>0</v>
      </c>
      <c r="AC191" s="4"/>
      <c r="AD191" s="4">
        <v>0</v>
      </c>
      <c r="AE191" s="4"/>
      <c r="AF191" s="4">
        <f t="shared" si="9"/>
        <v>2566339</v>
      </c>
      <c r="AG191" s="33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7"/>
    </row>
    <row r="192" spans="1:64">
      <c r="A192" s="4">
        <v>175</v>
      </c>
      <c r="B192" s="3" t="s">
        <v>204</v>
      </c>
      <c r="D192" s="3" t="s">
        <v>67</v>
      </c>
      <c r="F192" s="4">
        <v>177355</v>
      </c>
      <c r="G192" s="4"/>
      <c r="H192" s="4">
        <v>31595</v>
      </c>
      <c r="I192" s="4"/>
      <c r="J192" s="4">
        <v>84369</v>
      </c>
      <c r="K192" s="4"/>
      <c r="L192" s="4">
        <v>38107</v>
      </c>
      <c r="M192" s="4"/>
      <c r="N192" s="4">
        <v>0</v>
      </c>
      <c r="O192" s="4"/>
      <c r="P192" s="4">
        <v>5860</v>
      </c>
      <c r="Q192" s="4"/>
      <c r="R192" s="4">
        <v>4099</v>
      </c>
      <c r="S192" s="4"/>
      <c r="T192" s="4">
        <v>3578</v>
      </c>
      <c r="U192" s="4"/>
      <c r="V192" s="4">
        <v>0</v>
      </c>
      <c r="W192" s="4"/>
      <c r="X192" s="4">
        <v>0</v>
      </c>
      <c r="Y192" s="4"/>
      <c r="Z192" s="4">
        <v>0</v>
      </c>
      <c r="AA192" s="4"/>
      <c r="AB192" s="4">
        <v>0</v>
      </c>
      <c r="AC192" s="4"/>
      <c r="AD192" s="4">
        <v>0</v>
      </c>
      <c r="AE192" s="4"/>
      <c r="AF192" s="4">
        <f t="shared" si="9"/>
        <v>344963</v>
      </c>
    </row>
    <row r="193" spans="1:64">
      <c r="A193" s="4">
        <v>150</v>
      </c>
      <c r="B193" s="18" t="s">
        <v>205</v>
      </c>
      <c r="C193" s="18"/>
      <c r="D193" s="18" t="s">
        <v>459</v>
      </c>
      <c r="E193" s="18"/>
      <c r="F193" s="1">
        <v>99165.23</v>
      </c>
      <c r="G193" s="1"/>
      <c r="H193" s="1">
        <v>19987.7</v>
      </c>
      <c r="I193" s="1"/>
      <c r="J193" s="1">
        <v>55778.86</v>
      </c>
      <c r="K193" s="1"/>
      <c r="L193" s="1">
        <v>17307.03</v>
      </c>
      <c r="M193" s="1"/>
      <c r="N193" s="1">
        <v>0</v>
      </c>
      <c r="O193" s="1"/>
      <c r="P193" s="1">
        <v>3750.24</v>
      </c>
      <c r="Q193" s="1"/>
      <c r="R193" s="1">
        <v>2228.89</v>
      </c>
      <c r="S193" s="1"/>
      <c r="T193" s="1">
        <v>11691.89</v>
      </c>
      <c r="U193" s="1"/>
      <c r="V193" s="1">
        <v>0</v>
      </c>
      <c r="W193" s="1"/>
      <c r="X193" s="1">
        <v>0</v>
      </c>
      <c r="Y193" s="1"/>
      <c r="Z193" s="1">
        <v>0</v>
      </c>
      <c r="AA193" s="1"/>
      <c r="AB193" s="1">
        <v>0</v>
      </c>
      <c r="AC193" s="1"/>
      <c r="AD193" s="1">
        <v>0</v>
      </c>
      <c r="AE193" s="18"/>
      <c r="AF193" s="4">
        <f t="shared" si="9"/>
        <v>209909.83999999997</v>
      </c>
      <c r="AG193" s="31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4"/>
    </row>
    <row r="194" spans="1:64">
      <c r="A194" s="4">
        <v>122</v>
      </c>
      <c r="B194" s="3" t="s">
        <v>402</v>
      </c>
      <c r="D194" s="3" t="s">
        <v>16</v>
      </c>
      <c r="F194" s="4">
        <v>0</v>
      </c>
      <c r="G194" s="4"/>
      <c r="H194" s="4">
        <v>0</v>
      </c>
      <c r="I194" s="4"/>
      <c r="J194" s="4">
        <v>0</v>
      </c>
      <c r="K194" s="4"/>
      <c r="L194" s="4">
        <v>1537599</v>
      </c>
      <c r="M194" s="4"/>
      <c r="N194" s="4">
        <v>0</v>
      </c>
      <c r="O194" s="4"/>
      <c r="P194" s="4">
        <v>0</v>
      </c>
      <c r="Q194" s="4"/>
      <c r="R194" s="4">
        <v>0</v>
      </c>
      <c r="S194" s="4"/>
      <c r="T194" s="4">
        <v>0</v>
      </c>
      <c r="U194" s="4"/>
      <c r="V194" s="4">
        <v>0</v>
      </c>
      <c r="W194" s="4"/>
      <c r="X194" s="4">
        <v>0</v>
      </c>
      <c r="Y194" s="4"/>
      <c r="Z194" s="4">
        <v>0</v>
      </c>
      <c r="AA194" s="4"/>
      <c r="AB194" s="4">
        <v>0</v>
      </c>
      <c r="AC194" s="4"/>
      <c r="AD194" s="4">
        <v>0</v>
      </c>
      <c r="AE194" s="4"/>
      <c r="AF194" s="4">
        <f t="shared" si="9"/>
        <v>1537599</v>
      </c>
    </row>
    <row r="195" spans="1:64">
      <c r="A195" s="4">
        <v>178</v>
      </c>
      <c r="B195" s="3" t="s">
        <v>551</v>
      </c>
      <c r="D195" s="3" t="s">
        <v>207</v>
      </c>
      <c r="F195" s="4">
        <v>326017</v>
      </c>
      <c r="G195" s="4"/>
      <c r="H195" s="4">
        <v>0</v>
      </c>
      <c r="I195" s="4"/>
      <c r="J195" s="4">
        <v>0</v>
      </c>
      <c r="K195" s="4"/>
      <c r="L195" s="4">
        <f>2237788+481808</f>
        <v>2719596</v>
      </c>
      <c r="M195" s="4"/>
      <c r="N195" s="4">
        <v>0</v>
      </c>
      <c r="O195" s="4"/>
      <c r="P195" s="4">
        <v>0</v>
      </c>
      <c r="Q195" s="4"/>
      <c r="R195" s="4">
        <v>0</v>
      </c>
      <c r="S195" s="4"/>
      <c r="T195" s="4">
        <v>156</v>
      </c>
      <c r="U195" s="4"/>
      <c r="V195" s="4">
        <v>0</v>
      </c>
      <c r="W195" s="4"/>
      <c r="X195" s="4">
        <v>0</v>
      </c>
      <c r="Y195" s="4"/>
      <c r="Z195" s="4">
        <v>0</v>
      </c>
      <c r="AA195" s="4"/>
      <c r="AB195" s="4">
        <v>0</v>
      </c>
      <c r="AC195" s="4"/>
      <c r="AD195" s="4">
        <v>0</v>
      </c>
      <c r="AE195" s="4"/>
      <c r="AF195" s="4">
        <f t="shared" si="9"/>
        <v>3045769</v>
      </c>
      <c r="AG195" s="31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4"/>
    </row>
    <row r="196" spans="1:64">
      <c r="A196" s="4">
        <v>105</v>
      </c>
      <c r="B196" s="3" t="s">
        <v>307</v>
      </c>
      <c r="D196" s="3" t="s">
        <v>59</v>
      </c>
      <c r="F196" s="4">
        <v>440433</v>
      </c>
      <c r="G196" s="4"/>
      <c r="H196" s="4">
        <v>131850</v>
      </c>
      <c r="I196" s="4"/>
      <c r="J196" s="4">
        <v>79798</v>
      </c>
      <c r="K196" s="4"/>
      <c r="L196" s="4">
        <v>107504</v>
      </c>
      <c r="M196" s="4"/>
      <c r="N196" s="4">
        <v>0</v>
      </c>
      <c r="O196" s="4"/>
      <c r="P196" s="4">
        <v>12375</v>
      </c>
      <c r="Q196" s="4"/>
      <c r="R196" s="4">
        <v>4622</v>
      </c>
      <c r="S196" s="4"/>
      <c r="T196" s="4">
        <v>638</v>
      </c>
      <c r="U196" s="4"/>
      <c r="V196" s="4">
        <v>0</v>
      </c>
      <c r="W196" s="4"/>
      <c r="X196" s="4">
        <v>0</v>
      </c>
      <c r="Y196" s="4"/>
      <c r="Z196" s="4">
        <v>0</v>
      </c>
      <c r="AA196" s="4"/>
      <c r="AB196" s="4">
        <v>0</v>
      </c>
      <c r="AC196" s="4"/>
      <c r="AD196" s="4">
        <v>0</v>
      </c>
      <c r="AE196" s="4"/>
      <c r="AF196" s="4">
        <f t="shared" si="9"/>
        <v>777220</v>
      </c>
      <c r="AG196" s="31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4"/>
    </row>
    <row r="197" spans="1:64">
      <c r="A197" s="4">
        <v>16</v>
      </c>
      <c r="B197" s="18" t="s">
        <v>431</v>
      </c>
      <c r="C197" s="18"/>
      <c r="D197" s="18" t="s">
        <v>442</v>
      </c>
      <c r="E197" s="18"/>
      <c r="F197" s="1">
        <v>1038718.46</v>
      </c>
      <c r="G197" s="1"/>
      <c r="H197" s="1">
        <v>295291.48</v>
      </c>
      <c r="I197" s="1"/>
      <c r="J197" s="1">
        <v>207511.02</v>
      </c>
      <c r="K197" s="1"/>
      <c r="L197" s="1">
        <v>141266.35</v>
      </c>
      <c r="M197" s="1"/>
      <c r="N197" s="1">
        <v>0</v>
      </c>
      <c r="O197" s="1"/>
      <c r="P197" s="1">
        <v>24946.47</v>
      </c>
      <c r="Q197" s="1"/>
      <c r="R197" s="1">
        <v>6612.5</v>
      </c>
      <c r="S197" s="1"/>
      <c r="T197" s="1">
        <v>61127.62</v>
      </c>
      <c r="U197" s="1"/>
      <c r="V197" s="1">
        <v>0</v>
      </c>
      <c r="W197" s="1"/>
      <c r="X197" s="1">
        <v>0</v>
      </c>
      <c r="Y197" s="1"/>
      <c r="Z197" s="1">
        <v>0</v>
      </c>
      <c r="AA197" s="1"/>
      <c r="AB197" s="1">
        <v>0</v>
      </c>
      <c r="AC197" s="1"/>
      <c r="AD197" s="1">
        <v>0</v>
      </c>
      <c r="AE197" s="18"/>
      <c r="AF197" s="4">
        <f t="shared" si="9"/>
        <v>1775473.9000000001</v>
      </c>
    </row>
    <row r="198" spans="1:64" hidden="1">
      <c r="A198" s="4">
        <v>228</v>
      </c>
      <c r="B198" s="3" t="s">
        <v>412</v>
      </c>
      <c r="D198" s="3" t="s">
        <v>55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>
        <f t="shared" si="9"/>
        <v>0</v>
      </c>
    </row>
    <row r="199" spans="1:64">
      <c r="A199" s="4">
        <v>33</v>
      </c>
      <c r="B199" s="18" t="s">
        <v>432</v>
      </c>
      <c r="C199" s="18"/>
      <c r="D199" s="18" t="s">
        <v>449</v>
      </c>
      <c r="E199" s="18"/>
      <c r="F199" s="1">
        <v>321041.65000000002</v>
      </c>
      <c r="G199" s="1"/>
      <c r="H199" s="1">
        <v>96601.81</v>
      </c>
      <c r="I199" s="1"/>
      <c r="J199" s="1">
        <v>63420.2</v>
      </c>
      <c r="K199" s="1"/>
      <c r="L199" s="1">
        <v>19738.78</v>
      </c>
      <c r="M199" s="1"/>
      <c r="N199" s="1">
        <v>0</v>
      </c>
      <c r="O199" s="1"/>
      <c r="P199" s="1">
        <v>9217.4</v>
      </c>
      <c r="Q199" s="1"/>
      <c r="R199" s="1">
        <v>3362.82</v>
      </c>
      <c r="S199" s="1"/>
      <c r="T199" s="1">
        <v>3945.93</v>
      </c>
      <c r="U199" s="1"/>
      <c r="V199" s="1">
        <v>0</v>
      </c>
      <c r="W199" s="1"/>
      <c r="X199" s="1">
        <v>0</v>
      </c>
      <c r="Y199" s="1"/>
      <c r="Z199" s="1">
        <v>0</v>
      </c>
      <c r="AA199" s="1"/>
      <c r="AB199" s="1">
        <v>0</v>
      </c>
      <c r="AC199" s="1"/>
      <c r="AD199" s="1">
        <v>148.58000000000001</v>
      </c>
      <c r="AE199" s="18"/>
      <c r="AF199" s="4">
        <f t="shared" si="9"/>
        <v>517477.1700000001</v>
      </c>
    </row>
    <row r="200" spans="1:64">
      <c r="A200" s="4">
        <v>112</v>
      </c>
      <c r="B200" s="3" t="s">
        <v>338</v>
      </c>
      <c r="D200" s="3" t="s">
        <v>88</v>
      </c>
      <c r="F200" s="4">
        <v>172457</v>
      </c>
      <c r="G200" s="4"/>
      <c r="H200" s="4">
        <v>0</v>
      </c>
      <c r="I200" s="4"/>
      <c r="J200" s="4">
        <v>40306</v>
      </c>
      <c r="K200" s="4"/>
      <c r="L200" s="4">
        <v>37874</v>
      </c>
      <c r="M200" s="4"/>
      <c r="N200" s="4">
        <v>0</v>
      </c>
      <c r="O200" s="4"/>
      <c r="P200" s="4">
        <v>7179</v>
      </c>
      <c r="Q200" s="4"/>
      <c r="R200" s="4">
        <v>9830</v>
      </c>
      <c r="S200" s="4"/>
      <c r="T200" s="4">
        <v>42459</v>
      </c>
      <c r="U200" s="4"/>
      <c r="V200" s="4">
        <v>0</v>
      </c>
      <c r="W200" s="4"/>
      <c r="X200" s="4">
        <v>0</v>
      </c>
      <c r="Y200" s="4"/>
      <c r="Z200" s="4">
        <v>0</v>
      </c>
      <c r="AA200" s="4"/>
      <c r="AB200" s="4">
        <v>0</v>
      </c>
      <c r="AC200" s="4"/>
      <c r="AD200" s="4">
        <v>0</v>
      </c>
      <c r="AE200" s="4"/>
      <c r="AF200" s="4">
        <f t="shared" si="9"/>
        <v>310105</v>
      </c>
    </row>
    <row r="201" spans="1:64">
      <c r="A201" s="4">
        <v>60</v>
      </c>
      <c r="B201" s="3" t="s">
        <v>209</v>
      </c>
      <c r="D201" s="3" t="s">
        <v>80</v>
      </c>
      <c r="F201" s="1">
        <v>146646.19</v>
      </c>
      <c r="G201" s="1"/>
      <c r="H201" s="1">
        <v>37371.040000000001</v>
      </c>
      <c r="I201" s="1"/>
      <c r="J201" s="1">
        <v>50895.81</v>
      </c>
      <c r="K201" s="1"/>
      <c r="L201" s="1">
        <v>28317.18</v>
      </c>
      <c r="M201" s="1"/>
      <c r="N201" s="1">
        <v>0</v>
      </c>
      <c r="O201" s="1"/>
      <c r="P201" s="1">
        <v>4189.41</v>
      </c>
      <c r="Q201" s="1"/>
      <c r="R201" s="1">
        <v>839.08</v>
      </c>
      <c r="S201" s="1"/>
      <c r="T201" s="1">
        <v>2457.89</v>
      </c>
      <c r="U201" s="1"/>
      <c r="V201" s="1">
        <v>0</v>
      </c>
      <c r="W201" s="1"/>
      <c r="X201" s="1">
        <v>0</v>
      </c>
      <c r="Y201" s="1"/>
      <c r="Z201" s="1">
        <v>0</v>
      </c>
      <c r="AA201" s="1"/>
      <c r="AB201" s="1">
        <v>0</v>
      </c>
      <c r="AC201" s="1"/>
      <c r="AD201" s="1">
        <v>0</v>
      </c>
      <c r="AE201" s="4"/>
      <c r="AF201" s="4">
        <f t="shared" si="9"/>
        <v>270716.60000000003</v>
      </c>
    </row>
    <row r="202" spans="1:64">
      <c r="A202" s="4">
        <v>186</v>
      </c>
      <c r="B202" s="18" t="s">
        <v>433</v>
      </c>
      <c r="C202" s="18"/>
      <c r="D202" s="18" t="s">
        <v>468</v>
      </c>
      <c r="E202" s="18"/>
      <c r="F202" s="1">
        <v>56831.75</v>
      </c>
      <c r="G202" s="1"/>
      <c r="H202" s="1">
        <v>9209.49</v>
      </c>
      <c r="I202" s="1"/>
      <c r="J202" s="1">
        <v>25611.599999999999</v>
      </c>
      <c r="K202" s="1"/>
      <c r="L202" s="1">
        <v>16179.83</v>
      </c>
      <c r="M202" s="1"/>
      <c r="N202" s="1">
        <v>0</v>
      </c>
      <c r="O202" s="1"/>
      <c r="P202" s="1">
        <v>4325.01</v>
      </c>
      <c r="Q202" s="1"/>
      <c r="R202" s="1">
        <v>450.8</v>
      </c>
      <c r="S202" s="1"/>
      <c r="T202" s="1">
        <v>377.1</v>
      </c>
      <c r="U202" s="1"/>
      <c r="V202" s="1">
        <v>0</v>
      </c>
      <c r="W202" s="1"/>
      <c r="X202" s="1">
        <v>0</v>
      </c>
      <c r="Y202" s="1"/>
      <c r="Z202" s="1">
        <v>0</v>
      </c>
      <c r="AA202" s="1"/>
      <c r="AB202" s="1">
        <v>0</v>
      </c>
      <c r="AC202" s="1"/>
      <c r="AD202" s="1">
        <v>0</v>
      </c>
      <c r="AE202" s="18"/>
      <c r="AF202" s="4">
        <f t="shared" si="9"/>
        <v>112985.58</v>
      </c>
    </row>
    <row r="203" spans="1:64">
      <c r="A203" s="4">
        <v>235</v>
      </c>
      <c r="B203" s="18" t="s">
        <v>210</v>
      </c>
      <c r="C203" s="18"/>
      <c r="D203" s="18" t="s">
        <v>471</v>
      </c>
      <c r="E203" s="18"/>
      <c r="F203" s="1">
        <v>163847.04000000001</v>
      </c>
      <c r="G203" s="1"/>
      <c r="H203" s="1">
        <v>47476.9</v>
      </c>
      <c r="I203" s="1"/>
      <c r="J203" s="1">
        <v>53930.92</v>
      </c>
      <c r="K203" s="1"/>
      <c r="L203" s="1">
        <v>30258.11</v>
      </c>
      <c r="M203" s="1"/>
      <c r="N203" s="1">
        <v>0</v>
      </c>
      <c r="O203" s="1"/>
      <c r="P203" s="1">
        <v>10380.950000000001</v>
      </c>
      <c r="Q203" s="1"/>
      <c r="R203" s="1">
        <v>10113.33</v>
      </c>
      <c r="S203" s="1"/>
      <c r="T203" s="1">
        <v>2985</v>
      </c>
      <c r="U203" s="1"/>
      <c r="V203" s="1">
        <v>0</v>
      </c>
      <c r="W203" s="1"/>
      <c r="X203" s="1">
        <v>0</v>
      </c>
      <c r="Y203" s="1"/>
      <c r="Z203" s="1">
        <v>26729.16</v>
      </c>
      <c r="AA203" s="1"/>
      <c r="AB203" s="1">
        <v>0</v>
      </c>
      <c r="AC203" s="1"/>
      <c r="AD203" s="1">
        <v>3034.27</v>
      </c>
      <c r="AE203" s="18"/>
      <c r="AF203" s="4">
        <f t="shared" si="9"/>
        <v>348755.68</v>
      </c>
    </row>
    <row r="204" spans="1:64">
      <c r="A204" s="4">
        <v>229</v>
      </c>
      <c r="B204" s="3" t="s">
        <v>211</v>
      </c>
      <c r="D204" s="3" t="s">
        <v>55</v>
      </c>
      <c r="F204" s="4">
        <v>349161</v>
      </c>
      <c r="G204" s="4"/>
      <c r="H204" s="4">
        <v>184786</v>
      </c>
      <c r="I204" s="4"/>
      <c r="J204" s="4">
        <v>65040</v>
      </c>
      <c r="K204" s="4"/>
      <c r="L204" s="4">
        <v>36574</v>
      </c>
      <c r="M204" s="4"/>
      <c r="N204" s="4">
        <v>0</v>
      </c>
      <c r="O204" s="4"/>
      <c r="P204" s="4">
        <v>12558</v>
      </c>
      <c r="Q204" s="4"/>
      <c r="R204" s="4">
        <v>6044</v>
      </c>
      <c r="S204" s="4"/>
      <c r="T204" s="4">
        <v>736</v>
      </c>
      <c r="U204" s="4"/>
      <c r="V204" s="4">
        <v>0</v>
      </c>
      <c r="W204" s="4"/>
      <c r="X204" s="4">
        <v>0</v>
      </c>
      <c r="Y204" s="4"/>
      <c r="Z204" s="4">
        <v>0</v>
      </c>
      <c r="AA204" s="4"/>
      <c r="AB204" s="4">
        <v>0</v>
      </c>
      <c r="AC204" s="4"/>
      <c r="AD204" s="4">
        <v>0</v>
      </c>
      <c r="AE204" s="4"/>
      <c r="AF204" s="4">
        <f t="shared" si="9"/>
        <v>654899</v>
      </c>
    </row>
    <row r="205" spans="1:64">
      <c r="A205" s="4">
        <v>85</v>
      </c>
      <c r="B205" s="3" t="s">
        <v>214</v>
      </c>
      <c r="D205" s="3" t="s">
        <v>41</v>
      </c>
      <c r="F205" s="1">
        <v>75232.600000000006</v>
      </c>
      <c r="G205" s="1"/>
      <c r="H205" s="1">
        <v>11826.18</v>
      </c>
      <c r="I205" s="1"/>
      <c r="J205" s="1">
        <v>25726.27</v>
      </c>
      <c r="K205" s="1"/>
      <c r="L205" s="1">
        <v>14705.58</v>
      </c>
      <c r="M205" s="1"/>
      <c r="N205" s="1">
        <v>0</v>
      </c>
      <c r="O205" s="1"/>
      <c r="P205" s="1">
        <v>3163.96</v>
      </c>
      <c r="Q205" s="1"/>
      <c r="R205" s="1">
        <v>358</v>
      </c>
      <c r="S205" s="1"/>
      <c r="T205" s="1">
        <v>1045.3800000000001</v>
      </c>
      <c r="U205" s="1"/>
      <c r="V205" s="1">
        <v>0</v>
      </c>
      <c r="W205" s="1"/>
      <c r="X205" s="1">
        <v>0</v>
      </c>
      <c r="Y205" s="1"/>
      <c r="Z205" s="1">
        <v>0</v>
      </c>
      <c r="AA205" s="1"/>
      <c r="AB205" s="1">
        <v>0</v>
      </c>
      <c r="AC205" s="1"/>
      <c r="AD205" s="1">
        <v>0</v>
      </c>
      <c r="AE205" s="4"/>
      <c r="AF205" s="4">
        <f t="shared" ref="AF205:AF241" si="10">SUM(F205:AD205)</f>
        <v>132057.97</v>
      </c>
    </row>
    <row r="206" spans="1:64">
      <c r="A206" s="4">
        <v>250</v>
      </c>
      <c r="B206" s="18" t="s">
        <v>215</v>
      </c>
      <c r="C206" s="18"/>
      <c r="D206" s="18" t="s">
        <v>473</v>
      </c>
      <c r="E206" s="18"/>
      <c r="F206" s="1">
        <v>198691.08</v>
      </c>
      <c r="G206" s="1"/>
      <c r="H206" s="1">
        <v>69197.740000000005</v>
      </c>
      <c r="I206" s="1"/>
      <c r="J206" s="1">
        <v>43752.75</v>
      </c>
      <c r="K206" s="1"/>
      <c r="L206" s="1">
        <v>25704.3</v>
      </c>
      <c r="M206" s="1"/>
      <c r="N206" s="1">
        <v>0</v>
      </c>
      <c r="O206" s="1"/>
      <c r="P206" s="1">
        <v>5258.01</v>
      </c>
      <c r="Q206" s="1"/>
      <c r="R206" s="1">
        <v>3904.56</v>
      </c>
      <c r="S206" s="1"/>
      <c r="T206" s="1">
        <v>3860</v>
      </c>
      <c r="U206" s="1"/>
      <c r="V206" s="1">
        <v>0</v>
      </c>
      <c r="W206" s="1"/>
      <c r="X206" s="1">
        <v>0</v>
      </c>
      <c r="Y206" s="1"/>
      <c r="Z206" s="1">
        <v>0</v>
      </c>
      <c r="AA206" s="1"/>
      <c r="AB206" s="1">
        <v>0</v>
      </c>
      <c r="AC206" s="1"/>
      <c r="AD206" s="1">
        <v>0</v>
      </c>
      <c r="AE206" s="18"/>
      <c r="AF206" s="4">
        <f t="shared" si="10"/>
        <v>350368.44</v>
      </c>
      <c r="AG206" s="4"/>
    </row>
    <row r="207" spans="1:64">
      <c r="A207" s="4">
        <v>213</v>
      </c>
      <c r="B207" s="3" t="s">
        <v>216</v>
      </c>
      <c r="D207" s="3" t="s">
        <v>25</v>
      </c>
      <c r="F207" s="4">
        <f>275106+292684</f>
        <v>567790</v>
      </c>
      <c r="G207" s="4"/>
      <c r="H207" s="4">
        <v>0</v>
      </c>
      <c r="I207" s="4"/>
      <c r="J207" s="4">
        <v>0</v>
      </c>
      <c r="K207" s="4"/>
      <c r="L207" s="4">
        <f>724159+103787</f>
        <v>827946</v>
      </c>
      <c r="M207" s="4"/>
      <c r="N207" s="4">
        <v>141738</v>
      </c>
      <c r="O207" s="4"/>
      <c r="P207" s="4">
        <v>0</v>
      </c>
      <c r="Q207" s="4"/>
      <c r="R207" s="4">
        <v>0</v>
      </c>
      <c r="S207" s="4"/>
      <c r="T207" s="4">
        <v>2000</v>
      </c>
      <c r="U207" s="4"/>
      <c r="V207" s="4">
        <v>0</v>
      </c>
      <c r="W207" s="4"/>
      <c r="X207" s="4">
        <v>0</v>
      </c>
      <c r="Y207" s="4"/>
      <c r="Z207" s="4">
        <v>0</v>
      </c>
      <c r="AA207" s="4"/>
      <c r="AB207" s="4">
        <v>0</v>
      </c>
      <c r="AC207" s="4"/>
      <c r="AD207" s="4">
        <v>0</v>
      </c>
      <c r="AE207" s="4"/>
      <c r="AF207" s="4">
        <f t="shared" si="10"/>
        <v>1539474</v>
      </c>
    </row>
    <row r="208" spans="1:64">
      <c r="A208" s="4"/>
      <c r="B208" s="3" t="s">
        <v>567</v>
      </c>
      <c r="D208" s="3" t="s">
        <v>55</v>
      </c>
      <c r="F208" s="4">
        <v>195355</v>
      </c>
      <c r="G208" s="4"/>
      <c r="H208" s="4">
        <f>24088+14836</f>
        <v>38924</v>
      </c>
      <c r="I208" s="4"/>
      <c r="J208" s="4">
        <f>27947+4647+38016+10661+138403+65670</f>
        <v>285344</v>
      </c>
      <c r="K208" s="4"/>
      <c r="L208" s="4">
        <f>4073+888+53949+810</f>
        <v>59720</v>
      </c>
      <c r="M208" s="4"/>
      <c r="N208" s="4">
        <v>0</v>
      </c>
      <c r="O208" s="4"/>
      <c r="P208" s="4">
        <v>5626</v>
      </c>
      <c r="Q208" s="4"/>
      <c r="R208" s="4">
        <f>33623+1783</f>
        <v>35406</v>
      </c>
      <c r="S208" s="4"/>
      <c r="T208" s="4">
        <v>10042</v>
      </c>
      <c r="U208" s="4"/>
      <c r="V208" s="4">
        <v>0</v>
      </c>
      <c r="W208" s="4"/>
      <c r="X208" s="4">
        <v>0</v>
      </c>
      <c r="Y208" s="4"/>
      <c r="Z208" s="4">
        <v>0</v>
      </c>
      <c r="AA208" s="4"/>
      <c r="AB208" s="4">
        <v>0</v>
      </c>
      <c r="AC208" s="4"/>
      <c r="AD208" s="4">
        <v>0</v>
      </c>
      <c r="AE208" s="4"/>
      <c r="AF208" s="4">
        <f t="shared" si="10"/>
        <v>630417</v>
      </c>
    </row>
    <row r="209" spans="1:64" s="4" customFormat="1">
      <c r="A209" s="4">
        <v>251</v>
      </c>
      <c r="B209" s="3" t="s">
        <v>414</v>
      </c>
      <c r="C209" s="3"/>
      <c r="D209" s="3" t="s">
        <v>64</v>
      </c>
      <c r="E209" s="3"/>
      <c r="F209" s="4">
        <v>0</v>
      </c>
      <c r="H209" s="4">
        <v>0</v>
      </c>
      <c r="J209" s="4">
        <v>5926</v>
      </c>
      <c r="L209" s="4">
        <v>2392</v>
      </c>
      <c r="N209" s="4">
        <v>0</v>
      </c>
      <c r="P209" s="4">
        <v>2193</v>
      </c>
      <c r="R209" s="4">
        <v>1732</v>
      </c>
      <c r="T209" s="4">
        <v>0</v>
      </c>
      <c r="V209" s="4">
        <v>0</v>
      </c>
      <c r="X209" s="4">
        <v>0</v>
      </c>
      <c r="Z209" s="4">
        <v>0</v>
      </c>
      <c r="AB209" s="4">
        <v>0</v>
      </c>
      <c r="AD209" s="4">
        <v>0</v>
      </c>
      <c r="AF209" s="4">
        <f t="shared" si="10"/>
        <v>12243</v>
      </c>
      <c r="AG209" s="31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</row>
    <row r="210" spans="1:64" s="4" customFormat="1">
      <c r="A210" s="4">
        <v>113</v>
      </c>
      <c r="B210" s="3" t="s">
        <v>217</v>
      </c>
      <c r="C210" s="3"/>
      <c r="D210" s="3" t="s">
        <v>88</v>
      </c>
      <c r="E210" s="3"/>
      <c r="F210" s="1">
        <v>496093.84</v>
      </c>
      <c r="G210" s="1"/>
      <c r="H210" s="1">
        <v>137020.1</v>
      </c>
      <c r="I210" s="1"/>
      <c r="J210" s="1">
        <v>139356.07999999999</v>
      </c>
      <c r="K210" s="1"/>
      <c r="L210" s="1">
        <v>41895.730000000003</v>
      </c>
      <c r="M210" s="1"/>
      <c r="N210" s="1">
        <v>0</v>
      </c>
      <c r="O210" s="1"/>
      <c r="P210" s="1">
        <v>13408.89</v>
      </c>
      <c r="Q210" s="1"/>
      <c r="R210" s="1">
        <v>5370.62</v>
      </c>
      <c r="S210" s="1"/>
      <c r="T210" s="1">
        <v>4298.97</v>
      </c>
      <c r="U210" s="1"/>
      <c r="V210" s="1">
        <v>0</v>
      </c>
      <c r="W210" s="1"/>
      <c r="X210" s="1">
        <v>0</v>
      </c>
      <c r="Y210" s="1"/>
      <c r="Z210" s="1">
        <v>0</v>
      </c>
      <c r="AA210" s="1"/>
      <c r="AB210" s="1">
        <v>0</v>
      </c>
      <c r="AC210" s="1"/>
      <c r="AD210" s="1">
        <v>0</v>
      </c>
      <c r="AF210" s="4">
        <f t="shared" si="10"/>
        <v>837444.23</v>
      </c>
      <c r="AG210" s="31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</row>
    <row r="211" spans="1:64" s="4" customFormat="1">
      <c r="A211" s="4">
        <v>183</v>
      </c>
      <c r="B211" s="3" t="s">
        <v>218</v>
      </c>
      <c r="C211" s="3"/>
      <c r="D211" s="3" t="s">
        <v>156</v>
      </c>
      <c r="E211" s="3"/>
      <c r="F211" s="4">
        <v>142200</v>
      </c>
      <c r="H211" s="4">
        <v>40293</v>
      </c>
      <c r="J211" s="4">
        <v>34343</v>
      </c>
      <c r="L211" s="4">
        <v>38131</v>
      </c>
      <c r="N211" s="4">
        <v>0</v>
      </c>
      <c r="P211" s="4">
        <v>11364</v>
      </c>
      <c r="R211" s="4">
        <v>3775</v>
      </c>
      <c r="T211" s="4">
        <v>5728</v>
      </c>
      <c r="V211" s="4">
        <v>0</v>
      </c>
      <c r="X211" s="4">
        <v>0</v>
      </c>
      <c r="Z211" s="4">
        <v>0</v>
      </c>
      <c r="AB211" s="4">
        <v>0</v>
      </c>
      <c r="AD211" s="4">
        <v>0</v>
      </c>
      <c r="AF211" s="4">
        <f t="shared" si="10"/>
        <v>275834</v>
      </c>
      <c r="AG211" s="31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</row>
    <row r="212" spans="1:64" s="4" customFormat="1">
      <c r="A212" s="4">
        <v>116</v>
      </c>
      <c r="B212" s="3" t="s">
        <v>219</v>
      </c>
      <c r="C212" s="3"/>
      <c r="D212" s="3" t="s">
        <v>168</v>
      </c>
      <c r="E212" s="3"/>
      <c r="F212" s="4">
        <v>148954</v>
      </c>
      <c r="H212" s="4">
        <v>263</v>
      </c>
      <c r="J212" s="4">
        <v>56080</v>
      </c>
      <c r="L212" s="4">
        <v>20490</v>
      </c>
      <c r="N212" s="4">
        <v>0</v>
      </c>
      <c r="P212" s="4">
        <v>3793</v>
      </c>
      <c r="R212" s="4">
        <v>1834</v>
      </c>
      <c r="T212" s="4">
        <v>8361</v>
      </c>
      <c r="V212" s="4">
        <v>0</v>
      </c>
      <c r="X212" s="4">
        <v>0</v>
      </c>
      <c r="Z212" s="4">
        <v>0</v>
      </c>
      <c r="AB212" s="4">
        <v>0</v>
      </c>
      <c r="AD212" s="4">
        <v>0</v>
      </c>
      <c r="AF212" s="4">
        <f t="shared" si="10"/>
        <v>239775</v>
      </c>
      <c r="AG212" s="31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</row>
    <row r="213" spans="1:64">
      <c r="A213" s="4">
        <v>146</v>
      </c>
      <c r="B213" s="3" t="s">
        <v>220</v>
      </c>
      <c r="D213" s="3" t="s">
        <v>56</v>
      </c>
      <c r="F213" s="1">
        <v>534080.1</v>
      </c>
      <c r="G213" s="1"/>
      <c r="H213" s="1">
        <v>181329.2</v>
      </c>
      <c r="I213" s="1"/>
      <c r="J213" s="1">
        <v>183660.57</v>
      </c>
      <c r="K213" s="1"/>
      <c r="L213" s="1">
        <v>175044.2</v>
      </c>
      <c r="M213" s="1"/>
      <c r="N213" s="1">
        <v>0</v>
      </c>
      <c r="O213" s="1"/>
      <c r="P213" s="1">
        <v>18967.7</v>
      </c>
      <c r="Q213" s="1"/>
      <c r="R213" s="1">
        <v>1485.64</v>
      </c>
      <c r="S213" s="1"/>
      <c r="T213" s="1">
        <v>5040.24</v>
      </c>
      <c r="U213" s="1"/>
      <c r="V213" s="1">
        <v>0</v>
      </c>
      <c r="W213" s="1"/>
      <c r="X213" s="1">
        <v>0</v>
      </c>
      <c r="Y213" s="1"/>
      <c r="Z213" s="1">
        <v>100000</v>
      </c>
      <c r="AA213" s="1"/>
      <c r="AB213" s="1">
        <v>0</v>
      </c>
      <c r="AC213" s="1"/>
      <c r="AD213" s="1">
        <v>0</v>
      </c>
      <c r="AE213" s="4"/>
      <c r="AF213" s="4">
        <f t="shared" si="10"/>
        <v>1199607.6499999999</v>
      </c>
      <c r="AR213" s="3">
        <v>838.96</v>
      </c>
    </row>
    <row r="214" spans="1:64" s="17" customFormat="1">
      <c r="A214" s="4">
        <v>246</v>
      </c>
      <c r="B214" s="3" t="s">
        <v>222</v>
      </c>
      <c r="C214" s="3"/>
      <c r="D214" s="3" t="s">
        <v>223</v>
      </c>
      <c r="E214" s="3"/>
      <c r="F214" s="4">
        <f>128845+159690</f>
        <v>288535</v>
      </c>
      <c r="G214" s="4"/>
      <c r="H214" s="4">
        <v>0</v>
      </c>
      <c r="I214" s="4"/>
      <c r="J214" s="4">
        <v>0</v>
      </c>
      <c r="K214" s="4"/>
      <c r="L214" s="4">
        <f>442101+52763</f>
        <v>494864</v>
      </c>
      <c r="M214" s="4"/>
      <c r="N214" s="4">
        <v>115864</v>
      </c>
      <c r="O214" s="4"/>
      <c r="P214" s="4">
        <v>0</v>
      </c>
      <c r="Q214" s="4"/>
      <c r="R214" s="4">
        <v>0</v>
      </c>
      <c r="S214" s="4"/>
      <c r="T214" s="4">
        <v>0</v>
      </c>
      <c r="U214" s="4"/>
      <c r="V214" s="4">
        <v>0</v>
      </c>
      <c r="W214" s="4"/>
      <c r="X214" s="4">
        <v>0</v>
      </c>
      <c r="Y214" s="4"/>
      <c r="Z214" s="4">
        <v>0</v>
      </c>
      <c r="AA214" s="4"/>
      <c r="AB214" s="4">
        <v>0</v>
      </c>
      <c r="AC214" s="4"/>
      <c r="AD214" s="4">
        <v>0</v>
      </c>
      <c r="AE214" s="4"/>
      <c r="AF214" s="4">
        <f t="shared" si="10"/>
        <v>899263</v>
      </c>
      <c r="AG214" s="31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4"/>
    </row>
    <row r="215" spans="1:64">
      <c r="A215" s="4">
        <v>136</v>
      </c>
      <c r="B215" s="3" t="s">
        <v>224</v>
      </c>
      <c r="D215" s="3" t="s">
        <v>40</v>
      </c>
      <c r="F215" s="1">
        <v>404401.63</v>
      </c>
      <c r="G215" s="1"/>
      <c r="H215" s="1">
        <v>105822.7</v>
      </c>
      <c r="I215" s="1"/>
      <c r="J215" s="1">
        <v>62636.65</v>
      </c>
      <c r="K215" s="1"/>
      <c r="L215" s="1">
        <v>141028.65</v>
      </c>
      <c r="M215" s="1"/>
      <c r="N215" s="1">
        <v>0</v>
      </c>
      <c r="O215" s="1"/>
      <c r="P215" s="1">
        <v>37314.01</v>
      </c>
      <c r="Q215" s="1"/>
      <c r="R215" s="1">
        <v>677.78</v>
      </c>
      <c r="S215" s="1"/>
      <c r="T215" s="1">
        <v>14637.91</v>
      </c>
      <c r="U215" s="1"/>
      <c r="V215" s="1">
        <v>0</v>
      </c>
      <c r="W215" s="1"/>
      <c r="X215" s="1">
        <v>0</v>
      </c>
      <c r="Y215" s="1"/>
      <c r="Z215" s="1">
        <v>0</v>
      </c>
      <c r="AA215" s="1"/>
      <c r="AB215" s="1">
        <v>0</v>
      </c>
      <c r="AC215" s="1"/>
      <c r="AD215" s="1">
        <v>0</v>
      </c>
      <c r="AE215" s="4"/>
      <c r="AF215" s="4">
        <f t="shared" si="10"/>
        <v>766519.33000000007</v>
      </c>
      <c r="AG215" s="31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4"/>
    </row>
    <row r="216" spans="1:64" s="17" customFormat="1">
      <c r="A216" s="4">
        <v>106</v>
      </c>
      <c r="B216" s="3" t="s">
        <v>225</v>
      </c>
      <c r="C216" s="3"/>
      <c r="D216" s="3" t="s">
        <v>59</v>
      </c>
      <c r="E216" s="3"/>
      <c r="F216" s="1">
        <v>161596.07</v>
      </c>
      <c r="G216" s="1"/>
      <c r="H216" s="1">
        <v>27291.200000000001</v>
      </c>
      <c r="I216" s="1"/>
      <c r="J216" s="1">
        <v>29688.92</v>
      </c>
      <c r="K216" s="1"/>
      <c r="L216" s="1">
        <v>24432.55</v>
      </c>
      <c r="M216" s="1"/>
      <c r="N216" s="1">
        <v>0</v>
      </c>
      <c r="O216" s="1"/>
      <c r="P216" s="1">
        <v>7263.13</v>
      </c>
      <c r="Q216" s="1"/>
      <c r="R216" s="1">
        <v>5460.8</v>
      </c>
      <c r="S216" s="1"/>
      <c r="T216" s="1">
        <v>1953.18</v>
      </c>
      <c r="U216" s="1"/>
      <c r="V216" s="1">
        <v>0</v>
      </c>
      <c r="W216" s="1"/>
      <c r="X216" s="1">
        <v>0</v>
      </c>
      <c r="Y216" s="1"/>
      <c r="Z216" s="1">
        <v>0</v>
      </c>
      <c r="AA216" s="1"/>
      <c r="AB216" s="1">
        <v>0</v>
      </c>
      <c r="AC216" s="1"/>
      <c r="AD216" s="1">
        <v>0</v>
      </c>
      <c r="AE216" s="4"/>
      <c r="AF216" s="4">
        <f t="shared" si="10"/>
        <v>257685.84999999998</v>
      </c>
      <c r="AG216" s="31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4"/>
    </row>
    <row r="217" spans="1:64" s="17" customFormat="1">
      <c r="A217" s="4">
        <v>184</v>
      </c>
      <c r="B217" s="3" t="s">
        <v>226</v>
      </c>
      <c r="C217" s="3"/>
      <c r="D217" s="3" t="s">
        <v>227</v>
      </c>
      <c r="E217" s="3"/>
      <c r="F217" s="4">
        <v>437135</v>
      </c>
      <c r="G217" s="4"/>
      <c r="H217" s="4">
        <v>121900</v>
      </c>
      <c r="I217" s="4"/>
      <c r="J217" s="4">
        <v>81366</v>
      </c>
      <c r="K217" s="4"/>
      <c r="L217" s="4">
        <v>45314</v>
      </c>
      <c r="M217" s="4"/>
      <c r="N217" s="4">
        <v>0</v>
      </c>
      <c r="O217" s="4"/>
      <c r="P217" s="4">
        <v>13016</v>
      </c>
      <c r="Q217" s="4"/>
      <c r="R217" s="4">
        <v>10179</v>
      </c>
      <c r="S217" s="4"/>
      <c r="T217" s="4">
        <v>4436</v>
      </c>
      <c r="U217" s="4"/>
      <c r="V217" s="4">
        <v>0</v>
      </c>
      <c r="W217" s="4"/>
      <c r="X217" s="4">
        <v>0</v>
      </c>
      <c r="Y217" s="4"/>
      <c r="Z217" s="4">
        <v>0</v>
      </c>
      <c r="AA217" s="4"/>
      <c r="AB217" s="4">
        <v>0</v>
      </c>
      <c r="AC217" s="4"/>
      <c r="AD217" s="4">
        <v>0</v>
      </c>
      <c r="AE217" s="4"/>
      <c r="AF217" s="4">
        <f t="shared" si="10"/>
        <v>713346</v>
      </c>
      <c r="AG217" s="31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4"/>
    </row>
    <row r="218" spans="1:64" s="4" customFormat="1">
      <c r="A218" s="4">
        <v>252</v>
      </c>
      <c r="B218" s="18" t="s">
        <v>436</v>
      </c>
      <c r="C218" s="18"/>
      <c r="D218" s="18" t="s">
        <v>473</v>
      </c>
      <c r="E218" s="18"/>
      <c r="F218" s="1">
        <v>175556.4</v>
      </c>
      <c r="G218" s="1"/>
      <c r="H218" s="1">
        <v>30258.76</v>
      </c>
      <c r="I218" s="1"/>
      <c r="J218" s="1">
        <v>51976.03</v>
      </c>
      <c r="K218" s="1"/>
      <c r="L218" s="1">
        <v>50651.81</v>
      </c>
      <c r="M218" s="1"/>
      <c r="N218" s="1">
        <v>0</v>
      </c>
      <c r="O218" s="1"/>
      <c r="P218" s="1">
        <v>11839.93</v>
      </c>
      <c r="Q218" s="1"/>
      <c r="R218" s="1">
        <v>1454</v>
      </c>
      <c r="S218" s="1"/>
      <c r="T218" s="1">
        <v>1820.92</v>
      </c>
      <c r="U218" s="1"/>
      <c r="V218" s="1">
        <v>0</v>
      </c>
      <c r="W218" s="1"/>
      <c r="X218" s="1">
        <v>0</v>
      </c>
      <c r="Y218" s="1"/>
      <c r="Z218" s="1">
        <v>0</v>
      </c>
      <c r="AA218" s="1"/>
      <c r="AB218" s="1">
        <v>69406.94</v>
      </c>
      <c r="AC218" s="1"/>
      <c r="AD218" s="1">
        <v>0</v>
      </c>
      <c r="AE218" s="18"/>
      <c r="AF218" s="4">
        <f t="shared" si="10"/>
        <v>392964.79</v>
      </c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</row>
    <row r="219" spans="1:64" s="4" customFormat="1">
      <c r="A219" s="4">
        <v>219</v>
      </c>
      <c r="B219" s="3" t="s">
        <v>230</v>
      </c>
      <c r="C219" s="3"/>
      <c r="D219" s="3" t="s">
        <v>22</v>
      </c>
      <c r="E219" s="3"/>
      <c r="F219" s="1">
        <v>227402.8</v>
      </c>
      <c r="G219" s="1"/>
      <c r="H219" s="1">
        <v>45148.71</v>
      </c>
      <c r="I219" s="1"/>
      <c r="J219" s="1">
        <v>115963.73</v>
      </c>
      <c r="K219" s="1"/>
      <c r="L219" s="1">
        <v>40548.07</v>
      </c>
      <c r="M219" s="1"/>
      <c r="N219" s="1">
        <v>0</v>
      </c>
      <c r="O219" s="1"/>
      <c r="P219" s="1">
        <v>3098.56</v>
      </c>
      <c r="Q219" s="1"/>
      <c r="R219" s="1">
        <v>2319.84</v>
      </c>
      <c r="S219" s="1"/>
      <c r="T219" s="1">
        <v>0</v>
      </c>
      <c r="U219" s="1"/>
      <c r="V219" s="1">
        <v>0</v>
      </c>
      <c r="W219" s="1"/>
      <c r="X219" s="1">
        <v>0</v>
      </c>
      <c r="Y219" s="1"/>
      <c r="Z219" s="1">
        <v>0</v>
      </c>
      <c r="AA219" s="1"/>
      <c r="AB219" s="1">
        <v>0</v>
      </c>
      <c r="AC219" s="1"/>
      <c r="AD219" s="1">
        <v>0</v>
      </c>
      <c r="AF219" s="4">
        <f t="shared" si="10"/>
        <v>434481.71</v>
      </c>
      <c r="AG219" s="31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</row>
    <row r="220" spans="1:64" s="4" customFormat="1">
      <c r="A220" s="4">
        <v>187</v>
      </c>
      <c r="B220" s="18" t="s">
        <v>552</v>
      </c>
      <c r="C220" s="18"/>
      <c r="D220" s="18" t="s">
        <v>468</v>
      </c>
      <c r="E220" s="18"/>
      <c r="F220" s="1">
        <v>482063.54</v>
      </c>
      <c r="G220" s="1"/>
      <c r="H220" s="1">
        <v>110275.87</v>
      </c>
      <c r="I220" s="1"/>
      <c r="J220" s="1">
        <v>253631.11</v>
      </c>
      <c r="K220" s="1"/>
      <c r="L220" s="1">
        <v>64427.76</v>
      </c>
      <c r="M220" s="1"/>
      <c r="N220" s="1">
        <v>0</v>
      </c>
      <c r="O220" s="1"/>
      <c r="P220" s="1">
        <v>30503.38</v>
      </c>
      <c r="Q220" s="1"/>
      <c r="R220" s="1">
        <v>22572.240000000002</v>
      </c>
      <c r="S220" s="1"/>
      <c r="T220" s="1">
        <v>2659.99</v>
      </c>
      <c r="U220" s="1"/>
      <c r="V220" s="1">
        <v>0</v>
      </c>
      <c r="W220" s="1"/>
      <c r="X220" s="1">
        <v>0</v>
      </c>
      <c r="Y220" s="1"/>
      <c r="Z220" s="1">
        <v>0</v>
      </c>
      <c r="AA220" s="1"/>
      <c r="AB220" s="1">
        <v>0</v>
      </c>
      <c r="AC220" s="1"/>
      <c r="AD220" s="1">
        <v>0</v>
      </c>
      <c r="AE220" s="18"/>
      <c r="AF220" s="4">
        <f t="shared" si="10"/>
        <v>966133.8899999999</v>
      </c>
      <c r="AG220" s="31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</row>
    <row r="221" spans="1:64">
      <c r="A221" s="4">
        <v>176</v>
      </c>
      <c r="B221" s="3" t="s">
        <v>231</v>
      </c>
      <c r="D221" s="3" t="s">
        <v>67</v>
      </c>
      <c r="F221" s="4">
        <v>95592</v>
      </c>
      <c r="G221" s="4"/>
      <c r="H221" s="4">
        <v>15059</v>
      </c>
      <c r="I221" s="4"/>
      <c r="J221" s="4">
        <v>40511</v>
      </c>
      <c r="K221" s="4"/>
      <c r="L221" s="4">
        <v>24112</v>
      </c>
      <c r="M221" s="4"/>
      <c r="N221" s="4">
        <v>0</v>
      </c>
      <c r="O221" s="4"/>
      <c r="P221" s="4">
        <v>8597</v>
      </c>
      <c r="Q221" s="4"/>
      <c r="R221" s="4">
        <v>868</v>
      </c>
      <c r="S221" s="4"/>
      <c r="T221" s="4">
        <v>43034</v>
      </c>
      <c r="U221" s="4"/>
      <c r="V221" s="4">
        <v>0</v>
      </c>
      <c r="W221" s="4"/>
      <c r="X221" s="4">
        <v>0</v>
      </c>
      <c r="Y221" s="4"/>
      <c r="Z221" s="4">
        <v>0</v>
      </c>
      <c r="AA221" s="4"/>
      <c r="AB221" s="4">
        <v>0</v>
      </c>
      <c r="AC221" s="4"/>
      <c r="AD221" s="4">
        <v>0</v>
      </c>
      <c r="AE221" s="4"/>
      <c r="AF221" s="4">
        <f t="shared" si="10"/>
        <v>227773</v>
      </c>
    </row>
    <row r="222" spans="1:64" s="4" customFormat="1">
      <c r="A222" s="4">
        <v>128</v>
      </c>
      <c r="B222" s="3" t="s">
        <v>232</v>
      </c>
      <c r="C222" s="3"/>
      <c r="D222" s="3" t="s">
        <v>15</v>
      </c>
      <c r="E222" s="3"/>
      <c r="F222" s="1">
        <v>501013.59</v>
      </c>
      <c r="G222" s="1"/>
      <c r="H222" s="1">
        <v>161870.43</v>
      </c>
      <c r="I222" s="1"/>
      <c r="J222" s="1">
        <v>121269.55</v>
      </c>
      <c r="K222" s="1"/>
      <c r="L222" s="1">
        <v>97063.37</v>
      </c>
      <c r="M222" s="1"/>
      <c r="N222" s="1">
        <v>0</v>
      </c>
      <c r="O222" s="1"/>
      <c r="P222" s="1">
        <v>20867.580000000002</v>
      </c>
      <c r="Q222" s="1"/>
      <c r="R222" s="1">
        <v>20024.02</v>
      </c>
      <c r="S222" s="1"/>
      <c r="T222" s="1">
        <v>1418.89</v>
      </c>
      <c r="U222" s="1"/>
      <c r="V222" s="1">
        <v>0</v>
      </c>
      <c r="W222" s="1"/>
      <c r="X222" s="1">
        <v>0</v>
      </c>
      <c r="Y222" s="1"/>
      <c r="Z222" s="1">
        <v>0</v>
      </c>
      <c r="AA222" s="1"/>
      <c r="AB222" s="1">
        <v>0</v>
      </c>
      <c r="AC222" s="1"/>
      <c r="AD222" s="1">
        <v>29.87</v>
      </c>
      <c r="AF222" s="4">
        <f t="shared" si="10"/>
        <v>923557.3</v>
      </c>
      <c r="AG222" s="31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</row>
    <row r="223" spans="1:64" s="4" customFormat="1">
      <c r="A223" s="4">
        <v>188</v>
      </c>
      <c r="B223" s="3" t="s">
        <v>233</v>
      </c>
      <c r="C223" s="3"/>
      <c r="D223" s="3" t="s">
        <v>234</v>
      </c>
      <c r="E223" s="3"/>
      <c r="F223" s="4">
        <v>0</v>
      </c>
      <c r="H223" s="4">
        <v>0</v>
      </c>
      <c r="J223" s="4">
        <v>0</v>
      </c>
      <c r="L223" s="4">
        <v>1935626</v>
      </c>
      <c r="N223" s="4">
        <v>0</v>
      </c>
      <c r="P223" s="4">
        <v>0</v>
      </c>
      <c r="R223" s="4">
        <v>0</v>
      </c>
      <c r="T223" s="4">
        <v>39872</v>
      </c>
      <c r="V223" s="4">
        <v>0</v>
      </c>
      <c r="X223" s="4">
        <v>0</v>
      </c>
      <c r="Z223" s="4">
        <v>0</v>
      </c>
      <c r="AB223" s="4">
        <v>0</v>
      </c>
      <c r="AD223" s="4">
        <v>0</v>
      </c>
      <c r="AF223" s="4">
        <f t="shared" si="10"/>
        <v>1975498</v>
      </c>
      <c r="AG223" s="31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</row>
    <row r="224" spans="1:64" s="4" customFormat="1">
      <c r="A224" s="4">
        <v>72</v>
      </c>
      <c r="B224" s="18" t="s">
        <v>309</v>
      </c>
      <c r="C224" s="18"/>
      <c r="D224" s="18" t="s">
        <v>454</v>
      </c>
      <c r="E224" s="18"/>
      <c r="F224" s="1">
        <v>367188.33</v>
      </c>
      <c r="G224" s="1"/>
      <c r="H224" s="1">
        <v>134059.28</v>
      </c>
      <c r="I224" s="1"/>
      <c r="J224" s="1">
        <v>209725.32</v>
      </c>
      <c r="K224" s="1"/>
      <c r="L224" s="1">
        <v>75998.63</v>
      </c>
      <c r="M224" s="1"/>
      <c r="N224" s="1">
        <v>0</v>
      </c>
      <c r="O224" s="1"/>
      <c r="P224" s="1">
        <v>11674.66</v>
      </c>
      <c r="Q224" s="1"/>
      <c r="R224" s="1">
        <v>9907.4500000000007</v>
      </c>
      <c r="S224" s="1"/>
      <c r="T224" s="1">
        <v>1086.32</v>
      </c>
      <c r="U224" s="1"/>
      <c r="V224" s="1">
        <v>0</v>
      </c>
      <c r="W224" s="1"/>
      <c r="X224" s="1">
        <v>0</v>
      </c>
      <c r="Y224" s="1"/>
      <c r="Z224" s="1">
        <v>0</v>
      </c>
      <c r="AA224" s="1"/>
      <c r="AB224" s="1">
        <v>0</v>
      </c>
      <c r="AC224" s="1"/>
      <c r="AD224" s="1">
        <v>0</v>
      </c>
      <c r="AE224" s="18"/>
      <c r="AF224" s="4">
        <f t="shared" si="10"/>
        <v>809639.98999999987</v>
      </c>
      <c r="AG224" s="31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</row>
    <row r="225" spans="1:64" s="4" customFormat="1" hidden="1">
      <c r="A225" s="4">
        <v>163</v>
      </c>
      <c r="B225" s="4" t="s">
        <v>532</v>
      </c>
      <c r="C225" s="3"/>
      <c r="D225" s="3" t="s">
        <v>52</v>
      </c>
      <c r="E225" s="3"/>
      <c r="AF225" s="4">
        <f t="shared" si="10"/>
        <v>0</v>
      </c>
      <c r="AG225" s="31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</row>
    <row r="226" spans="1:64" s="4" customFormat="1">
      <c r="A226" s="4">
        <v>151</v>
      </c>
      <c r="B226" s="3" t="s">
        <v>235</v>
      </c>
      <c r="C226" s="3"/>
      <c r="D226" s="3" t="s">
        <v>12</v>
      </c>
      <c r="E226" s="3"/>
      <c r="F226" s="1">
        <v>296547.96999999997</v>
      </c>
      <c r="G226" s="1"/>
      <c r="H226" s="1">
        <v>59972.160000000003</v>
      </c>
      <c r="I226" s="1"/>
      <c r="J226" s="1">
        <v>67191.39</v>
      </c>
      <c r="K226" s="1"/>
      <c r="L226" s="1">
        <v>80661.289999999994</v>
      </c>
      <c r="M226" s="1"/>
      <c r="N226" s="1"/>
      <c r="O226" s="1"/>
      <c r="P226" s="1">
        <v>9508.35</v>
      </c>
      <c r="Q226" s="1"/>
      <c r="R226" s="1">
        <v>40025.79</v>
      </c>
      <c r="S226" s="1"/>
      <c r="T226" s="1">
        <v>25988.86</v>
      </c>
      <c r="U226" s="1"/>
      <c r="V226" s="1">
        <v>0</v>
      </c>
      <c r="W226" s="1"/>
      <c r="X226" s="1">
        <v>0</v>
      </c>
      <c r="Y226" s="1"/>
      <c r="Z226" s="1">
        <v>0</v>
      </c>
      <c r="AA226" s="1"/>
      <c r="AB226" s="1">
        <v>0</v>
      </c>
      <c r="AC226" s="1"/>
      <c r="AD226" s="1">
        <v>0</v>
      </c>
      <c r="AF226" s="4">
        <f t="shared" si="10"/>
        <v>579895.80999999994</v>
      </c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</row>
    <row r="227" spans="1:64" s="4" customFormat="1">
      <c r="A227" s="4">
        <v>192</v>
      </c>
      <c r="B227" s="3" t="s">
        <v>553</v>
      </c>
      <c r="C227" s="3"/>
      <c r="D227" s="3" t="s">
        <v>171</v>
      </c>
      <c r="E227" s="3"/>
      <c r="F227" s="4">
        <v>1426348</v>
      </c>
      <c r="H227" s="4">
        <v>435297</v>
      </c>
      <c r="J227" s="4">
        <v>264232</v>
      </c>
      <c r="L227" s="4">
        <v>231157</v>
      </c>
      <c r="N227" s="4">
        <v>0</v>
      </c>
      <c r="P227" s="4">
        <v>30783</v>
      </c>
      <c r="R227" s="4">
        <v>11715</v>
      </c>
      <c r="T227" s="4">
        <v>18911</v>
      </c>
      <c r="V227" s="4">
        <v>0</v>
      </c>
      <c r="X227" s="4">
        <v>0</v>
      </c>
      <c r="Z227" s="4">
        <v>8903</v>
      </c>
      <c r="AB227" s="4">
        <v>0</v>
      </c>
      <c r="AD227" s="4">
        <v>0</v>
      </c>
      <c r="AF227" s="4">
        <f t="shared" si="10"/>
        <v>2427346</v>
      </c>
      <c r="AG227" s="31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</row>
    <row r="228" spans="1:64" s="4" customFormat="1">
      <c r="B228" s="4" t="s">
        <v>568</v>
      </c>
      <c r="D228" s="4" t="s">
        <v>156</v>
      </c>
      <c r="E228" s="3"/>
      <c r="F228" s="4">
        <v>373773</v>
      </c>
      <c r="H228" s="4">
        <v>88465</v>
      </c>
      <c r="J228" s="4">
        <v>84232</v>
      </c>
      <c r="L228" s="4">
        <v>142066</v>
      </c>
      <c r="N228" s="4">
        <v>0</v>
      </c>
      <c r="P228" s="4">
        <v>10103</v>
      </c>
      <c r="R228" s="4">
        <v>4085</v>
      </c>
      <c r="T228" s="4">
        <v>9007</v>
      </c>
      <c r="V228" s="4">
        <v>0</v>
      </c>
      <c r="X228" s="4">
        <v>0</v>
      </c>
      <c r="Z228" s="4">
        <v>0</v>
      </c>
      <c r="AB228" s="4">
        <v>0</v>
      </c>
      <c r="AD228" s="4">
        <v>0</v>
      </c>
      <c r="AF228" s="4">
        <f t="shared" si="10"/>
        <v>711731</v>
      </c>
      <c r="AG228" s="31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</row>
    <row r="229" spans="1:64" s="4" customFormat="1">
      <c r="A229" s="4">
        <v>55</v>
      </c>
      <c r="B229" s="4" t="s">
        <v>416</v>
      </c>
      <c r="D229" s="4" t="s">
        <v>19</v>
      </c>
      <c r="F229" s="4">
        <v>2657459</v>
      </c>
      <c r="H229" s="4">
        <v>620349</v>
      </c>
      <c r="J229" s="4">
        <v>579165</v>
      </c>
      <c r="L229" s="4">
        <v>622436</v>
      </c>
      <c r="N229" s="4">
        <v>0</v>
      </c>
      <c r="P229" s="4">
        <v>88599</v>
      </c>
      <c r="R229" s="4">
        <v>17621</v>
      </c>
      <c r="T229" s="4">
        <v>31381</v>
      </c>
      <c r="V229" s="4">
        <v>0</v>
      </c>
      <c r="X229" s="4">
        <v>0</v>
      </c>
      <c r="Z229" s="4">
        <v>0</v>
      </c>
      <c r="AB229" s="4">
        <v>0</v>
      </c>
      <c r="AD229" s="4">
        <v>0</v>
      </c>
      <c r="AF229" s="4">
        <f t="shared" si="10"/>
        <v>4617010</v>
      </c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</row>
    <row r="230" spans="1:64">
      <c r="A230" s="4">
        <v>202</v>
      </c>
      <c r="B230" s="3" t="s">
        <v>23</v>
      </c>
      <c r="D230" s="3" t="s">
        <v>24</v>
      </c>
      <c r="F230" s="4">
        <v>1438407</v>
      </c>
      <c r="G230" s="4"/>
      <c r="H230" s="4">
        <v>622814</v>
      </c>
      <c r="I230" s="4"/>
      <c r="J230" s="4">
        <v>400339</v>
      </c>
      <c r="K230" s="4"/>
      <c r="L230" s="4">
        <v>226166</v>
      </c>
      <c r="M230" s="4"/>
      <c r="N230" s="4">
        <v>0</v>
      </c>
      <c r="O230" s="4"/>
      <c r="P230" s="4">
        <v>51823</v>
      </c>
      <c r="Q230" s="4"/>
      <c r="R230" s="4">
        <v>2515</v>
      </c>
      <c r="S230" s="4"/>
      <c r="T230" s="4">
        <v>28912</v>
      </c>
      <c r="U230" s="4"/>
      <c r="V230" s="4">
        <v>0</v>
      </c>
      <c r="W230" s="4"/>
      <c r="X230" s="4">
        <v>0</v>
      </c>
      <c r="Y230" s="4"/>
      <c r="Z230" s="4">
        <v>0</v>
      </c>
      <c r="AA230" s="4"/>
      <c r="AB230" s="4">
        <v>0</v>
      </c>
      <c r="AC230" s="4"/>
      <c r="AD230" s="4">
        <v>0</v>
      </c>
      <c r="AE230" s="4"/>
      <c r="AF230" s="4">
        <f t="shared" si="10"/>
        <v>2770976</v>
      </c>
    </row>
    <row r="231" spans="1:64">
      <c r="A231" s="4">
        <v>196</v>
      </c>
      <c r="B231" s="3" t="s">
        <v>554</v>
      </c>
      <c r="D231" s="3" t="s">
        <v>101</v>
      </c>
      <c r="F231" s="4">
        <v>734346</v>
      </c>
      <c r="G231" s="4"/>
      <c r="H231" s="4">
        <v>164710</v>
      </c>
      <c r="I231" s="4"/>
      <c r="J231" s="4">
        <v>191972</v>
      </c>
      <c r="K231" s="4"/>
      <c r="L231" s="4">
        <v>155216</v>
      </c>
      <c r="M231" s="4"/>
      <c r="N231" s="4">
        <v>0</v>
      </c>
      <c r="O231" s="4"/>
      <c r="P231" s="4">
        <v>4028</v>
      </c>
      <c r="Q231" s="4"/>
      <c r="R231" s="4">
        <v>0</v>
      </c>
      <c r="S231" s="4"/>
      <c r="T231" s="4">
        <v>9593</v>
      </c>
      <c r="U231" s="4"/>
      <c r="V231" s="4">
        <v>0</v>
      </c>
      <c r="W231" s="4"/>
      <c r="X231" s="4">
        <v>0</v>
      </c>
      <c r="Y231" s="4"/>
      <c r="Z231" s="4">
        <v>0</v>
      </c>
      <c r="AA231" s="4"/>
      <c r="AB231" s="4">
        <v>0</v>
      </c>
      <c r="AC231" s="4"/>
      <c r="AD231" s="4">
        <v>0</v>
      </c>
      <c r="AE231" s="4"/>
      <c r="AF231" s="4">
        <f t="shared" si="10"/>
        <v>1259865</v>
      </c>
    </row>
    <row r="232" spans="1:64">
      <c r="A232" s="4"/>
      <c r="B232" s="4" t="s">
        <v>569</v>
      </c>
      <c r="C232" s="13"/>
      <c r="D232" s="13" t="s">
        <v>527</v>
      </c>
      <c r="F232" s="4">
        <f>11565472+3918114</f>
        <v>15483586</v>
      </c>
      <c r="G232" s="4"/>
      <c r="H232" s="4">
        <v>0</v>
      </c>
      <c r="I232" s="4"/>
      <c r="J232" s="4">
        <v>0</v>
      </c>
      <c r="K232" s="4"/>
      <c r="L232" s="4">
        <f>24682692+1347840</f>
        <v>26030532</v>
      </c>
      <c r="M232" s="4"/>
      <c r="N232" s="4">
        <v>7066213</v>
      </c>
      <c r="O232" s="4"/>
      <c r="P232" s="4">
        <v>0</v>
      </c>
      <c r="Q232" s="4"/>
      <c r="R232" s="4">
        <v>0</v>
      </c>
      <c r="S232" s="4"/>
      <c r="T232" s="4">
        <v>0</v>
      </c>
      <c r="U232" s="4"/>
      <c r="V232" s="4">
        <v>0</v>
      </c>
      <c r="W232" s="4"/>
      <c r="X232" s="4">
        <v>0</v>
      </c>
      <c r="Y232" s="4"/>
      <c r="Z232" s="4">
        <v>0</v>
      </c>
      <c r="AA232" s="4"/>
      <c r="AB232" s="4">
        <v>0</v>
      </c>
      <c r="AC232" s="4"/>
      <c r="AD232" s="4">
        <v>0</v>
      </c>
      <c r="AE232" s="4"/>
      <c r="AF232" s="4">
        <f t="shared" si="10"/>
        <v>48580331</v>
      </c>
    </row>
    <row r="233" spans="1:64" s="4" customFormat="1">
      <c r="A233" s="4">
        <v>102</v>
      </c>
      <c r="B233" s="18" t="s">
        <v>236</v>
      </c>
      <c r="C233" s="18"/>
      <c r="D233" s="18" t="s">
        <v>455</v>
      </c>
      <c r="E233" s="18"/>
      <c r="F233" s="1">
        <v>280211.01</v>
      </c>
      <c r="G233" s="1"/>
      <c r="H233" s="1">
        <v>89452.36</v>
      </c>
      <c r="I233" s="1"/>
      <c r="J233" s="1">
        <v>80275.05</v>
      </c>
      <c r="K233" s="1"/>
      <c r="L233" s="1">
        <v>29189.63</v>
      </c>
      <c r="M233" s="1"/>
      <c r="N233" s="1">
        <v>0</v>
      </c>
      <c r="O233" s="1"/>
      <c r="P233" s="1">
        <v>10995.17</v>
      </c>
      <c r="Q233" s="1"/>
      <c r="R233" s="1">
        <v>12657.81</v>
      </c>
      <c r="S233" s="1"/>
      <c r="T233" s="1">
        <v>776.71</v>
      </c>
      <c r="U233" s="1"/>
      <c r="V233" s="1">
        <v>0</v>
      </c>
      <c r="W233" s="1"/>
      <c r="X233" s="1">
        <v>0</v>
      </c>
      <c r="Y233" s="1"/>
      <c r="Z233" s="1">
        <v>0</v>
      </c>
      <c r="AA233" s="1"/>
      <c r="AB233" s="1">
        <v>0</v>
      </c>
      <c r="AC233" s="1"/>
      <c r="AD233" s="1">
        <v>0</v>
      </c>
      <c r="AE233" s="18"/>
      <c r="AF233" s="4">
        <f t="shared" si="10"/>
        <v>503557.74</v>
      </c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</row>
    <row r="234" spans="1:64" s="4" customFormat="1">
      <c r="A234" s="22">
        <v>197.1</v>
      </c>
      <c r="B234" s="3" t="s">
        <v>530</v>
      </c>
      <c r="C234" s="3"/>
      <c r="D234" s="3" t="s">
        <v>531</v>
      </c>
      <c r="E234" s="3"/>
      <c r="F234" s="1">
        <v>618959.27</v>
      </c>
      <c r="G234" s="1"/>
      <c r="H234" s="1">
        <v>245645.71</v>
      </c>
      <c r="I234" s="1"/>
      <c r="J234" s="1">
        <v>86490.28</v>
      </c>
      <c r="K234" s="1"/>
      <c r="L234" s="1">
        <v>119280.93</v>
      </c>
      <c r="M234" s="1"/>
      <c r="N234" s="1">
        <v>0</v>
      </c>
      <c r="O234" s="1"/>
      <c r="P234" s="1">
        <v>21630.13</v>
      </c>
      <c r="Q234" s="1"/>
      <c r="R234" s="1">
        <v>6857</v>
      </c>
      <c r="S234" s="1"/>
      <c r="T234" s="1">
        <v>1717.24</v>
      </c>
      <c r="U234" s="1"/>
      <c r="V234" s="1">
        <v>0</v>
      </c>
      <c r="W234" s="1"/>
      <c r="X234" s="1">
        <v>0</v>
      </c>
      <c r="Y234" s="1"/>
      <c r="Z234" s="1">
        <v>0</v>
      </c>
      <c r="AA234" s="1"/>
      <c r="AB234" s="1">
        <v>1500</v>
      </c>
      <c r="AC234" s="1"/>
      <c r="AD234" s="1">
        <v>47.5</v>
      </c>
      <c r="AF234" s="4">
        <f t="shared" si="10"/>
        <v>1102128.0599999998</v>
      </c>
      <c r="AG234" s="31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</row>
    <row r="235" spans="1:64" s="4" customFormat="1">
      <c r="A235" s="4">
        <v>193</v>
      </c>
      <c r="B235" s="3" t="s">
        <v>237</v>
      </c>
      <c r="C235" s="3"/>
      <c r="D235" s="3" t="s">
        <v>171</v>
      </c>
      <c r="E235" s="3"/>
      <c r="F235" s="1">
        <v>654377.97</v>
      </c>
      <c r="G235" s="1"/>
      <c r="H235" s="1">
        <v>182579.19</v>
      </c>
      <c r="I235" s="1"/>
      <c r="J235" s="1">
        <v>503392.17</v>
      </c>
      <c r="K235" s="1"/>
      <c r="L235" s="1">
        <v>159561.15</v>
      </c>
      <c r="M235" s="1"/>
      <c r="N235" s="1">
        <v>0</v>
      </c>
      <c r="O235" s="1"/>
      <c r="P235" s="1">
        <v>24109.08</v>
      </c>
      <c r="Q235" s="1"/>
      <c r="R235" s="1">
        <v>502.99</v>
      </c>
      <c r="S235" s="1"/>
      <c r="T235" s="1">
        <v>31612.04</v>
      </c>
      <c r="U235" s="1"/>
      <c r="V235" s="1">
        <v>0</v>
      </c>
      <c r="W235" s="1"/>
      <c r="X235" s="1">
        <v>0</v>
      </c>
      <c r="Y235" s="1"/>
      <c r="Z235" s="1">
        <v>0</v>
      </c>
      <c r="AA235" s="1"/>
      <c r="AB235" s="1">
        <v>0</v>
      </c>
      <c r="AC235" s="1"/>
      <c r="AD235" s="1">
        <v>0</v>
      </c>
      <c r="AF235" s="4">
        <f t="shared" si="10"/>
        <v>1556134.5899999999</v>
      </c>
      <c r="AG235" s="31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</row>
    <row r="236" spans="1:64" s="4" customFormat="1">
      <c r="A236" s="4">
        <v>153</v>
      </c>
      <c r="B236" s="3" t="s">
        <v>238</v>
      </c>
      <c r="C236" s="3"/>
      <c r="D236" s="3" t="s">
        <v>213</v>
      </c>
      <c r="E236" s="3"/>
      <c r="F236" s="4">
        <v>6075145</v>
      </c>
      <c r="H236" s="4">
        <v>1860811</v>
      </c>
      <c r="J236" s="4">
        <v>1928457</v>
      </c>
      <c r="L236" s="4">
        <v>1428290</v>
      </c>
      <c r="N236" s="4">
        <v>0</v>
      </c>
      <c r="P236" s="4">
        <v>186186</v>
      </c>
      <c r="R236" s="4">
        <v>23148</v>
      </c>
      <c r="T236" s="4">
        <v>99062</v>
      </c>
      <c r="V236" s="4">
        <v>0</v>
      </c>
      <c r="X236" s="4">
        <v>0</v>
      </c>
      <c r="Z236" s="4">
        <v>200</v>
      </c>
      <c r="AB236" s="4">
        <v>0</v>
      </c>
      <c r="AD236" s="4">
        <v>0</v>
      </c>
      <c r="AF236" s="4">
        <f t="shared" si="10"/>
        <v>11601299</v>
      </c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</row>
    <row r="237" spans="1:64" s="4" customFormat="1">
      <c r="A237" s="4">
        <v>238</v>
      </c>
      <c r="B237" s="3" t="s">
        <v>239</v>
      </c>
      <c r="C237" s="3"/>
      <c r="D237" s="3" t="s">
        <v>191</v>
      </c>
      <c r="E237" s="3"/>
      <c r="F237" s="4">
        <v>136958</v>
      </c>
      <c r="H237" s="4">
        <v>44452</v>
      </c>
      <c r="J237" s="4">
        <v>69844</v>
      </c>
      <c r="L237" s="4">
        <v>35747</v>
      </c>
      <c r="N237" s="4">
        <v>0</v>
      </c>
      <c r="P237" s="4">
        <v>4528</v>
      </c>
      <c r="R237" s="4">
        <v>100</v>
      </c>
      <c r="T237" s="4">
        <v>0</v>
      </c>
      <c r="V237" s="4">
        <v>21491</v>
      </c>
      <c r="X237" s="4">
        <v>20561</v>
      </c>
      <c r="Z237" s="4">
        <v>0</v>
      </c>
      <c r="AB237" s="4">
        <v>0</v>
      </c>
      <c r="AD237" s="4">
        <v>0</v>
      </c>
      <c r="AF237" s="4">
        <f>SUM(F237:AD237)</f>
        <v>333681</v>
      </c>
      <c r="AG237" s="31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</row>
    <row r="238" spans="1:64" s="4" customFormat="1">
      <c r="A238" s="4">
        <v>100</v>
      </c>
      <c r="B238" s="3" t="s">
        <v>311</v>
      </c>
      <c r="C238" s="3"/>
      <c r="D238" s="3" t="s">
        <v>60</v>
      </c>
      <c r="E238" s="3"/>
      <c r="F238" s="1">
        <v>59295.59</v>
      </c>
      <c r="G238" s="1"/>
      <c r="H238" s="1">
        <v>9381.25</v>
      </c>
      <c r="I238" s="1"/>
      <c r="J238" s="1">
        <v>26711.17</v>
      </c>
      <c r="K238" s="1"/>
      <c r="L238" s="1">
        <v>10286.77</v>
      </c>
      <c r="M238" s="1"/>
      <c r="N238" s="1">
        <v>0</v>
      </c>
      <c r="O238" s="1"/>
      <c r="P238" s="1">
        <v>3728.52</v>
      </c>
      <c r="Q238" s="1"/>
      <c r="R238" s="1">
        <v>1126</v>
      </c>
      <c r="S238" s="1"/>
      <c r="T238" s="1">
        <v>1278.8599999999999</v>
      </c>
      <c r="U238" s="1"/>
      <c r="V238" s="1">
        <v>0</v>
      </c>
      <c r="W238" s="1"/>
      <c r="X238" s="1">
        <v>0</v>
      </c>
      <c r="Y238" s="1"/>
      <c r="Z238" s="1">
        <v>0</v>
      </c>
      <c r="AA238" s="1"/>
      <c r="AB238" s="1">
        <v>0</v>
      </c>
      <c r="AC238" s="1"/>
      <c r="AD238" s="1">
        <v>0</v>
      </c>
      <c r="AF238" s="4">
        <f t="shared" si="10"/>
        <v>111808.16</v>
      </c>
      <c r="AG238" s="31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</row>
    <row r="239" spans="1:64" s="4" customFormat="1">
      <c r="A239" s="4">
        <v>68</v>
      </c>
      <c r="B239" s="3" t="s">
        <v>240</v>
      </c>
      <c r="C239" s="3"/>
      <c r="D239" s="3" t="s">
        <v>165</v>
      </c>
      <c r="E239" s="3"/>
      <c r="F239" s="1">
        <v>604853.34</v>
      </c>
      <c r="G239" s="1"/>
      <c r="H239" s="1">
        <v>151112.85999999999</v>
      </c>
      <c r="I239" s="1"/>
      <c r="J239" s="1">
        <v>178446.29</v>
      </c>
      <c r="K239" s="1"/>
      <c r="L239" s="1">
        <v>171458.35</v>
      </c>
      <c r="M239" s="1"/>
      <c r="N239" s="1">
        <v>0</v>
      </c>
      <c r="O239" s="1"/>
      <c r="P239" s="1">
        <v>17291.14</v>
      </c>
      <c r="Q239" s="1"/>
      <c r="R239" s="1">
        <v>7789.86</v>
      </c>
      <c r="S239" s="1"/>
      <c r="T239" s="1">
        <v>3105.26</v>
      </c>
      <c r="U239" s="1"/>
      <c r="V239" s="1">
        <v>0</v>
      </c>
      <c r="W239" s="1"/>
      <c r="X239" s="1">
        <v>0</v>
      </c>
      <c r="Y239" s="1"/>
      <c r="Z239" s="1">
        <v>0</v>
      </c>
      <c r="AA239" s="1"/>
      <c r="AB239" s="1">
        <v>0</v>
      </c>
      <c r="AC239" s="1"/>
      <c r="AD239" s="1">
        <v>122.73</v>
      </c>
      <c r="AF239" s="4">
        <f t="shared" si="10"/>
        <v>1134179.83</v>
      </c>
      <c r="AG239" s="31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</row>
    <row r="240" spans="1:64" s="4" customFormat="1">
      <c r="A240" s="4">
        <v>15</v>
      </c>
      <c r="B240" s="18" t="s">
        <v>241</v>
      </c>
      <c r="C240" s="18"/>
      <c r="D240" s="18" t="s">
        <v>441</v>
      </c>
      <c r="E240" s="18"/>
      <c r="F240" s="1">
        <v>87332.73</v>
      </c>
      <c r="G240" s="1"/>
      <c r="H240" s="1">
        <v>13680.96</v>
      </c>
      <c r="I240" s="1"/>
      <c r="J240" s="1">
        <v>39113.32</v>
      </c>
      <c r="K240" s="1"/>
      <c r="L240" s="1">
        <v>27159.83</v>
      </c>
      <c r="M240" s="1"/>
      <c r="N240" s="1">
        <v>0</v>
      </c>
      <c r="O240" s="1"/>
      <c r="P240" s="1">
        <v>2791.9</v>
      </c>
      <c r="Q240" s="1"/>
      <c r="R240" s="1">
        <v>5159.45</v>
      </c>
      <c r="S240" s="1"/>
      <c r="T240" s="1">
        <v>0</v>
      </c>
      <c r="U240" s="1"/>
      <c r="V240" s="1">
        <v>0</v>
      </c>
      <c r="W240" s="1"/>
      <c r="X240" s="1">
        <v>0</v>
      </c>
      <c r="Y240" s="1"/>
      <c r="Z240" s="1">
        <v>0</v>
      </c>
      <c r="AA240" s="1"/>
      <c r="AB240" s="1">
        <v>0</v>
      </c>
      <c r="AC240" s="1"/>
      <c r="AD240" s="1">
        <v>4000</v>
      </c>
      <c r="AE240" s="18"/>
      <c r="AF240" s="4">
        <f t="shared" si="10"/>
        <v>179238.19000000003</v>
      </c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</row>
    <row r="241" spans="1:64" s="4" customFormat="1">
      <c r="A241" s="4">
        <v>161</v>
      </c>
      <c r="B241" s="18" t="s">
        <v>515</v>
      </c>
      <c r="C241" s="18"/>
      <c r="D241" s="18" t="s">
        <v>463</v>
      </c>
      <c r="E241" s="18"/>
      <c r="F241" s="1">
        <v>85083.68</v>
      </c>
      <c r="G241" s="1"/>
      <c r="H241" s="1">
        <v>31541.56</v>
      </c>
      <c r="I241" s="1"/>
      <c r="J241" s="1">
        <v>20293.72</v>
      </c>
      <c r="K241" s="1"/>
      <c r="L241" s="1">
        <v>15140.09</v>
      </c>
      <c r="M241" s="1"/>
      <c r="N241" s="1">
        <v>0</v>
      </c>
      <c r="O241" s="1"/>
      <c r="P241" s="1">
        <v>12757.96</v>
      </c>
      <c r="Q241" s="1"/>
      <c r="R241" s="1">
        <v>1870</v>
      </c>
      <c r="S241" s="1"/>
      <c r="T241" s="1">
        <v>2387.61</v>
      </c>
      <c r="U241" s="1"/>
      <c r="V241" s="1">
        <v>0</v>
      </c>
      <c r="W241" s="1"/>
      <c r="X241" s="1">
        <v>0</v>
      </c>
      <c r="Y241" s="1"/>
      <c r="Z241" s="1">
        <v>0</v>
      </c>
      <c r="AA241" s="1"/>
      <c r="AB241" s="1">
        <v>4198.32</v>
      </c>
      <c r="AC241" s="1"/>
      <c r="AD241" s="1">
        <v>0</v>
      </c>
      <c r="AE241" s="18"/>
      <c r="AF241" s="4">
        <f t="shared" si="10"/>
        <v>173272.93999999997</v>
      </c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</row>
    <row r="242" spans="1:64">
      <c r="A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31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4"/>
    </row>
    <row r="243" spans="1:64">
      <c r="A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27" t="s">
        <v>538</v>
      </c>
      <c r="AG243" s="31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4"/>
    </row>
    <row r="244" spans="1:64">
      <c r="B244" s="3" t="s">
        <v>492</v>
      </c>
    </row>
    <row r="245" spans="1:64">
      <c r="B245" s="3" t="s">
        <v>565</v>
      </c>
    </row>
    <row r="246" spans="1:64">
      <c r="B246" s="24" t="s">
        <v>7</v>
      </c>
    </row>
    <row r="247" spans="1:64" s="19" customFormat="1">
      <c r="L247" s="19" t="s">
        <v>8</v>
      </c>
    </row>
    <row r="248" spans="1:64" s="19" customFormat="1">
      <c r="H248" s="19" t="s">
        <v>318</v>
      </c>
      <c r="J248" s="19" t="s">
        <v>320</v>
      </c>
      <c r="L248" s="19" t="s">
        <v>502</v>
      </c>
      <c r="N248" s="19" t="s">
        <v>501</v>
      </c>
      <c r="X248" s="19" t="s">
        <v>327</v>
      </c>
      <c r="AD248" s="19" t="s">
        <v>0</v>
      </c>
    </row>
    <row r="249" spans="1:64" s="19" customFormat="1">
      <c r="H249" s="19" t="s">
        <v>319</v>
      </c>
      <c r="J249" s="19" t="s">
        <v>321</v>
      </c>
      <c r="L249" s="19" t="s">
        <v>322</v>
      </c>
      <c r="N249" s="19" t="s">
        <v>499</v>
      </c>
      <c r="T249" s="19" t="s">
        <v>30</v>
      </c>
      <c r="V249" s="19" t="s">
        <v>325</v>
      </c>
      <c r="X249" s="19" t="s">
        <v>328</v>
      </c>
      <c r="AD249" s="19" t="s">
        <v>293</v>
      </c>
    </row>
    <row r="250" spans="1:64" s="19" customFormat="1" ht="12" customHeight="1">
      <c r="A250" s="19" t="s">
        <v>525</v>
      </c>
      <c r="B250" s="20" t="s">
        <v>8</v>
      </c>
      <c r="D250" s="20" t="s">
        <v>6</v>
      </c>
      <c r="F250" s="20" t="s">
        <v>2</v>
      </c>
      <c r="H250" s="20" t="s">
        <v>3</v>
      </c>
      <c r="J250" s="20" t="s">
        <v>29</v>
      </c>
      <c r="L250" s="20" t="s">
        <v>323</v>
      </c>
      <c r="N250" s="20" t="s">
        <v>500</v>
      </c>
      <c r="P250" s="20" t="s">
        <v>4</v>
      </c>
      <c r="R250" s="20" t="s">
        <v>0</v>
      </c>
      <c r="T250" s="20" t="s">
        <v>324</v>
      </c>
      <c r="V250" s="20" t="s">
        <v>326</v>
      </c>
      <c r="X250" s="20" t="s">
        <v>329</v>
      </c>
      <c r="Z250" s="20" t="s">
        <v>476</v>
      </c>
      <c r="AB250" s="20" t="s">
        <v>477</v>
      </c>
      <c r="AD250" s="20" t="s">
        <v>330</v>
      </c>
      <c r="AF250" s="29" t="s">
        <v>28</v>
      </c>
    </row>
    <row r="251" spans="1:64" s="5" customFormat="1">
      <c r="A251" s="5">
        <v>56</v>
      </c>
      <c r="B251" s="5" t="s">
        <v>242</v>
      </c>
      <c r="D251" s="5" t="s">
        <v>19</v>
      </c>
      <c r="F251" s="5">
        <v>2286595</v>
      </c>
      <c r="H251" s="5">
        <v>533751</v>
      </c>
      <c r="J251" s="5">
        <v>421162</v>
      </c>
      <c r="L251" s="5">
        <v>512409</v>
      </c>
      <c r="N251" s="5">
        <v>0</v>
      </c>
      <c r="P251" s="5">
        <v>79027</v>
      </c>
      <c r="R251" s="5">
        <v>14431</v>
      </c>
      <c r="T251" s="5">
        <v>0</v>
      </c>
      <c r="V251" s="5">
        <v>0</v>
      </c>
      <c r="X251" s="5">
        <v>0</v>
      </c>
      <c r="Z251" s="5">
        <v>190000</v>
      </c>
      <c r="AB251" s="5">
        <v>0</v>
      </c>
      <c r="AD251" s="5">
        <v>0</v>
      </c>
      <c r="AF251" s="5">
        <f t="shared" ref="AF251:AF284" si="11">SUM(F251:AD251)</f>
        <v>4037375</v>
      </c>
      <c r="AG251" s="30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</row>
    <row r="252" spans="1:64" s="4" customFormat="1">
      <c r="A252" s="4">
        <v>214</v>
      </c>
      <c r="B252" s="3" t="s">
        <v>243</v>
      </c>
      <c r="C252" s="3"/>
      <c r="D252" s="3" t="s">
        <v>25</v>
      </c>
      <c r="E252" s="3"/>
      <c r="F252" s="4">
        <v>776658</v>
      </c>
      <c r="H252" s="4">
        <f>124240+119748+2511</f>
        <v>246499</v>
      </c>
      <c r="J252" s="4">
        <v>200966</v>
      </c>
      <c r="L252" s="4">
        <v>183110</v>
      </c>
      <c r="N252" s="4">
        <v>0</v>
      </c>
      <c r="P252" s="4">
        <f>19048+3443+2722+2770</f>
        <v>27983</v>
      </c>
      <c r="R252" s="4">
        <f>5452+324</f>
        <v>5776</v>
      </c>
      <c r="T252" s="4">
        <v>2260</v>
      </c>
      <c r="V252" s="4">
        <v>0</v>
      </c>
      <c r="X252" s="4">
        <v>0</v>
      </c>
      <c r="Z252" s="4">
        <v>0</v>
      </c>
      <c r="AB252" s="4">
        <v>0</v>
      </c>
      <c r="AD252" s="4">
        <v>0</v>
      </c>
      <c r="AF252" s="4">
        <f t="shared" si="11"/>
        <v>1443252</v>
      </c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</row>
    <row r="253" spans="1:64" s="4" customFormat="1">
      <c r="A253" s="4">
        <v>253</v>
      </c>
      <c r="B253" s="3" t="s">
        <v>244</v>
      </c>
      <c r="C253" s="3"/>
      <c r="D253" s="3" t="s">
        <v>64</v>
      </c>
      <c r="E253" s="3"/>
      <c r="F253" s="4">
        <v>426651</v>
      </c>
      <c r="H253" s="4">
        <v>137974</v>
      </c>
      <c r="J253" s="4">
        <v>109989</v>
      </c>
      <c r="L253" s="4">
        <v>103684</v>
      </c>
      <c r="N253" s="4">
        <v>0</v>
      </c>
      <c r="P253" s="4">
        <v>14245</v>
      </c>
      <c r="R253" s="4">
        <v>7156</v>
      </c>
      <c r="T253" s="4">
        <v>45092</v>
      </c>
      <c r="V253" s="4">
        <v>0</v>
      </c>
      <c r="X253" s="4">
        <v>0</v>
      </c>
      <c r="Z253" s="4">
        <v>0</v>
      </c>
      <c r="AB253" s="4">
        <v>0</v>
      </c>
      <c r="AD253" s="4">
        <v>0</v>
      </c>
      <c r="AF253" s="4">
        <f t="shared" si="11"/>
        <v>844791</v>
      </c>
      <c r="AG253" s="31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</row>
    <row r="254" spans="1:64" s="4" customFormat="1">
      <c r="A254" s="4">
        <v>36</v>
      </c>
      <c r="B254" s="18" t="s">
        <v>245</v>
      </c>
      <c r="C254" s="18"/>
      <c r="D254" s="18" t="s">
        <v>450</v>
      </c>
      <c r="E254" s="18"/>
      <c r="F254" s="1">
        <v>142256.76999999999</v>
      </c>
      <c r="G254" s="1"/>
      <c r="H254" s="1">
        <v>42338.9</v>
      </c>
      <c r="I254" s="1"/>
      <c r="J254" s="1">
        <v>35416.089999999997</v>
      </c>
      <c r="K254" s="1"/>
      <c r="L254" s="1">
        <v>57294.28</v>
      </c>
      <c r="M254" s="1"/>
      <c r="N254" s="1">
        <v>0</v>
      </c>
      <c r="O254" s="1"/>
      <c r="P254" s="1">
        <v>9939.56</v>
      </c>
      <c r="Q254" s="1"/>
      <c r="R254" s="1">
        <v>2533.77</v>
      </c>
      <c r="S254" s="1"/>
      <c r="T254" s="1">
        <v>2618.84</v>
      </c>
      <c r="U254" s="1"/>
      <c r="V254" s="1">
        <v>0</v>
      </c>
      <c r="W254" s="1"/>
      <c r="X254" s="1">
        <v>0</v>
      </c>
      <c r="Y254" s="1"/>
      <c r="Z254" s="1">
        <v>0</v>
      </c>
      <c r="AA254" s="1"/>
      <c r="AB254" s="1">
        <v>0</v>
      </c>
      <c r="AC254" s="1"/>
      <c r="AD254" s="1">
        <v>0</v>
      </c>
      <c r="AE254" s="18"/>
      <c r="AF254" s="4">
        <f t="shared" si="11"/>
        <v>292398.21000000002</v>
      </c>
      <c r="AG254" s="31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</row>
    <row r="255" spans="1:64" s="4" customFormat="1">
      <c r="A255" s="4">
        <v>30</v>
      </c>
      <c r="B255" s="18" t="s">
        <v>344</v>
      </c>
      <c r="C255" s="18"/>
      <c r="D255" s="18" t="s">
        <v>448</v>
      </c>
      <c r="E255" s="18"/>
      <c r="F255" s="1">
        <v>161133.93</v>
      </c>
      <c r="G255" s="1"/>
      <c r="H255" s="1">
        <v>74461.53</v>
      </c>
      <c r="I255" s="1"/>
      <c r="J255" s="1">
        <v>71801.11</v>
      </c>
      <c r="K255" s="1"/>
      <c r="L255" s="1">
        <v>36320.559999999998</v>
      </c>
      <c r="M255" s="1"/>
      <c r="N255" s="1">
        <v>0</v>
      </c>
      <c r="O255" s="1"/>
      <c r="P255" s="1">
        <v>14135.08</v>
      </c>
      <c r="Q255" s="1"/>
      <c r="R255" s="1">
        <v>5238.08</v>
      </c>
      <c r="S255" s="1"/>
      <c r="T255" s="1">
        <v>1365.19</v>
      </c>
      <c r="U255" s="1"/>
      <c r="V255" s="1">
        <v>0</v>
      </c>
      <c r="W255" s="1"/>
      <c r="X255" s="1">
        <v>0</v>
      </c>
      <c r="Y255" s="1"/>
      <c r="Z255" s="1">
        <v>10000</v>
      </c>
      <c r="AA255" s="1"/>
      <c r="AB255" s="1">
        <v>0</v>
      </c>
      <c r="AC255" s="1"/>
      <c r="AD255" s="1">
        <v>0</v>
      </c>
      <c r="AE255" s="18"/>
      <c r="AF255" s="4">
        <f t="shared" si="11"/>
        <v>374455.48000000004</v>
      </c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</row>
    <row r="256" spans="1:64" s="4" customFormat="1">
      <c r="A256" s="4">
        <v>43</v>
      </c>
      <c r="B256" s="3" t="s">
        <v>246</v>
      </c>
      <c r="C256" s="3"/>
      <c r="D256" s="3" t="s">
        <v>50</v>
      </c>
      <c r="E256" s="3"/>
      <c r="F256" s="4">
        <v>466500</v>
      </c>
      <c r="H256" s="4">
        <v>102068</v>
      </c>
      <c r="J256" s="4">
        <v>121437</v>
      </c>
      <c r="L256" s="4">
        <v>102767</v>
      </c>
      <c r="N256" s="4">
        <v>0</v>
      </c>
      <c r="P256" s="4">
        <v>11248</v>
      </c>
      <c r="R256" s="4">
        <v>5493</v>
      </c>
      <c r="T256" s="4">
        <v>1214</v>
      </c>
      <c r="V256" s="4">
        <v>0</v>
      </c>
      <c r="X256" s="4">
        <v>0</v>
      </c>
      <c r="Z256" s="4">
        <v>4912</v>
      </c>
      <c r="AB256" s="4">
        <v>0</v>
      </c>
      <c r="AD256" s="4">
        <v>0</v>
      </c>
      <c r="AF256" s="4">
        <f t="shared" si="11"/>
        <v>815639</v>
      </c>
      <c r="AG256" s="31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</row>
    <row r="257" spans="1:64" s="4" customFormat="1">
      <c r="A257" s="4">
        <v>244</v>
      </c>
      <c r="B257" s="3" t="s">
        <v>247</v>
      </c>
      <c r="C257" s="3"/>
      <c r="D257" s="3" t="s">
        <v>53</v>
      </c>
      <c r="E257" s="3"/>
      <c r="F257" s="4">
        <v>399541</v>
      </c>
      <c r="H257" s="4">
        <v>51168</v>
      </c>
      <c r="J257" s="4">
        <v>102728</v>
      </c>
      <c r="L257" s="4">
        <v>18464</v>
      </c>
      <c r="N257" s="4">
        <v>0</v>
      </c>
      <c r="P257" s="4">
        <v>3041</v>
      </c>
      <c r="R257" s="4">
        <v>6580</v>
      </c>
      <c r="T257" s="4">
        <v>403</v>
      </c>
      <c r="V257" s="4">
        <v>0</v>
      </c>
      <c r="X257" s="4">
        <v>0</v>
      </c>
      <c r="Z257" s="4">
        <v>0</v>
      </c>
      <c r="AB257" s="4">
        <v>0</v>
      </c>
      <c r="AD257" s="4">
        <v>0</v>
      </c>
      <c r="AF257" s="4">
        <f t="shared" si="11"/>
        <v>581925</v>
      </c>
      <c r="AG257" s="31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</row>
    <row r="258" spans="1:64" s="4" customFormat="1">
      <c r="A258" s="4">
        <v>69</v>
      </c>
      <c r="B258" s="3" t="s">
        <v>312</v>
      </c>
      <c r="C258" s="3"/>
      <c r="D258" s="3" t="s">
        <v>165</v>
      </c>
      <c r="E258" s="3"/>
      <c r="F258" s="4">
        <v>1380056</v>
      </c>
      <c r="H258" s="4">
        <v>515265</v>
      </c>
      <c r="J258" s="4">
        <v>555179</v>
      </c>
      <c r="L258" s="4">
        <v>242041</v>
      </c>
      <c r="N258" s="4">
        <v>0</v>
      </c>
      <c r="P258" s="4">
        <v>60501</v>
      </c>
      <c r="R258" s="4">
        <v>16208</v>
      </c>
      <c r="T258" s="4">
        <v>112738</v>
      </c>
      <c r="V258" s="4">
        <v>0</v>
      </c>
      <c r="X258" s="4">
        <v>0</v>
      </c>
      <c r="Z258" s="4">
        <v>0</v>
      </c>
      <c r="AB258" s="4">
        <v>0</v>
      </c>
      <c r="AD258" s="4">
        <v>0</v>
      </c>
      <c r="AF258" s="4">
        <f t="shared" si="11"/>
        <v>2881988</v>
      </c>
      <c r="AG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</row>
    <row r="259" spans="1:64">
      <c r="A259" s="4">
        <v>177</v>
      </c>
      <c r="B259" s="3" t="s">
        <v>248</v>
      </c>
      <c r="D259" s="3" t="s">
        <v>67</v>
      </c>
      <c r="F259" s="1">
        <v>166660.31</v>
      </c>
      <c r="G259" s="1"/>
      <c r="H259" s="1">
        <v>27046.03</v>
      </c>
      <c r="I259" s="1"/>
      <c r="J259" s="1">
        <v>29834.84</v>
      </c>
      <c r="K259" s="1"/>
      <c r="L259" s="1">
        <v>23049.25</v>
      </c>
      <c r="M259" s="1"/>
      <c r="N259" s="1">
        <v>0</v>
      </c>
      <c r="O259" s="1"/>
      <c r="P259" s="1">
        <v>2497.33</v>
      </c>
      <c r="Q259" s="1"/>
      <c r="R259" s="1">
        <v>1036</v>
      </c>
      <c r="S259" s="1"/>
      <c r="T259" s="1">
        <v>0</v>
      </c>
      <c r="U259" s="1"/>
      <c r="V259" s="1">
        <v>0</v>
      </c>
      <c r="W259" s="1"/>
      <c r="X259" s="1">
        <v>0</v>
      </c>
      <c r="Y259" s="1"/>
      <c r="Z259" s="1">
        <v>0</v>
      </c>
      <c r="AA259" s="1"/>
      <c r="AB259" s="1">
        <v>0</v>
      </c>
      <c r="AC259" s="1"/>
      <c r="AD259" s="1">
        <v>0</v>
      </c>
      <c r="AE259" s="4"/>
      <c r="AF259" s="4">
        <f t="shared" si="11"/>
        <v>250123.75999999998</v>
      </c>
    </row>
    <row r="260" spans="1:64" s="4" customFormat="1">
      <c r="A260" s="4">
        <v>206</v>
      </c>
      <c r="B260" s="3" t="s">
        <v>249</v>
      </c>
      <c r="C260" s="3"/>
      <c r="D260" s="3" t="s">
        <v>44</v>
      </c>
      <c r="E260" s="3"/>
      <c r="F260" s="1">
        <v>78747.360000000001</v>
      </c>
      <c r="G260" s="1"/>
      <c r="H260" s="1">
        <v>12320.31</v>
      </c>
      <c r="I260" s="1"/>
      <c r="J260" s="1">
        <v>30677.24</v>
      </c>
      <c r="K260" s="1"/>
      <c r="L260" s="1">
        <v>17086.88</v>
      </c>
      <c r="M260" s="1"/>
      <c r="N260" s="1">
        <v>0</v>
      </c>
      <c r="O260" s="1"/>
      <c r="P260" s="1">
        <v>4445.7700000000004</v>
      </c>
      <c r="Q260" s="1"/>
      <c r="R260" s="1">
        <v>8082.52</v>
      </c>
      <c r="S260" s="1"/>
      <c r="T260" s="1">
        <v>1866.7</v>
      </c>
      <c r="U260" s="1"/>
      <c r="V260" s="1">
        <v>0</v>
      </c>
      <c r="W260" s="1"/>
      <c r="X260" s="1">
        <v>0</v>
      </c>
      <c r="Y260" s="1"/>
      <c r="Z260" s="1">
        <v>8928.09</v>
      </c>
      <c r="AA260" s="1"/>
      <c r="AB260" s="1">
        <v>0</v>
      </c>
      <c r="AC260" s="1"/>
      <c r="AD260" s="1">
        <v>0</v>
      </c>
      <c r="AF260" s="4">
        <f t="shared" si="11"/>
        <v>162154.87</v>
      </c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</row>
    <row r="261" spans="1:64" s="4" customFormat="1">
      <c r="A261" s="4">
        <v>57</v>
      </c>
      <c r="B261" s="3" t="s">
        <v>250</v>
      </c>
      <c r="C261" s="3"/>
      <c r="D261" s="3" t="s">
        <v>19</v>
      </c>
      <c r="E261" s="3"/>
      <c r="F261" s="4">
        <v>3039373</v>
      </c>
      <c r="H261" s="4">
        <v>850576</v>
      </c>
      <c r="J261" s="4">
        <v>665247</v>
      </c>
      <c r="L261" s="4">
        <v>534602</v>
      </c>
      <c r="N261" s="4">
        <v>0</v>
      </c>
      <c r="P261" s="4">
        <v>78140</v>
      </c>
      <c r="R261" s="4">
        <v>13158</v>
      </c>
      <c r="T261" s="4">
        <v>15327</v>
      </c>
      <c r="V261" s="4">
        <v>0</v>
      </c>
      <c r="X261" s="4">
        <v>0</v>
      </c>
      <c r="Z261" s="4">
        <v>157795</v>
      </c>
      <c r="AB261" s="4">
        <v>10000</v>
      </c>
      <c r="AD261" s="4">
        <v>0</v>
      </c>
      <c r="AF261" s="4">
        <f t="shared" si="11"/>
        <v>5364218</v>
      </c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</row>
    <row r="262" spans="1:64" s="4" customFormat="1">
      <c r="A262" s="4">
        <v>118</v>
      </c>
      <c r="B262" s="4" t="s">
        <v>417</v>
      </c>
      <c r="D262" s="4" t="s">
        <v>168</v>
      </c>
      <c r="F262" s="4">
        <v>5750</v>
      </c>
      <c r="H262" s="4">
        <v>888</v>
      </c>
      <c r="J262" s="4">
        <v>16961</v>
      </c>
      <c r="L262" s="4">
        <v>1040</v>
      </c>
      <c r="N262" s="4">
        <v>0</v>
      </c>
      <c r="P262" s="4">
        <v>127</v>
      </c>
      <c r="R262" s="4">
        <v>150</v>
      </c>
      <c r="T262" s="4">
        <v>0</v>
      </c>
      <c r="V262" s="4">
        <v>0</v>
      </c>
      <c r="X262" s="4">
        <v>0</v>
      </c>
      <c r="Z262" s="4">
        <v>0</v>
      </c>
      <c r="AB262" s="4">
        <v>0</v>
      </c>
      <c r="AD262" s="4">
        <v>0</v>
      </c>
      <c r="AF262" s="4">
        <f t="shared" si="11"/>
        <v>24916</v>
      </c>
      <c r="AG262" s="31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</row>
    <row r="263" spans="1:64" s="4" customFormat="1">
      <c r="A263" s="4">
        <v>79</v>
      </c>
      <c r="B263" s="3" t="s">
        <v>252</v>
      </c>
      <c r="C263" s="3"/>
      <c r="D263" s="3" t="s">
        <v>91</v>
      </c>
      <c r="E263" s="3"/>
      <c r="F263" s="4">
        <v>1820349</v>
      </c>
      <c r="H263" s="4">
        <v>582029</v>
      </c>
      <c r="J263" s="4">
        <v>907371</v>
      </c>
      <c r="L263" s="4">
        <v>190541</v>
      </c>
      <c r="N263" s="4">
        <v>0</v>
      </c>
      <c r="P263" s="4">
        <v>88069</v>
      </c>
      <c r="R263" s="4">
        <v>33040</v>
      </c>
      <c r="T263" s="4">
        <v>20555</v>
      </c>
      <c r="V263" s="4">
        <v>0</v>
      </c>
      <c r="X263" s="4">
        <v>0</v>
      </c>
      <c r="Z263" s="4">
        <v>0</v>
      </c>
      <c r="AB263" s="4">
        <v>0</v>
      </c>
      <c r="AD263" s="4">
        <v>0</v>
      </c>
      <c r="AF263" s="4">
        <f t="shared" si="11"/>
        <v>3641954</v>
      </c>
      <c r="AG263" s="31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</row>
    <row r="264" spans="1:64" s="4" customFormat="1">
      <c r="A264" s="4">
        <v>22</v>
      </c>
      <c r="B264" s="18" t="s">
        <v>313</v>
      </c>
      <c r="C264" s="18"/>
      <c r="D264" s="18" t="s">
        <v>444</v>
      </c>
      <c r="E264" s="18"/>
      <c r="F264" s="1">
        <v>248210.07</v>
      </c>
      <c r="G264" s="1"/>
      <c r="H264" s="1">
        <v>64836.05</v>
      </c>
      <c r="I264" s="1"/>
      <c r="J264" s="1">
        <v>75943.31</v>
      </c>
      <c r="K264" s="1"/>
      <c r="L264" s="1">
        <v>41353.449999999997</v>
      </c>
      <c r="M264" s="1"/>
      <c r="N264" s="1">
        <v>0</v>
      </c>
      <c r="O264" s="1"/>
      <c r="P264" s="1">
        <v>8458.74</v>
      </c>
      <c r="Q264" s="1"/>
      <c r="R264" s="1">
        <v>2579.12</v>
      </c>
      <c r="S264" s="1"/>
      <c r="T264" s="1">
        <v>8155.31</v>
      </c>
      <c r="U264" s="1"/>
      <c r="V264" s="1">
        <v>0</v>
      </c>
      <c r="W264" s="1"/>
      <c r="X264" s="1">
        <v>0</v>
      </c>
      <c r="Y264" s="1"/>
      <c r="Z264" s="1">
        <v>0</v>
      </c>
      <c r="AA264" s="1"/>
      <c r="AB264" s="1">
        <v>0</v>
      </c>
      <c r="AC264" s="1"/>
      <c r="AD264" s="1">
        <v>0</v>
      </c>
      <c r="AE264" s="18"/>
      <c r="AF264" s="4">
        <f t="shared" si="11"/>
        <v>449536.05</v>
      </c>
      <c r="AG264" s="31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</row>
    <row r="265" spans="1:64" s="4" customFormat="1">
      <c r="A265" s="4">
        <v>18</v>
      </c>
      <c r="B265" s="18" t="s">
        <v>341</v>
      </c>
      <c r="C265" s="18"/>
      <c r="D265" s="18" t="s">
        <v>443</v>
      </c>
      <c r="E265" s="18"/>
      <c r="F265" s="1">
        <v>270895.15000000002</v>
      </c>
      <c r="G265" s="1"/>
      <c r="H265" s="1">
        <v>64483.49</v>
      </c>
      <c r="I265" s="1"/>
      <c r="J265" s="1">
        <v>73618.600000000006</v>
      </c>
      <c r="K265" s="1"/>
      <c r="L265" s="1">
        <v>26209.51</v>
      </c>
      <c r="M265" s="1"/>
      <c r="N265" s="1">
        <v>0</v>
      </c>
      <c r="O265" s="1"/>
      <c r="P265" s="1">
        <v>17669.36</v>
      </c>
      <c r="Q265" s="1"/>
      <c r="R265" s="1">
        <v>5309.99</v>
      </c>
      <c r="S265" s="1"/>
      <c r="T265" s="1">
        <v>10092.75</v>
      </c>
      <c r="U265" s="1"/>
      <c r="V265" s="1">
        <v>6683</v>
      </c>
      <c r="W265" s="1"/>
      <c r="X265" s="1">
        <v>3578.03</v>
      </c>
      <c r="Y265" s="1"/>
      <c r="Z265" s="1">
        <v>0</v>
      </c>
      <c r="AA265" s="1"/>
      <c r="AB265" s="1">
        <v>0</v>
      </c>
      <c r="AC265" s="1"/>
      <c r="AD265" s="1">
        <v>0</v>
      </c>
      <c r="AE265" s="18"/>
      <c r="AF265" s="4">
        <f t="shared" si="11"/>
        <v>478539.88</v>
      </c>
      <c r="AG265" s="31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</row>
    <row r="266" spans="1:64" s="4" customFormat="1">
      <c r="A266" s="4">
        <v>215</v>
      </c>
      <c r="B266" s="3" t="s">
        <v>539</v>
      </c>
      <c r="C266" s="3"/>
      <c r="D266" s="3" t="s">
        <v>25</v>
      </c>
      <c r="E266" s="3"/>
      <c r="F266" s="4">
        <f>2169876+1701491</f>
        <v>3871367</v>
      </c>
      <c r="H266" s="4">
        <v>0</v>
      </c>
      <c r="J266" s="4">
        <v>0</v>
      </c>
      <c r="L266" s="4">
        <f>6924369+597420</f>
        <v>7521789</v>
      </c>
      <c r="N266" s="4">
        <v>1221170</v>
      </c>
      <c r="P266" s="4">
        <v>0</v>
      </c>
      <c r="R266" s="4">
        <v>0</v>
      </c>
      <c r="T266" s="4">
        <v>354330</v>
      </c>
      <c r="V266" s="4">
        <v>0</v>
      </c>
      <c r="X266" s="4">
        <v>0</v>
      </c>
      <c r="Z266" s="4">
        <v>0</v>
      </c>
      <c r="AB266" s="4">
        <v>0</v>
      </c>
      <c r="AD266" s="4">
        <v>0</v>
      </c>
      <c r="AF266" s="4">
        <f t="shared" si="11"/>
        <v>12968656</v>
      </c>
      <c r="AG266" s="31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</row>
    <row r="267" spans="1:64" s="4" customFormat="1">
      <c r="A267" s="4">
        <v>120</v>
      </c>
      <c r="B267" s="3" t="s">
        <v>254</v>
      </c>
      <c r="C267" s="3"/>
      <c r="D267" s="3" t="s">
        <v>255</v>
      </c>
      <c r="E267" s="3"/>
      <c r="F267" s="4">
        <v>1438724</v>
      </c>
      <c r="H267" s="4">
        <v>611984</v>
      </c>
      <c r="J267" s="4">
        <v>370075</v>
      </c>
      <c r="L267" s="4">
        <v>213150</v>
      </c>
      <c r="N267" s="4">
        <v>0</v>
      </c>
      <c r="P267" s="4">
        <v>55193</v>
      </c>
      <c r="R267" s="4">
        <v>11102</v>
      </c>
      <c r="T267" s="4">
        <v>0</v>
      </c>
      <c r="V267" s="4">
        <v>0</v>
      </c>
      <c r="X267" s="4">
        <v>0</v>
      </c>
      <c r="Z267" s="4">
        <v>0</v>
      </c>
      <c r="AB267" s="4">
        <v>0</v>
      </c>
      <c r="AD267" s="4">
        <v>0</v>
      </c>
      <c r="AF267" s="4">
        <f t="shared" si="11"/>
        <v>2700228</v>
      </c>
      <c r="AG267" s="31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</row>
    <row r="268" spans="1:64" s="4" customFormat="1">
      <c r="A268" s="4">
        <v>220</v>
      </c>
      <c r="B268" s="3" t="s">
        <v>256</v>
      </c>
      <c r="C268" s="3"/>
      <c r="D268" s="3" t="s">
        <v>22</v>
      </c>
      <c r="E268" s="3"/>
      <c r="F268" s="4">
        <f>461318+215109</f>
        <v>676427</v>
      </c>
      <c r="H268" s="4">
        <v>0</v>
      </c>
      <c r="J268" s="4">
        <v>0</v>
      </c>
      <c r="L268" s="4">
        <v>1016750</v>
      </c>
      <c r="N268" s="4">
        <v>441247</v>
      </c>
      <c r="P268" s="4">
        <v>0</v>
      </c>
      <c r="R268" s="4">
        <v>0</v>
      </c>
      <c r="T268" s="4">
        <v>23416</v>
      </c>
      <c r="V268" s="4">
        <v>0</v>
      </c>
      <c r="X268" s="4">
        <v>0</v>
      </c>
      <c r="Z268" s="4">
        <v>0</v>
      </c>
      <c r="AB268" s="4">
        <v>0</v>
      </c>
      <c r="AD268" s="4">
        <v>0</v>
      </c>
      <c r="AF268" s="4">
        <f t="shared" si="11"/>
        <v>2157840</v>
      </c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</row>
    <row r="269" spans="1:64" s="4" customFormat="1">
      <c r="A269" s="4">
        <v>86</v>
      </c>
      <c r="B269" s="3" t="s">
        <v>257</v>
      </c>
      <c r="C269" s="3"/>
      <c r="D269" s="3" t="s">
        <v>41</v>
      </c>
      <c r="E269" s="3"/>
      <c r="F269" s="1">
        <v>202758.04</v>
      </c>
      <c r="G269" s="1"/>
      <c r="H269" s="1">
        <v>74963.509999999995</v>
      </c>
      <c r="I269" s="1"/>
      <c r="J269" s="1">
        <v>67136.28</v>
      </c>
      <c r="K269" s="1"/>
      <c r="L269" s="1">
        <v>26697.3</v>
      </c>
      <c r="M269" s="1"/>
      <c r="N269" s="1">
        <v>0</v>
      </c>
      <c r="O269" s="1"/>
      <c r="P269" s="1">
        <v>7143.51</v>
      </c>
      <c r="Q269" s="1"/>
      <c r="R269" s="1">
        <v>4958.1899999999996</v>
      </c>
      <c r="S269" s="1"/>
      <c r="T269" s="1">
        <v>7798.7</v>
      </c>
      <c r="U269" s="1"/>
      <c r="V269" s="1">
        <v>0</v>
      </c>
      <c r="W269" s="1"/>
      <c r="X269" s="1">
        <v>0</v>
      </c>
      <c r="Y269" s="1"/>
      <c r="Z269" s="1">
        <v>0</v>
      </c>
      <c r="AA269" s="1"/>
      <c r="AB269" s="1">
        <v>0</v>
      </c>
      <c r="AC269" s="1"/>
      <c r="AD269" s="1">
        <v>0</v>
      </c>
      <c r="AF269" s="4">
        <f t="shared" si="11"/>
        <v>391455.52999999997</v>
      </c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</row>
    <row r="270" spans="1:64" s="4" customFormat="1">
      <c r="A270" s="4">
        <v>119</v>
      </c>
      <c r="B270" s="18" t="s">
        <v>258</v>
      </c>
      <c r="C270" s="18"/>
      <c r="D270" s="18" t="s">
        <v>456</v>
      </c>
      <c r="E270" s="18"/>
      <c r="F270" s="1">
        <v>292313.14</v>
      </c>
      <c r="G270" s="1"/>
      <c r="H270" s="1">
        <v>115992.45</v>
      </c>
      <c r="I270" s="1"/>
      <c r="J270" s="1">
        <v>35827.620000000003</v>
      </c>
      <c r="K270" s="1"/>
      <c r="L270" s="1">
        <v>33119.54</v>
      </c>
      <c r="M270" s="1"/>
      <c r="N270" s="1">
        <v>0</v>
      </c>
      <c r="O270" s="1"/>
      <c r="P270" s="1">
        <v>6279.58</v>
      </c>
      <c r="Q270" s="1"/>
      <c r="R270" s="1">
        <v>4742.5</v>
      </c>
      <c r="S270" s="1"/>
      <c r="T270" s="1">
        <v>0</v>
      </c>
      <c r="U270" s="1"/>
      <c r="V270" s="1">
        <v>0</v>
      </c>
      <c r="W270" s="1"/>
      <c r="X270" s="1">
        <v>0</v>
      </c>
      <c r="Y270" s="1"/>
      <c r="Z270" s="1">
        <v>0</v>
      </c>
      <c r="AA270" s="1"/>
      <c r="AB270" s="1">
        <v>0</v>
      </c>
      <c r="AC270" s="1"/>
      <c r="AD270" s="1">
        <v>25</v>
      </c>
      <c r="AE270" s="18"/>
      <c r="AF270" s="4">
        <f t="shared" si="11"/>
        <v>488299.83</v>
      </c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</row>
    <row r="271" spans="1:64" s="4" customFormat="1" hidden="1">
      <c r="A271" s="4">
        <v>221</v>
      </c>
      <c r="B271" s="3" t="s">
        <v>259</v>
      </c>
      <c r="C271" s="3"/>
      <c r="D271" s="3" t="s">
        <v>22</v>
      </c>
      <c r="E271" s="3"/>
      <c r="AF271" s="4">
        <f t="shared" si="11"/>
        <v>0</v>
      </c>
    </row>
    <row r="272" spans="1:64" s="5" customFormat="1" hidden="1">
      <c r="A272" s="22">
        <v>92.1</v>
      </c>
      <c r="B272" s="4" t="s">
        <v>526</v>
      </c>
      <c r="C272" s="3"/>
      <c r="D272" s="3" t="s">
        <v>527</v>
      </c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>
        <f t="shared" si="11"/>
        <v>0</v>
      </c>
      <c r="AG272" s="30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</row>
    <row r="273" spans="1:64" s="4" customFormat="1" hidden="1">
      <c r="A273" s="4">
        <v>71</v>
      </c>
      <c r="B273" s="5" t="s">
        <v>523</v>
      </c>
      <c r="C273" s="5"/>
      <c r="D273" s="5" t="s">
        <v>66</v>
      </c>
      <c r="E273" s="5"/>
      <c r="AF273" s="4">
        <f t="shared" si="11"/>
        <v>0</v>
      </c>
      <c r="AG273" s="31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</row>
    <row r="274" spans="1:64" s="4" customFormat="1">
      <c r="A274" s="4">
        <v>207</v>
      </c>
      <c r="B274" s="3" t="s">
        <v>260</v>
      </c>
      <c r="C274" s="3"/>
      <c r="D274" s="3" t="s">
        <v>44</v>
      </c>
      <c r="E274" s="3"/>
      <c r="F274" s="1">
        <v>702893.11</v>
      </c>
      <c r="G274" s="1"/>
      <c r="H274" s="1">
        <v>207762.57</v>
      </c>
      <c r="I274" s="1"/>
      <c r="J274" s="1">
        <v>167307.23000000001</v>
      </c>
      <c r="K274" s="1"/>
      <c r="L274" s="1">
        <v>173568.15</v>
      </c>
      <c r="M274" s="1"/>
      <c r="N274" s="1">
        <v>0</v>
      </c>
      <c r="O274" s="1"/>
      <c r="P274" s="1">
        <v>24140.87</v>
      </c>
      <c r="Q274" s="1"/>
      <c r="R274" s="1">
        <v>11483.29</v>
      </c>
      <c r="S274" s="1"/>
      <c r="T274" s="1">
        <v>24084.98</v>
      </c>
      <c r="U274" s="1"/>
      <c r="V274" s="1">
        <v>0</v>
      </c>
      <c r="W274" s="1"/>
      <c r="X274" s="1">
        <v>0</v>
      </c>
      <c r="Y274" s="1"/>
      <c r="Z274" s="1">
        <v>120000</v>
      </c>
      <c r="AA274" s="1"/>
      <c r="AB274" s="1">
        <v>0</v>
      </c>
      <c r="AC274" s="1"/>
      <c r="AD274" s="1">
        <v>211.7</v>
      </c>
      <c r="AF274" s="4">
        <f t="shared" si="11"/>
        <v>1431451.9</v>
      </c>
      <c r="AG274" s="31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</row>
    <row r="275" spans="1:64" s="4" customFormat="1">
      <c r="A275" s="4">
        <v>166</v>
      </c>
      <c r="B275" s="3" t="s">
        <v>418</v>
      </c>
      <c r="C275" s="3"/>
      <c r="D275" s="3" t="s">
        <v>52</v>
      </c>
      <c r="E275" s="3"/>
      <c r="F275" s="4">
        <f>18703+37993</f>
        <v>56696</v>
      </c>
      <c r="H275" s="4">
        <v>0</v>
      </c>
      <c r="J275" s="4">
        <v>0</v>
      </c>
      <c r="L275" s="4">
        <f>438039+38942</f>
        <v>476981</v>
      </c>
      <c r="N275" s="4">
        <v>7939</v>
      </c>
      <c r="P275" s="4">
        <v>0</v>
      </c>
      <c r="R275" s="4">
        <v>0</v>
      </c>
      <c r="T275" s="4">
        <v>150</v>
      </c>
      <c r="V275" s="4">
        <v>0</v>
      </c>
      <c r="X275" s="4">
        <v>0</v>
      </c>
      <c r="Z275" s="4">
        <v>0</v>
      </c>
      <c r="AB275" s="4">
        <v>0</v>
      </c>
      <c r="AD275" s="4">
        <v>0</v>
      </c>
      <c r="AF275" s="4">
        <f t="shared" si="11"/>
        <v>541766</v>
      </c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</row>
    <row r="276" spans="1:64" s="4" customFormat="1">
      <c r="A276" s="4">
        <v>147</v>
      </c>
      <c r="B276" s="3" t="s">
        <v>555</v>
      </c>
      <c r="C276" s="3"/>
      <c r="D276" s="3" t="s">
        <v>261</v>
      </c>
      <c r="E276" s="3"/>
      <c r="F276" s="4">
        <v>0</v>
      </c>
      <c r="H276" s="4">
        <v>0</v>
      </c>
      <c r="J276" s="4">
        <v>5282086</v>
      </c>
      <c r="L276" s="4">
        <f>23532650+3504744</f>
        <v>27037394</v>
      </c>
      <c r="N276" s="4">
        <v>0</v>
      </c>
      <c r="P276" s="4">
        <v>0</v>
      </c>
      <c r="R276" s="4">
        <v>0</v>
      </c>
      <c r="T276" s="4">
        <v>1001919</v>
      </c>
      <c r="V276" s="4">
        <v>16704</v>
      </c>
      <c r="X276" s="4">
        <v>3212</v>
      </c>
      <c r="Z276" s="4">
        <v>0</v>
      </c>
      <c r="AB276" s="4">
        <v>0</v>
      </c>
      <c r="AD276" s="4">
        <v>0</v>
      </c>
      <c r="AF276" s="4">
        <f t="shared" si="11"/>
        <v>33341315</v>
      </c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</row>
    <row r="277" spans="1:64" s="4" customFormat="1">
      <c r="A277" s="4">
        <v>167</v>
      </c>
      <c r="B277" s="3" t="s">
        <v>556</v>
      </c>
      <c r="C277" s="3"/>
      <c r="D277" s="3" t="s">
        <v>52</v>
      </c>
      <c r="E277" s="3"/>
      <c r="F277" s="4">
        <v>751238</v>
      </c>
      <c r="H277" s="4">
        <v>305814</v>
      </c>
      <c r="J277" s="4">
        <v>187264</v>
      </c>
      <c r="L277" s="4">
        <v>142823</v>
      </c>
      <c r="N277" s="4">
        <v>0</v>
      </c>
      <c r="P277" s="4">
        <v>28175</v>
      </c>
      <c r="R277" s="4">
        <v>4733</v>
      </c>
      <c r="T277" s="4">
        <v>1592</v>
      </c>
      <c r="V277" s="4">
        <v>0</v>
      </c>
      <c r="X277" s="4">
        <v>0</v>
      </c>
      <c r="Z277" s="4">
        <v>0</v>
      </c>
      <c r="AB277" s="4">
        <v>0</v>
      </c>
      <c r="AD277" s="4">
        <v>0</v>
      </c>
      <c r="AF277" s="4">
        <f t="shared" si="11"/>
        <v>1421639</v>
      </c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</row>
    <row r="278" spans="1:64" s="4" customFormat="1">
      <c r="A278" s="4">
        <v>236</v>
      </c>
      <c r="B278" s="3" t="s">
        <v>557</v>
      </c>
      <c r="C278" s="3"/>
      <c r="D278" s="3" t="s">
        <v>26</v>
      </c>
      <c r="E278" s="3"/>
      <c r="F278" s="4">
        <f>237564+460001</f>
        <v>697565</v>
      </c>
      <c r="H278" s="4">
        <v>0</v>
      </c>
      <c r="J278" s="4">
        <v>0</v>
      </c>
      <c r="L278" s="4">
        <f>1129246+12811</f>
        <v>1142057</v>
      </c>
      <c r="N278" s="4">
        <v>105389</v>
      </c>
      <c r="P278" s="4">
        <v>0</v>
      </c>
      <c r="R278" s="4">
        <v>0</v>
      </c>
      <c r="T278" s="4">
        <v>44011</v>
      </c>
      <c r="V278" s="4">
        <v>0</v>
      </c>
      <c r="X278" s="4">
        <v>0</v>
      </c>
      <c r="Z278" s="4">
        <v>0</v>
      </c>
      <c r="AB278" s="4">
        <v>0</v>
      </c>
      <c r="AD278" s="4">
        <v>0</v>
      </c>
      <c r="AF278" s="4">
        <f t="shared" si="11"/>
        <v>1989022</v>
      </c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</row>
    <row r="279" spans="1:64" s="4" customFormat="1" ht="13.9" customHeight="1">
      <c r="A279" s="4">
        <v>222</v>
      </c>
      <c r="B279" s="3" t="s">
        <v>316</v>
      </c>
      <c r="C279" s="3"/>
      <c r="D279" s="3" t="s">
        <v>22</v>
      </c>
      <c r="E279" s="3"/>
      <c r="F279" s="4">
        <f>657358+423573</f>
        <v>1080931</v>
      </c>
      <c r="H279" s="4">
        <v>0</v>
      </c>
      <c r="J279" s="4">
        <v>0</v>
      </c>
      <c r="L279" s="4">
        <v>1114962</v>
      </c>
      <c r="N279" s="4">
        <v>272733</v>
      </c>
      <c r="P279" s="4">
        <v>0</v>
      </c>
      <c r="R279" s="4">
        <v>0</v>
      </c>
      <c r="T279" s="4">
        <v>45995</v>
      </c>
      <c r="V279" s="4">
        <v>0</v>
      </c>
      <c r="X279" s="4">
        <v>0</v>
      </c>
      <c r="Z279" s="4">
        <v>0</v>
      </c>
      <c r="AB279" s="4">
        <v>500000</v>
      </c>
      <c r="AD279" s="4">
        <v>0</v>
      </c>
      <c r="AF279" s="4">
        <f t="shared" si="11"/>
        <v>3014621</v>
      </c>
      <c r="AG279" s="31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</row>
    <row r="280" spans="1:64">
      <c r="A280" s="4">
        <v>24</v>
      </c>
      <c r="B280" s="3" t="s">
        <v>263</v>
      </c>
      <c r="D280" s="3" t="s">
        <v>46</v>
      </c>
      <c r="F280" s="4">
        <v>284191</v>
      </c>
      <c r="G280" s="4"/>
      <c r="H280" s="4">
        <v>59332</v>
      </c>
      <c r="I280" s="4"/>
      <c r="J280" s="4">
        <v>102171</v>
      </c>
      <c r="K280" s="4"/>
      <c r="L280" s="4">
        <v>25531</v>
      </c>
      <c r="M280" s="4"/>
      <c r="N280" s="4">
        <v>0</v>
      </c>
      <c r="O280" s="4"/>
      <c r="P280" s="4">
        <v>7474</v>
      </c>
      <c r="Q280" s="4"/>
      <c r="R280" s="4">
        <v>1968</v>
      </c>
      <c r="S280" s="4"/>
      <c r="T280" s="4">
        <v>0</v>
      </c>
      <c r="U280" s="4"/>
      <c r="V280" s="4">
        <v>0</v>
      </c>
      <c r="W280" s="4"/>
      <c r="X280" s="4">
        <v>0</v>
      </c>
      <c r="Y280" s="4"/>
      <c r="Z280" s="4">
        <v>0</v>
      </c>
      <c r="AA280" s="4"/>
      <c r="AB280" s="4">
        <v>0</v>
      </c>
      <c r="AC280" s="4"/>
      <c r="AD280" s="4">
        <v>0</v>
      </c>
      <c r="AE280" s="4"/>
      <c r="AF280" s="4">
        <f t="shared" si="11"/>
        <v>480667</v>
      </c>
    </row>
    <row r="281" spans="1:64">
      <c r="A281" s="4"/>
      <c r="B281" s="4" t="s">
        <v>264</v>
      </c>
      <c r="C281" s="4"/>
      <c r="D281" s="4" t="s">
        <v>91</v>
      </c>
      <c r="F281" s="4">
        <v>2794770</v>
      </c>
      <c r="G281" s="4"/>
      <c r="H281" s="4">
        <v>962550</v>
      </c>
      <c r="I281" s="4"/>
      <c r="J281" s="4">
        <v>604738</v>
      </c>
      <c r="K281" s="4"/>
      <c r="L281" s="4">
        <v>920344</v>
      </c>
      <c r="M281" s="4"/>
      <c r="N281" s="4">
        <v>0</v>
      </c>
      <c r="O281" s="4"/>
      <c r="P281" s="4">
        <v>98863</v>
      </c>
      <c r="Q281" s="4"/>
      <c r="R281" s="4">
        <v>11357</v>
      </c>
      <c r="S281" s="4"/>
      <c r="T281" s="4">
        <v>125245</v>
      </c>
      <c r="U281" s="4"/>
      <c r="V281" s="4">
        <v>0</v>
      </c>
      <c r="W281" s="4"/>
      <c r="X281" s="4">
        <v>0</v>
      </c>
      <c r="Y281" s="4"/>
      <c r="Z281" s="4">
        <v>40034</v>
      </c>
      <c r="AA281" s="4"/>
      <c r="AB281" s="4">
        <v>0</v>
      </c>
      <c r="AC281" s="4"/>
      <c r="AD281" s="4">
        <v>0</v>
      </c>
      <c r="AE281" s="4"/>
      <c r="AF281" s="4">
        <f t="shared" si="11"/>
        <v>5557901</v>
      </c>
    </row>
    <row r="282" spans="1:64" s="4" customFormat="1">
      <c r="A282" s="4">
        <v>260</v>
      </c>
      <c r="B282" s="3" t="s">
        <v>265</v>
      </c>
      <c r="C282" s="3"/>
      <c r="D282" s="3" t="s">
        <v>62</v>
      </c>
      <c r="E282" s="3"/>
      <c r="F282" s="1">
        <v>195407.6</v>
      </c>
      <c r="G282" s="1"/>
      <c r="H282" s="1">
        <v>55322.59</v>
      </c>
      <c r="I282" s="1"/>
      <c r="J282" s="1">
        <v>56611.12</v>
      </c>
      <c r="K282" s="1"/>
      <c r="L282" s="1">
        <v>65298.27</v>
      </c>
      <c r="M282" s="1"/>
      <c r="N282" s="1">
        <v>0</v>
      </c>
      <c r="O282" s="1"/>
      <c r="P282" s="1">
        <v>12713.5</v>
      </c>
      <c r="Q282" s="1"/>
      <c r="R282" s="1">
        <v>18869.75</v>
      </c>
      <c r="S282" s="1"/>
      <c r="T282" s="1">
        <v>4705.41</v>
      </c>
      <c r="U282" s="1"/>
      <c r="V282" s="1">
        <v>0</v>
      </c>
      <c r="W282" s="1"/>
      <c r="X282" s="1">
        <v>0</v>
      </c>
      <c r="Y282" s="1"/>
      <c r="Z282" s="1">
        <v>0</v>
      </c>
      <c r="AA282" s="1"/>
      <c r="AB282" s="1">
        <v>0</v>
      </c>
      <c r="AC282" s="1"/>
      <c r="AD282" s="1">
        <v>0</v>
      </c>
      <c r="AF282" s="4">
        <f t="shared" si="11"/>
        <v>408928.24</v>
      </c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</row>
    <row r="283" spans="1:64" s="4" customFormat="1">
      <c r="B283" s="4" t="s">
        <v>570</v>
      </c>
      <c r="D283" s="4" t="s">
        <v>66</v>
      </c>
      <c r="E283" s="3"/>
      <c r="F283" s="4">
        <v>151249</v>
      </c>
      <c r="H283" s="4">
        <v>1170</v>
      </c>
      <c r="J283" s="4">
        <v>0</v>
      </c>
      <c r="L283" s="4">
        <v>14137</v>
      </c>
      <c r="N283" s="4">
        <v>0</v>
      </c>
      <c r="P283" s="4">
        <v>2952</v>
      </c>
      <c r="R283" s="4">
        <v>134891</v>
      </c>
      <c r="T283" s="4">
        <v>0</v>
      </c>
      <c r="V283" s="4">
        <v>2152</v>
      </c>
      <c r="X283" s="4">
        <v>0</v>
      </c>
      <c r="Z283" s="4">
        <v>0</v>
      </c>
      <c r="AB283" s="4">
        <v>0</v>
      </c>
      <c r="AD283" s="4">
        <v>0</v>
      </c>
      <c r="AF283" s="4">
        <f t="shared" si="11"/>
        <v>306551</v>
      </c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</row>
    <row r="284" spans="1:64" s="4" customFormat="1">
      <c r="A284" s="4">
        <v>230</v>
      </c>
      <c r="B284" s="3" t="s">
        <v>558</v>
      </c>
      <c r="C284" s="3"/>
      <c r="D284" s="3" t="s">
        <v>55</v>
      </c>
      <c r="E284" s="3"/>
      <c r="F284" s="4">
        <v>2928905</v>
      </c>
      <c r="H284" s="4">
        <v>1136733</v>
      </c>
      <c r="J284" s="4">
        <v>518181</v>
      </c>
      <c r="L284" s="4">
        <v>666588</v>
      </c>
      <c r="N284" s="4">
        <v>0</v>
      </c>
      <c r="P284" s="4">
        <v>111766</v>
      </c>
      <c r="R284" s="4">
        <v>15185</v>
      </c>
      <c r="T284" s="4">
        <v>151167</v>
      </c>
      <c r="V284" s="4">
        <v>0</v>
      </c>
      <c r="X284" s="4">
        <v>0</v>
      </c>
      <c r="Z284" s="4">
        <v>620981</v>
      </c>
      <c r="AB284" s="4">
        <v>0</v>
      </c>
      <c r="AD284" s="4">
        <v>0</v>
      </c>
      <c r="AF284" s="4">
        <f t="shared" si="11"/>
        <v>6149506</v>
      </c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</row>
    <row r="285" spans="1:64" s="4" customFormat="1">
      <c r="A285" s="4">
        <v>245</v>
      </c>
      <c r="B285" s="3" t="s">
        <v>559</v>
      </c>
      <c r="C285" s="3"/>
      <c r="D285" s="3" t="s">
        <v>27</v>
      </c>
      <c r="E285" s="3"/>
      <c r="F285" s="4">
        <v>1273094</v>
      </c>
      <c r="H285" s="4">
        <v>0</v>
      </c>
      <c r="J285" s="4">
        <v>0</v>
      </c>
      <c r="L285" s="4">
        <f>305493+190374</f>
        <v>495867</v>
      </c>
      <c r="N285" s="4">
        <v>0</v>
      </c>
      <c r="P285" s="4">
        <v>0</v>
      </c>
      <c r="R285" s="4">
        <v>0</v>
      </c>
      <c r="T285" s="4">
        <v>1407</v>
      </c>
      <c r="V285" s="4">
        <v>0</v>
      </c>
      <c r="X285" s="4">
        <v>0</v>
      </c>
      <c r="Z285" s="4">
        <v>0</v>
      </c>
      <c r="AB285" s="4">
        <v>0</v>
      </c>
      <c r="AD285" s="4">
        <v>0</v>
      </c>
      <c r="AF285" s="4">
        <f t="shared" ref="AF285:AF303" si="12">SUM(F285:AD285)</f>
        <v>1770368</v>
      </c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</row>
    <row r="286" spans="1:64" s="4" customFormat="1">
      <c r="A286" s="4">
        <v>171</v>
      </c>
      <c r="B286" s="3" t="s">
        <v>266</v>
      </c>
      <c r="C286" s="3"/>
      <c r="D286" s="3" t="s">
        <v>54</v>
      </c>
      <c r="E286" s="3"/>
      <c r="F286" s="4">
        <v>3472199</v>
      </c>
      <c r="H286" s="4">
        <v>1216764</v>
      </c>
      <c r="J286" s="4">
        <v>909901</v>
      </c>
      <c r="L286" s="4">
        <v>1017698</v>
      </c>
      <c r="N286" s="4">
        <v>0</v>
      </c>
      <c r="P286" s="4">
        <v>195733</v>
      </c>
      <c r="R286" s="4">
        <v>8362</v>
      </c>
      <c r="T286" s="4">
        <v>294369</v>
      </c>
      <c r="V286" s="4">
        <v>0</v>
      </c>
      <c r="X286" s="4">
        <v>0</v>
      </c>
      <c r="Z286" s="4">
        <v>0</v>
      </c>
      <c r="AB286" s="4">
        <v>0</v>
      </c>
      <c r="AD286" s="4">
        <v>0</v>
      </c>
      <c r="AF286" s="4">
        <f t="shared" si="12"/>
        <v>7115026</v>
      </c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</row>
    <row r="287" spans="1:64" s="4" customFormat="1">
      <c r="A287" s="4">
        <v>87</v>
      </c>
      <c r="B287" s="3" t="s">
        <v>37</v>
      </c>
      <c r="C287" s="3"/>
      <c r="D287" s="3" t="s">
        <v>41</v>
      </c>
      <c r="E287" s="3"/>
      <c r="F287" s="1">
        <v>223377.04</v>
      </c>
      <c r="G287" s="1"/>
      <c r="H287" s="1">
        <v>37792.300000000003</v>
      </c>
      <c r="I287" s="1"/>
      <c r="J287" s="1">
        <v>61798.89</v>
      </c>
      <c r="K287" s="1"/>
      <c r="L287" s="1">
        <v>23053.83</v>
      </c>
      <c r="M287" s="1"/>
      <c r="N287" s="1">
        <v>0</v>
      </c>
      <c r="O287" s="1"/>
      <c r="P287" s="1">
        <v>4805.58</v>
      </c>
      <c r="Q287" s="1"/>
      <c r="R287" s="1">
        <v>3954.55</v>
      </c>
      <c r="S287" s="1"/>
      <c r="T287" s="1">
        <v>3007.46</v>
      </c>
      <c r="U287" s="1"/>
      <c r="V287" s="1">
        <v>0</v>
      </c>
      <c r="W287" s="1"/>
      <c r="X287" s="1">
        <v>0</v>
      </c>
      <c r="Y287" s="1"/>
      <c r="Z287" s="1">
        <v>0</v>
      </c>
      <c r="AA287" s="1"/>
      <c r="AB287" s="1">
        <v>0</v>
      </c>
      <c r="AC287" s="1"/>
      <c r="AD287" s="1">
        <v>0</v>
      </c>
      <c r="AF287" s="4">
        <f t="shared" si="12"/>
        <v>357789.65000000008</v>
      </c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</row>
    <row r="288" spans="1:64" s="4" customFormat="1">
      <c r="A288" s="4">
        <v>247</v>
      </c>
      <c r="B288" s="4" t="s">
        <v>560</v>
      </c>
      <c r="D288" s="4" t="s">
        <v>223</v>
      </c>
      <c r="F288" s="18">
        <f>850913+561477</f>
        <v>1412390</v>
      </c>
      <c r="H288" s="18">
        <v>0</v>
      </c>
      <c r="J288" s="18">
        <v>0</v>
      </c>
      <c r="L288" s="18">
        <f>2112056+366132</f>
        <v>2478188</v>
      </c>
      <c r="N288" s="18">
        <v>515039</v>
      </c>
      <c r="P288" s="4">
        <v>0</v>
      </c>
      <c r="R288" s="18">
        <v>0</v>
      </c>
      <c r="T288" s="18">
        <v>23834</v>
      </c>
      <c r="V288" s="18">
        <v>0</v>
      </c>
      <c r="X288" s="18">
        <v>0</v>
      </c>
      <c r="Z288" s="18">
        <v>144996</v>
      </c>
      <c r="AB288" s="18">
        <v>0</v>
      </c>
      <c r="AD288" s="18">
        <v>0</v>
      </c>
      <c r="AF288" s="4">
        <f t="shared" si="12"/>
        <v>4574447</v>
      </c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</row>
    <row r="289" spans="1:64" s="4" customFormat="1">
      <c r="A289" s="4">
        <v>254</v>
      </c>
      <c r="B289" s="3" t="s">
        <v>268</v>
      </c>
      <c r="C289" s="3"/>
      <c r="D289" s="3" t="s">
        <v>64</v>
      </c>
      <c r="E289" s="3"/>
      <c r="F289" s="1">
        <v>150183.89000000001</v>
      </c>
      <c r="G289" s="1"/>
      <c r="H289" s="1">
        <v>33149.769999999997</v>
      </c>
      <c r="I289" s="1"/>
      <c r="J289" s="1">
        <v>49498.879999999997</v>
      </c>
      <c r="K289" s="1"/>
      <c r="L289" s="1">
        <v>23622.79</v>
      </c>
      <c r="M289" s="1"/>
      <c r="N289" s="1">
        <v>0</v>
      </c>
      <c r="O289" s="1"/>
      <c r="P289" s="1">
        <v>4211.84</v>
      </c>
      <c r="Q289" s="1"/>
      <c r="R289" s="1">
        <v>4161.5200000000004</v>
      </c>
      <c r="S289" s="1"/>
      <c r="T289" s="1">
        <v>504.35</v>
      </c>
      <c r="U289" s="1"/>
      <c r="V289" s="1">
        <v>0</v>
      </c>
      <c r="W289" s="1"/>
      <c r="X289" s="1">
        <v>0</v>
      </c>
      <c r="Y289" s="1"/>
      <c r="Z289" s="1">
        <v>0</v>
      </c>
      <c r="AA289" s="1"/>
      <c r="AB289" s="1">
        <v>0</v>
      </c>
      <c r="AC289" s="1"/>
      <c r="AD289" s="1">
        <v>0</v>
      </c>
      <c r="AF289" s="4">
        <f t="shared" si="12"/>
        <v>265333.03999999998</v>
      </c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</row>
    <row r="290" spans="1:64">
      <c r="A290" s="4">
        <v>255</v>
      </c>
      <c r="B290" s="3" t="s">
        <v>269</v>
      </c>
      <c r="D290" s="3" t="s">
        <v>64</v>
      </c>
      <c r="F290" s="1">
        <v>939773.92</v>
      </c>
      <c r="G290" s="1"/>
      <c r="H290" s="1">
        <v>293281.75</v>
      </c>
      <c r="I290" s="1"/>
      <c r="J290" s="1">
        <v>246766.55</v>
      </c>
      <c r="K290" s="1"/>
      <c r="L290" s="1">
        <v>214542.1</v>
      </c>
      <c r="M290" s="1"/>
      <c r="N290" s="1">
        <v>0</v>
      </c>
      <c r="O290" s="1"/>
      <c r="P290" s="1">
        <v>41904.879999999997</v>
      </c>
      <c r="Q290" s="1"/>
      <c r="R290" s="1">
        <v>3930.58</v>
      </c>
      <c r="S290" s="1"/>
      <c r="T290" s="1">
        <v>32782.339999999997</v>
      </c>
      <c r="U290" s="1"/>
      <c r="V290" s="1">
        <v>0</v>
      </c>
      <c r="W290" s="1"/>
      <c r="X290" s="1">
        <v>0</v>
      </c>
      <c r="Y290" s="1"/>
      <c r="Z290" s="1">
        <v>0</v>
      </c>
      <c r="AA290" s="1"/>
      <c r="AB290" s="1">
        <v>0</v>
      </c>
      <c r="AC290" s="1"/>
      <c r="AD290" s="1">
        <v>0</v>
      </c>
      <c r="AE290" s="4"/>
      <c r="AF290" s="4">
        <f t="shared" si="12"/>
        <v>1772982.12</v>
      </c>
      <c r="AG290" s="31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4"/>
    </row>
    <row r="291" spans="1:64" s="4" customFormat="1">
      <c r="A291" s="4">
        <v>44</v>
      </c>
      <c r="B291" s="18" t="s">
        <v>270</v>
      </c>
      <c r="C291" s="18"/>
      <c r="D291" s="18" t="s">
        <v>451</v>
      </c>
      <c r="E291" s="18"/>
      <c r="F291" s="1">
        <v>166576.13</v>
      </c>
      <c r="G291" s="1"/>
      <c r="H291" s="1">
        <v>54396.62</v>
      </c>
      <c r="I291" s="1"/>
      <c r="J291" s="1">
        <v>63798.85</v>
      </c>
      <c r="K291" s="1"/>
      <c r="L291" s="1">
        <v>88008.73</v>
      </c>
      <c r="M291" s="1"/>
      <c r="N291" s="1">
        <v>0</v>
      </c>
      <c r="O291" s="1"/>
      <c r="P291" s="1">
        <v>5754.07</v>
      </c>
      <c r="Q291" s="1"/>
      <c r="R291" s="1">
        <v>8966</v>
      </c>
      <c r="S291" s="1"/>
      <c r="T291" s="1">
        <v>9208.26</v>
      </c>
      <c r="U291" s="1"/>
      <c r="V291" s="1">
        <v>0</v>
      </c>
      <c r="W291" s="1"/>
      <c r="X291" s="1">
        <v>0</v>
      </c>
      <c r="Y291" s="1"/>
      <c r="Z291" s="1">
        <v>0</v>
      </c>
      <c r="AA291" s="1"/>
      <c r="AB291" s="1">
        <v>0</v>
      </c>
      <c r="AC291" s="1"/>
      <c r="AD291" s="1">
        <v>0</v>
      </c>
      <c r="AE291" s="18"/>
      <c r="AF291" s="4">
        <f t="shared" si="12"/>
        <v>396708.66</v>
      </c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</row>
    <row r="292" spans="1:64">
      <c r="A292" s="4">
        <v>78</v>
      </c>
      <c r="B292" s="3" t="s">
        <v>522</v>
      </c>
      <c r="D292" s="3" t="s">
        <v>91</v>
      </c>
      <c r="F292" s="4">
        <v>2144528</v>
      </c>
      <c r="G292" s="4"/>
      <c r="H292" s="4">
        <v>864254</v>
      </c>
      <c r="I292" s="4"/>
      <c r="J292" s="4">
        <v>791686</v>
      </c>
      <c r="K292" s="4"/>
      <c r="L292" s="4">
        <v>601971</v>
      </c>
      <c r="M292" s="4"/>
      <c r="N292" s="4">
        <v>0</v>
      </c>
      <c r="O292" s="4"/>
      <c r="P292" s="4">
        <v>130631</v>
      </c>
      <c r="Q292" s="4"/>
      <c r="R292" s="4">
        <v>16791</v>
      </c>
      <c r="S292" s="4"/>
      <c r="T292" s="4">
        <v>68947</v>
      </c>
      <c r="U292" s="4"/>
      <c r="V292" s="4">
        <v>1071304</v>
      </c>
      <c r="W292" s="4"/>
      <c r="X292" s="4">
        <v>16262</v>
      </c>
      <c r="Y292" s="4"/>
      <c r="Z292" s="4">
        <v>20000</v>
      </c>
      <c r="AA292" s="4"/>
      <c r="AB292" s="4">
        <v>0</v>
      </c>
      <c r="AC292" s="4"/>
      <c r="AD292" s="4">
        <v>0</v>
      </c>
      <c r="AE292" s="4"/>
      <c r="AF292" s="4">
        <f t="shared" si="12"/>
        <v>5726374</v>
      </c>
      <c r="AH292" s="32"/>
      <c r="AI292" s="32"/>
      <c r="AJ292" s="32"/>
      <c r="AK292" s="32"/>
    </row>
    <row r="293" spans="1:64" s="4" customFormat="1" ht="12" customHeight="1">
      <c r="A293" s="4">
        <v>256</v>
      </c>
      <c r="B293" s="3" t="s">
        <v>271</v>
      </c>
      <c r="C293" s="3"/>
      <c r="D293" s="3" t="s">
        <v>64</v>
      </c>
      <c r="E293" s="3"/>
      <c r="F293" s="1">
        <v>204526.44</v>
      </c>
      <c r="G293" s="1"/>
      <c r="H293" s="1">
        <v>76769.649999999994</v>
      </c>
      <c r="I293" s="1"/>
      <c r="J293" s="1">
        <v>47955.83</v>
      </c>
      <c r="K293" s="1"/>
      <c r="L293" s="1">
        <v>49638.54</v>
      </c>
      <c r="M293" s="1"/>
      <c r="N293" s="1">
        <v>0</v>
      </c>
      <c r="O293" s="1"/>
      <c r="P293" s="1">
        <v>5388.07</v>
      </c>
      <c r="Q293" s="1"/>
      <c r="R293" s="1">
        <v>3909.86</v>
      </c>
      <c r="S293" s="1"/>
      <c r="T293" s="1">
        <v>15964.62</v>
      </c>
      <c r="U293" s="1"/>
      <c r="V293" s="1">
        <v>0</v>
      </c>
      <c r="W293" s="1"/>
      <c r="X293" s="1">
        <v>0</v>
      </c>
      <c r="Y293" s="1"/>
      <c r="Z293" s="1">
        <v>0</v>
      </c>
      <c r="AA293" s="1"/>
      <c r="AB293" s="1">
        <v>0</v>
      </c>
      <c r="AC293" s="1"/>
      <c r="AD293" s="1">
        <v>0</v>
      </c>
      <c r="AF293" s="4">
        <f t="shared" si="12"/>
        <v>404153.00999999995</v>
      </c>
      <c r="AG293" s="31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</row>
    <row r="294" spans="1:64" s="4" customFormat="1">
      <c r="A294" s="4">
        <v>129</v>
      </c>
      <c r="B294" s="3" t="s">
        <v>439</v>
      </c>
      <c r="C294" s="3"/>
      <c r="D294" s="3" t="s">
        <v>457</v>
      </c>
      <c r="E294" s="3"/>
      <c r="F294" s="1">
        <v>666130.31000000006</v>
      </c>
      <c r="G294" s="1"/>
      <c r="H294" s="1">
        <v>298319.67</v>
      </c>
      <c r="I294" s="1"/>
      <c r="J294" s="1">
        <v>110106.08</v>
      </c>
      <c r="K294" s="1"/>
      <c r="L294" s="1">
        <v>198454.65</v>
      </c>
      <c r="M294" s="1"/>
      <c r="N294" s="1">
        <v>0</v>
      </c>
      <c r="O294" s="1"/>
      <c r="P294" s="1">
        <v>18640.72</v>
      </c>
      <c r="Q294" s="1"/>
      <c r="R294" s="1">
        <v>5698.97</v>
      </c>
      <c r="S294" s="1"/>
      <c r="T294" s="1">
        <v>0</v>
      </c>
      <c r="U294" s="1"/>
      <c r="V294" s="1">
        <v>0</v>
      </c>
      <c r="W294" s="1"/>
      <c r="X294" s="1">
        <v>0</v>
      </c>
      <c r="Y294" s="1"/>
      <c r="Z294" s="1">
        <v>400000</v>
      </c>
      <c r="AA294" s="1"/>
      <c r="AB294" s="1">
        <v>0</v>
      </c>
      <c r="AC294" s="1"/>
      <c r="AD294" s="1">
        <v>0</v>
      </c>
      <c r="AF294" s="4">
        <f t="shared" si="12"/>
        <v>1697350.4</v>
      </c>
      <c r="AG294" s="31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</row>
    <row r="295" spans="1:64" s="4" customFormat="1">
      <c r="A295" s="4">
        <v>114</v>
      </c>
      <c r="B295" s="3" t="s">
        <v>272</v>
      </c>
      <c r="C295" s="3"/>
      <c r="D295" s="3" t="s">
        <v>88</v>
      </c>
      <c r="E295" s="3"/>
      <c r="F295" s="4">
        <v>480457</v>
      </c>
      <c r="H295" s="4">
        <v>106379</v>
      </c>
      <c r="J295" s="4">
        <v>68964</v>
      </c>
      <c r="L295" s="4">
        <v>16267</v>
      </c>
      <c r="N295" s="4">
        <v>0</v>
      </c>
      <c r="P295" s="4">
        <v>11110</v>
      </c>
      <c r="R295" s="4">
        <v>25371</v>
      </c>
      <c r="T295" s="4">
        <v>1712</v>
      </c>
      <c r="V295" s="4">
        <v>0</v>
      </c>
      <c r="X295" s="4">
        <v>0</v>
      </c>
      <c r="Z295" s="4">
        <v>0</v>
      </c>
      <c r="AB295" s="4">
        <v>0</v>
      </c>
      <c r="AD295" s="4">
        <v>0</v>
      </c>
      <c r="AF295" s="4">
        <f t="shared" si="12"/>
        <v>710260</v>
      </c>
      <c r="AG295" s="31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</row>
    <row r="296" spans="1:64" s="4" customFormat="1">
      <c r="A296" s="4">
        <v>249</v>
      </c>
      <c r="B296" s="3" t="s">
        <v>561</v>
      </c>
      <c r="C296" s="3"/>
      <c r="D296" s="3" t="s">
        <v>202</v>
      </c>
      <c r="E296" s="3"/>
      <c r="F296" s="4">
        <v>888496</v>
      </c>
      <c r="H296" s="4">
        <v>289681</v>
      </c>
      <c r="J296" s="4">
        <v>198049</v>
      </c>
      <c r="L296" s="4">
        <v>91172</v>
      </c>
      <c r="N296" s="4">
        <v>0</v>
      </c>
      <c r="P296" s="4">
        <v>37147</v>
      </c>
      <c r="R296" s="4">
        <v>23048</v>
      </c>
      <c r="T296" s="4">
        <v>115201</v>
      </c>
      <c r="V296" s="4">
        <v>0</v>
      </c>
      <c r="X296" s="4">
        <v>0</v>
      </c>
      <c r="Z296" s="4">
        <v>0</v>
      </c>
      <c r="AB296" s="4">
        <v>0</v>
      </c>
      <c r="AD296" s="4">
        <v>0</v>
      </c>
      <c r="AF296" s="4">
        <f t="shared" si="12"/>
        <v>1642794</v>
      </c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</row>
    <row r="297" spans="1:64" s="4" customFormat="1">
      <c r="A297" s="22">
        <v>130</v>
      </c>
      <c r="B297" s="3" t="s">
        <v>273</v>
      </c>
      <c r="C297" s="3"/>
      <c r="D297" s="3" t="s">
        <v>15</v>
      </c>
      <c r="E297" s="3"/>
      <c r="F297" s="4">
        <v>2905770</v>
      </c>
      <c r="H297" s="4">
        <v>0</v>
      </c>
      <c r="J297" s="4">
        <v>349128</v>
      </c>
      <c r="L297" s="4">
        <v>693583</v>
      </c>
      <c r="N297" s="4">
        <v>251792</v>
      </c>
      <c r="P297" s="4">
        <v>53537</v>
      </c>
      <c r="R297" s="4">
        <v>12928</v>
      </c>
      <c r="T297" s="4">
        <v>7300</v>
      </c>
      <c r="V297" s="4">
        <v>0</v>
      </c>
      <c r="X297" s="4">
        <v>0</v>
      </c>
      <c r="Z297" s="4">
        <v>0</v>
      </c>
      <c r="AB297" s="4">
        <v>0</v>
      </c>
      <c r="AD297" s="4">
        <v>0</v>
      </c>
      <c r="AF297" s="4">
        <f t="shared" si="12"/>
        <v>4274038</v>
      </c>
      <c r="AG297" s="31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</row>
    <row r="298" spans="1:64" s="4" customFormat="1">
      <c r="A298" s="4">
        <v>37</v>
      </c>
      <c r="B298" s="3" t="s">
        <v>274</v>
      </c>
      <c r="C298" s="3"/>
      <c r="D298" s="3" t="s">
        <v>68</v>
      </c>
      <c r="E298" s="3"/>
      <c r="F298" s="1">
        <v>379879.91</v>
      </c>
      <c r="G298" s="1"/>
      <c r="H298" s="1">
        <v>108253.96</v>
      </c>
      <c r="I298" s="1"/>
      <c r="J298" s="1">
        <v>95079.34</v>
      </c>
      <c r="K298" s="1"/>
      <c r="L298" s="1">
        <v>25678.25</v>
      </c>
      <c r="M298" s="1"/>
      <c r="N298" s="1">
        <v>0</v>
      </c>
      <c r="O298" s="1"/>
      <c r="P298" s="1">
        <v>20895.900000000001</v>
      </c>
      <c r="Q298" s="1"/>
      <c r="R298" s="1">
        <v>5500.13</v>
      </c>
      <c r="S298" s="1"/>
      <c r="T298" s="1">
        <v>1498.97</v>
      </c>
      <c r="U298" s="1"/>
      <c r="V298" s="1">
        <v>0</v>
      </c>
      <c r="W298" s="1"/>
      <c r="X298" s="1">
        <v>0</v>
      </c>
      <c r="Y298" s="1"/>
      <c r="Z298" s="1">
        <v>0</v>
      </c>
      <c r="AA298" s="1"/>
      <c r="AB298" s="1">
        <v>0</v>
      </c>
      <c r="AC298" s="1"/>
      <c r="AD298" s="1">
        <v>0</v>
      </c>
      <c r="AF298" s="4">
        <f t="shared" si="12"/>
        <v>636786.46</v>
      </c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</row>
    <row r="299" spans="1:64">
      <c r="A299" s="4">
        <v>257</v>
      </c>
      <c r="B299" s="3" t="s">
        <v>562</v>
      </c>
      <c r="D299" s="3" t="s">
        <v>64</v>
      </c>
      <c r="F299" s="4">
        <v>786987</v>
      </c>
      <c r="G299" s="4"/>
      <c r="H299" s="4">
        <v>198147</v>
      </c>
      <c r="I299" s="4"/>
      <c r="J299" s="4">
        <v>221545</v>
      </c>
      <c r="K299" s="4"/>
      <c r="L299" s="4">
        <v>131684</v>
      </c>
      <c r="M299" s="4"/>
      <c r="N299" s="4">
        <v>0</v>
      </c>
      <c r="O299" s="4"/>
      <c r="P299" s="4">
        <v>23186</v>
      </c>
      <c r="Q299" s="4"/>
      <c r="R299" s="4">
        <v>14991</v>
      </c>
      <c r="S299" s="4"/>
      <c r="T299" s="4">
        <v>53831</v>
      </c>
      <c r="U299" s="4"/>
      <c r="V299" s="4">
        <v>38057</v>
      </c>
      <c r="W299" s="4"/>
      <c r="X299" s="4">
        <v>42189</v>
      </c>
      <c r="Y299" s="4"/>
      <c r="Z299" s="4">
        <v>0</v>
      </c>
      <c r="AA299" s="4"/>
      <c r="AB299" s="4">
        <v>0</v>
      </c>
      <c r="AC299" s="4"/>
      <c r="AD299" s="4">
        <v>0</v>
      </c>
      <c r="AE299" s="4"/>
      <c r="AF299" s="4">
        <f t="shared" si="12"/>
        <v>1510617</v>
      </c>
    </row>
    <row r="300" spans="1:64">
      <c r="A300" s="4">
        <v>61</v>
      </c>
      <c r="B300" s="3" t="s">
        <v>275</v>
      </c>
      <c r="D300" s="3" t="s">
        <v>80</v>
      </c>
      <c r="F300" s="1">
        <v>130693.51</v>
      </c>
      <c r="G300" s="1"/>
      <c r="H300" s="1">
        <v>30520.7</v>
      </c>
      <c r="I300" s="1"/>
      <c r="J300" s="1">
        <v>86547.35</v>
      </c>
      <c r="K300" s="1"/>
      <c r="L300" s="1">
        <v>41409.550000000003</v>
      </c>
      <c r="M300" s="1"/>
      <c r="N300" s="1">
        <v>0</v>
      </c>
      <c r="O300" s="1"/>
      <c r="P300" s="1">
        <v>7535.27</v>
      </c>
      <c r="Q300" s="1"/>
      <c r="R300" s="1">
        <v>1326.95</v>
      </c>
      <c r="S300" s="1"/>
      <c r="T300" s="1">
        <v>4158.99</v>
      </c>
      <c r="U300" s="1"/>
      <c r="V300" s="1">
        <v>0</v>
      </c>
      <c r="W300" s="1"/>
      <c r="X300" s="1">
        <v>0</v>
      </c>
      <c r="Y300" s="1"/>
      <c r="Z300" s="1">
        <v>0</v>
      </c>
      <c r="AA300" s="1"/>
      <c r="AB300" s="1">
        <v>0</v>
      </c>
      <c r="AC300" s="1"/>
      <c r="AD300" s="1">
        <v>0</v>
      </c>
      <c r="AE300" s="4"/>
      <c r="AF300" s="4">
        <f t="shared" si="12"/>
        <v>302192.32</v>
      </c>
      <c r="AG300" s="31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4"/>
    </row>
    <row r="301" spans="1:64" s="4" customFormat="1">
      <c r="A301" s="4">
        <v>65</v>
      </c>
      <c r="B301" s="3" t="s">
        <v>317</v>
      </c>
      <c r="C301" s="3"/>
      <c r="D301" s="3" t="s">
        <v>69</v>
      </c>
      <c r="E301" s="3"/>
      <c r="F301" s="1">
        <v>95180.13</v>
      </c>
      <c r="G301" s="1"/>
      <c r="H301" s="1">
        <v>14663.78</v>
      </c>
      <c r="I301" s="1"/>
      <c r="J301" s="1">
        <v>21317.21</v>
      </c>
      <c r="K301" s="1"/>
      <c r="L301" s="1">
        <v>15584.71</v>
      </c>
      <c r="M301" s="1"/>
      <c r="N301" s="1">
        <v>0</v>
      </c>
      <c r="O301" s="1"/>
      <c r="P301" s="1">
        <v>1645.99</v>
      </c>
      <c r="Q301" s="1"/>
      <c r="R301" s="1">
        <v>383</v>
      </c>
      <c r="S301" s="1"/>
      <c r="T301" s="1">
        <v>482.95</v>
      </c>
      <c r="U301" s="1"/>
      <c r="V301" s="1">
        <v>0</v>
      </c>
      <c r="W301" s="1"/>
      <c r="X301" s="1">
        <v>0</v>
      </c>
      <c r="Y301" s="1"/>
      <c r="Z301" s="1">
        <v>0</v>
      </c>
      <c r="AA301" s="1"/>
      <c r="AB301" s="1">
        <v>0</v>
      </c>
      <c r="AC301" s="1"/>
      <c r="AD301" s="1">
        <v>0</v>
      </c>
      <c r="AF301" s="4">
        <f t="shared" si="12"/>
        <v>149257.76999999999</v>
      </c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</row>
    <row r="302" spans="1:64" s="4" customFormat="1">
      <c r="A302" s="4">
        <v>81</v>
      </c>
      <c r="B302" s="3" t="s">
        <v>276</v>
      </c>
      <c r="C302" s="3"/>
      <c r="D302" s="3" t="s">
        <v>91</v>
      </c>
      <c r="E302" s="3"/>
      <c r="F302" s="4">
        <f>1876134+1304200</f>
        <v>3180334</v>
      </c>
      <c r="H302" s="4">
        <v>0</v>
      </c>
      <c r="J302" s="4">
        <v>0</v>
      </c>
      <c r="L302" s="4">
        <f>3397836+714087</f>
        <v>4111923</v>
      </c>
      <c r="N302" s="4">
        <v>662644</v>
      </c>
      <c r="P302" s="4">
        <v>0</v>
      </c>
      <c r="R302" s="4">
        <v>0</v>
      </c>
      <c r="T302" s="4">
        <v>0</v>
      </c>
      <c r="V302" s="4">
        <v>0</v>
      </c>
      <c r="X302" s="4">
        <v>0</v>
      </c>
      <c r="Z302" s="4">
        <v>358770</v>
      </c>
      <c r="AB302" s="4">
        <v>0</v>
      </c>
      <c r="AD302" s="4">
        <v>0</v>
      </c>
      <c r="AF302" s="4">
        <f t="shared" si="12"/>
        <v>8313671</v>
      </c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</row>
    <row r="303" spans="1:64" s="4" customFormat="1">
      <c r="A303" s="4">
        <v>172</v>
      </c>
      <c r="B303" s="18" t="s">
        <v>440</v>
      </c>
      <c r="C303" s="18"/>
      <c r="D303" s="18" t="s">
        <v>467</v>
      </c>
      <c r="E303" s="18"/>
      <c r="F303" s="1">
        <v>927507.2</v>
      </c>
      <c r="G303" s="1"/>
      <c r="H303" s="1">
        <v>213110.8</v>
      </c>
      <c r="I303" s="1"/>
      <c r="J303" s="1">
        <v>142723.85</v>
      </c>
      <c r="K303" s="1"/>
      <c r="L303" s="1">
        <v>206204.52</v>
      </c>
      <c r="M303" s="1"/>
      <c r="N303" s="1">
        <v>0</v>
      </c>
      <c r="O303" s="1"/>
      <c r="P303" s="1">
        <v>29113.88</v>
      </c>
      <c r="Q303" s="1"/>
      <c r="R303" s="1">
        <v>4163.71</v>
      </c>
      <c r="S303" s="1"/>
      <c r="T303" s="1">
        <v>3491.58</v>
      </c>
      <c r="U303" s="1"/>
      <c r="V303" s="1">
        <v>0</v>
      </c>
      <c r="W303" s="1"/>
      <c r="X303" s="1">
        <v>0</v>
      </c>
      <c r="Y303" s="1"/>
      <c r="Z303" s="1">
        <v>0</v>
      </c>
      <c r="AA303" s="1"/>
      <c r="AB303" s="1">
        <v>0</v>
      </c>
      <c r="AC303" s="1"/>
      <c r="AD303" s="1">
        <v>0</v>
      </c>
      <c r="AE303" s="18"/>
      <c r="AF303" s="4">
        <f t="shared" si="12"/>
        <v>1526315.54</v>
      </c>
      <c r="AG303" s="31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</row>
    <row r="304" spans="1:64" s="4" customFormat="1">
      <c r="B304" s="3"/>
      <c r="C304" s="3"/>
      <c r="D304" s="3"/>
      <c r="E304" s="3"/>
      <c r="G304" s="3"/>
      <c r="I304" s="3"/>
      <c r="K304" s="3"/>
      <c r="M304" s="3"/>
      <c r="O304" s="3"/>
      <c r="Q304" s="3"/>
      <c r="S304" s="3"/>
      <c r="U304" s="3"/>
      <c r="W304" s="3"/>
      <c r="Y304" s="3"/>
      <c r="AA304" s="3"/>
      <c r="AC304" s="3"/>
      <c r="AE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</row>
    <row r="305" spans="2:64" s="4" customFormat="1">
      <c r="B305" s="3"/>
      <c r="C305" s="3"/>
      <c r="D305" s="3"/>
      <c r="E305" s="3"/>
      <c r="G305" s="3"/>
      <c r="I305" s="3"/>
      <c r="K305" s="3"/>
      <c r="M305" s="3"/>
      <c r="O305" s="3"/>
      <c r="Q305" s="3"/>
      <c r="S305" s="3"/>
      <c r="U305" s="3"/>
      <c r="W305" s="3"/>
      <c r="Y305" s="3"/>
      <c r="AA305" s="3"/>
      <c r="AC305" s="3"/>
      <c r="AE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</row>
    <row r="306" spans="2:64" s="4" customFormat="1"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6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</row>
    <row r="307" spans="2:64" s="4" customFormat="1">
      <c r="B307" s="3"/>
      <c r="C307" s="3"/>
      <c r="D307" s="3"/>
      <c r="E307" s="3"/>
      <c r="G307" s="3"/>
      <c r="I307" s="3"/>
      <c r="K307" s="3"/>
      <c r="M307" s="3"/>
      <c r="O307" s="3"/>
      <c r="Q307" s="3"/>
      <c r="S307" s="3"/>
      <c r="U307" s="3"/>
      <c r="W307" s="3"/>
      <c r="Y307" s="3"/>
      <c r="AA307" s="3"/>
      <c r="AC307" s="3"/>
      <c r="AE307" s="3"/>
      <c r="AF307" s="6"/>
      <c r="AG307" s="31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</row>
    <row r="308" spans="2:64" s="4" customFormat="1">
      <c r="B308" s="3"/>
      <c r="C308" s="3"/>
      <c r="D308" s="3"/>
      <c r="E308" s="3"/>
      <c r="G308" s="3"/>
      <c r="I308" s="3"/>
      <c r="K308" s="3"/>
      <c r="M308" s="3"/>
      <c r="O308" s="3"/>
      <c r="Q308" s="3"/>
      <c r="S308" s="3"/>
      <c r="U308" s="3"/>
      <c r="W308" s="3"/>
      <c r="Y308" s="3"/>
      <c r="AA308" s="3"/>
      <c r="AC308" s="3"/>
      <c r="AE308" s="3"/>
      <c r="AF308" s="6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</row>
    <row r="309" spans="2:64" s="4" customFormat="1">
      <c r="B309" s="3"/>
      <c r="C309" s="3"/>
      <c r="D309" s="3"/>
      <c r="E309" s="3"/>
      <c r="G309" s="3"/>
      <c r="I309" s="3"/>
      <c r="K309" s="3"/>
      <c r="M309" s="3"/>
      <c r="O309" s="3"/>
      <c r="Q309" s="3"/>
      <c r="S309" s="3"/>
      <c r="U309" s="3"/>
      <c r="W309" s="3"/>
      <c r="Y309" s="3"/>
      <c r="AA309" s="3"/>
      <c r="AC309" s="3"/>
      <c r="AE309" s="3"/>
      <c r="AF309" s="6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</row>
    <row r="310" spans="2:64">
      <c r="B310" s="34"/>
      <c r="C310" s="34"/>
      <c r="D310" s="34" t="s">
        <v>475</v>
      </c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5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</row>
  </sheetData>
  <sortState ref="A19:AF270">
    <sortCondition ref="B19:B270"/>
  </sortState>
  <phoneticPr fontId="2" type="noConversion"/>
  <printOptions horizontalCentered="1"/>
  <pageMargins left="0.75" right="0.75" top="0.5" bottom="0.5" header="0" footer="0.3"/>
  <pageSetup scale="80" firstPageNumber="16" fitToWidth="0" fitToHeight="0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3" manualBreakCount="3">
    <brk id="87" min="1" max="31" man="1"/>
    <brk id="165" min="1" max="31" man="1"/>
    <brk id="243" min="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392"/>
  <sheetViews>
    <sheetView view="pageBreakPreview" topLeftCell="B1" zoomScaleNormal="100" zoomScaleSheetLayoutView="100" workbookViewId="0">
      <pane xSplit="4" ySplit="19" topLeftCell="F20" activePane="bottomRight" state="frozen"/>
      <selection activeCell="A122" sqref="A122"/>
      <selection pane="topRight" activeCell="A122" sqref="A122"/>
      <selection pane="bottomLeft" activeCell="A122" sqref="A122"/>
      <selection pane="bottomRight" activeCell="F20" sqref="F20"/>
    </sheetView>
  </sheetViews>
  <sheetFormatPr defaultColWidth="9.140625" defaultRowHeight="12"/>
  <cols>
    <col min="1" max="1" width="0" style="3" hidden="1" customWidth="1"/>
    <col min="2" max="2" width="38" style="3" customWidth="1"/>
    <col min="3" max="3" width="1.28515625" style="3" customWidth="1"/>
    <col min="4" max="4" width="10.42578125" style="3" customWidth="1"/>
    <col min="5" max="5" width="1.28515625" style="3" customWidth="1"/>
    <col min="6" max="6" width="11.140625" style="3" customWidth="1"/>
    <col min="7" max="7" width="1.28515625" style="3" customWidth="1"/>
    <col min="8" max="8" width="10.85546875" style="3" customWidth="1"/>
    <col min="9" max="9" width="1.28515625" style="3" customWidth="1"/>
    <col min="10" max="10" width="10.140625" style="3" customWidth="1"/>
    <col min="11" max="11" width="1.28515625" style="3" customWidth="1"/>
    <col min="12" max="12" width="10.140625" style="3" customWidth="1"/>
    <col min="13" max="13" width="1.28515625" style="3" customWidth="1"/>
    <col min="14" max="14" width="10.140625" style="3" customWidth="1"/>
    <col min="15" max="15" width="1.28515625" style="3" hidden="1" customWidth="1"/>
    <col min="16" max="16" width="10.140625" style="3" customWidth="1"/>
    <col min="17" max="17" width="1.28515625" style="3" customWidth="1"/>
    <col min="18" max="18" width="9.5703125" style="3" customWidth="1"/>
    <col min="19" max="19" width="1.28515625" style="3" customWidth="1"/>
    <col min="20" max="20" width="10.7109375" style="3" customWidth="1"/>
    <col min="21" max="21" width="1.28515625" style="3" customWidth="1"/>
    <col min="22" max="22" width="10.5703125" style="3" customWidth="1"/>
    <col min="23" max="23" width="1.28515625" style="3" customWidth="1"/>
    <col min="24" max="24" width="11" style="3" customWidth="1"/>
    <col min="25" max="25" width="1.28515625" style="3" customWidth="1"/>
    <col min="26" max="26" width="9.7109375" style="3" customWidth="1"/>
    <col min="27" max="27" width="1.28515625" style="3" customWidth="1"/>
    <col min="28" max="28" width="9.7109375" style="3" customWidth="1"/>
    <col min="29" max="29" width="1.28515625" style="3" customWidth="1"/>
    <col min="30" max="30" width="9.5703125" style="3" customWidth="1"/>
    <col min="31" max="31" width="1.28515625" style="3" customWidth="1"/>
    <col min="32" max="32" width="9.7109375" style="3" customWidth="1"/>
    <col min="33" max="33" width="1.28515625" style="3" customWidth="1"/>
    <col min="34" max="34" width="10.85546875" style="3" customWidth="1"/>
    <col min="35" max="16384" width="9.140625" style="3"/>
  </cols>
  <sheetData>
    <row r="1" spans="1:66">
      <c r="B1" s="3" t="s">
        <v>493</v>
      </c>
    </row>
    <row r="2" spans="1:66">
      <c r="B2" s="3" t="s">
        <v>565</v>
      </c>
    </row>
    <row r="3" spans="1:66" hidden="1">
      <c r="B3" s="24" t="s">
        <v>7</v>
      </c>
    </row>
    <row r="5" spans="1:66" s="19" customFormat="1">
      <c r="H5" s="19" t="s">
        <v>279</v>
      </c>
    </row>
    <row r="6" spans="1:66" s="19" customFormat="1">
      <c r="F6" s="19" t="s">
        <v>31</v>
      </c>
      <c r="H6" s="19" t="s">
        <v>280</v>
      </c>
      <c r="R6" s="19" t="s">
        <v>29</v>
      </c>
      <c r="T6" s="19" t="s">
        <v>286</v>
      </c>
      <c r="Z6" s="19" t="s">
        <v>291</v>
      </c>
      <c r="AF6" s="19" t="s">
        <v>0</v>
      </c>
    </row>
    <row r="7" spans="1:66" s="19" customFormat="1" ht="12" customHeight="1">
      <c r="F7" s="19" t="s">
        <v>0</v>
      </c>
      <c r="H7" s="19" t="s">
        <v>281</v>
      </c>
      <c r="J7" s="19" t="s">
        <v>503</v>
      </c>
      <c r="L7" s="19" t="s">
        <v>345</v>
      </c>
      <c r="P7" s="19" t="s">
        <v>283</v>
      </c>
      <c r="R7" s="19" t="s">
        <v>285</v>
      </c>
      <c r="T7" s="19" t="s">
        <v>287</v>
      </c>
      <c r="V7" s="19" t="s">
        <v>289</v>
      </c>
      <c r="Z7" s="19" t="s">
        <v>292</v>
      </c>
      <c r="AF7" s="19" t="s">
        <v>293</v>
      </c>
    </row>
    <row r="8" spans="1:66" s="19" customFormat="1" ht="12" customHeight="1">
      <c r="A8" s="19" t="s">
        <v>525</v>
      </c>
      <c r="B8" s="20"/>
      <c r="C8" s="28"/>
      <c r="D8" s="20" t="s">
        <v>6</v>
      </c>
      <c r="E8" s="28"/>
      <c r="F8" s="20" t="s">
        <v>278</v>
      </c>
      <c r="G8" s="28"/>
      <c r="H8" s="20" t="s">
        <v>282</v>
      </c>
      <c r="I8" s="28"/>
      <c r="J8" s="20" t="s">
        <v>504</v>
      </c>
      <c r="K8" s="28"/>
      <c r="L8" s="20" t="s">
        <v>346</v>
      </c>
      <c r="M8" s="28"/>
      <c r="N8" s="20" t="s">
        <v>505</v>
      </c>
      <c r="O8" s="28"/>
      <c r="P8" s="20" t="s">
        <v>284</v>
      </c>
      <c r="Q8" s="28"/>
      <c r="R8" s="20" t="s">
        <v>507</v>
      </c>
      <c r="S8" s="28"/>
      <c r="T8" s="20" t="s">
        <v>288</v>
      </c>
      <c r="U8" s="28"/>
      <c r="V8" s="20" t="s">
        <v>290</v>
      </c>
      <c r="W8" s="28"/>
      <c r="X8" s="20" t="s">
        <v>1</v>
      </c>
      <c r="Y8" s="28"/>
      <c r="Z8" s="20" t="s">
        <v>32</v>
      </c>
      <c r="AA8" s="28"/>
      <c r="AB8" s="20" t="s">
        <v>479</v>
      </c>
      <c r="AC8" s="28"/>
      <c r="AD8" s="20" t="s">
        <v>480</v>
      </c>
      <c r="AE8" s="28"/>
      <c r="AF8" s="20" t="s">
        <v>294</v>
      </c>
      <c r="AG8" s="28"/>
      <c r="AH8" s="29" t="s">
        <v>28</v>
      </c>
    </row>
    <row r="9" spans="1:66" s="17" customFormat="1" hidden="1">
      <c r="A9" s="4">
        <v>2</v>
      </c>
      <c r="B9" s="4" t="s">
        <v>406</v>
      </c>
      <c r="C9" s="4"/>
      <c r="D9" s="4" t="s">
        <v>96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 t="shared" ref="AH9:AH40" si="0">SUM(F9:AF9)</f>
        <v>0</v>
      </c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s="5" customFormat="1" hidden="1">
      <c r="A10" s="4">
        <v>75</v>
      </c>
      <c r="B10" s="4" t="s">
        <v>407</v>
      </c>
      <c r="C10" s="4"/>
      <c r="D10" s="4" t="s">
        <v>91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f t="shared" si="0"/>
        <v>0</v>
      </c>
    </row>
    <row r="11" spans="1:66" s="4" customFormat="1" hidden="1">
      <c r="A11" s="4">
        <v>80</v>
      </c>
      <c r="B11" s="4" t="s">
        <v>264</v>
      </c>
      <c r="D11" s="4" t="s">
        <v>91</v>
      </c>
      <c r="AH11" s="4">
        <f t="shared" si="0"/>
        <v>0</v>
      </c>
    </row>
    <row r="12" spans="1:66" s="4" customFormat="1" hidden="1">
      <c r="A12" s="4">
        <v>117</v>
      </c>
      <c r="B12" s="4" t="s">
        <v>221</v>
      </c>
      <c r="D12" s="4" t="s">
        <v>168</v>
      </c>
      <c r="AH12" s="4">
        <f t="shared" si="0"/>
        <v>0</v>
      </c>
    </row>
    <row r="13" spans="1:66" s="4" customFormat="1" hidden="1">
      <c r="A13" s="4">
        <v>135</v>
      </c>
      <c r="B13" s="4" t="s">
        <v>413</v>
      </c>
      <c r="D13" s="4" t="s">
        <v>40</v>
      </c>
      <c r="AH13" s="4">
        <f t="shared" si="0"/>
        <v>0</v>
      </c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1:66" s="5" customFormat="1" hidden="1">
      <c r="A14" s="4">
        <v>152</v>
      </c>
      <c r="B14" s="4" t="s">
        <v>212</v>
      </c>
      <c r="C14" s="4"/>
      <c r="D14" s="4" t="s">
        <v>213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>
        <f t="shared" si="0"/>
        <v>0</v>
      </c>
    </row>
    <row r="15" spans="1:66" s="4" customFormat="1" hidden="1">
      <c r="A15" s="4">
        <v>180</v>
      </c>
      <c r="B15" s="4" t="s">
        <v>251</v>
      </c>
      <c r="D15" s="4" t="s">
        <v>105</v>
      </c>
      <c r="AH15" s="4">
        <f t="shared" si="0"/>
        <v>0</v>
      </c>
    </row>
    <row r="16" spans="1:66" s="4" customFormat="1" hidden="1">
      <c r="A16" s="4">
        <v>185</v>
      </c>
      <c r="B16" s="4" t="s">
        <v>228</v>
      </c>
      <c r="D16" s="4" t="s">
        <v>227</v>
      </c>
      <c r="AH16" s="4">
        <f t="shared" si="0"/>
        <v>0</v>
      </c>
    </row>
    <row r="17" spans="1:66" s="4" customFormat="1" hidden="1">
      <c r="A17" s="4">
        <v>189</v>
      </c>
      <c r="B17" s="4" t="s">
        <v>420</v>
      </c>
      <c r="D17" s="4" t="s">
        <v>234</v>
      </c>
      <c r="AH17" s="4">
        <f t="shared" si="0"/>
        <v>0</v>
      </c>
    </row>
    <row r="18" spans="1:66" s="4" customFormat="1" hidden="1">
      <c r="A18" s="4">
        <v>233</v>
      </c>
      <c r="B18" s="4" t="s">
        <v>34</v>
      </c>
      <c r="D18" s="4" t="s">
        <v>26</v>
      </c>
      <c r="AH18" s="4">
        <f t="shared" si="0"/>
        <v>0</v>
      </c>
    </row>
    <row r="19" spans="1:66" s="12" customFormat="1" hidden="1">
      <c r="A19" s="4">
        <v>234</v>
      </c>
      <c r="B19" s="4" t="s">
        <v>199</v>
      </c>
      <c r="C19" s="4"/>
      <c r="D19" s="4" t="s">
        <v>26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>
        <f t="shared" si="0"/>
        <v>0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6" s="5" customFormat="1">
      <c r="A20" s="5">
        <v>95</v>
      </c>
      <c r="B20" s="5" t="s">
        <v>72</v>
      </c>
      <c r="D20" s="5" t="s">
        <v>60</v>
      </c>
      <c r="F20" s="2">
        <v>0</v>
      </c>
      <c r="G20" s="2"/>
      <c r="H20" s="2">
        <v>236651.73</v>
      </c>
      <c r="I20" s="2"/>
      <c r="J20" s="2">
        <v>0</v>
      </c>
      <c r="K20" s="2"/>
      <c r="L20" s="2">
        <v>0</v>
      </c>
      <c r="M20" s="2"/>
      <c r="N20" s="2">
        <v>0</v>
      </c>
      <c r="O20" s="2"/>
      <c r="P20" s="2">
        <v>6614.64</v>
      </c>
      <c r="Q20" s="2"/>
      <c r="R20" s="2">
        <v>0</v>
      </c>
      <c r="S20" s="2"/>
      <c r="T20" s="2">
        <v>11100.47</v>
      </c>
      <c r="U20" s="2"/>
      <c r="V20" s="2">
        <v>37169.51</v>
      </c>
      <c r="W20" s="2"/>
      <c r="X20" s="2">
        <v>42.4</v>
      </c>
      <c r="Y20" s="2"/>
      <c r="Z20" s="2">
        <v>1905</v>
      </c>
      <c r="AA20" s="2"/>
      <c r="AB20" s="2">
        <v>0</v>
      </c>
      <c r="AC20" s="2"/>
      <c r="AD20" s="2">
        <v>0</v>
      </c>
      <c r="AE20" s="2"/>
      <c r="AF20" s="2">
        <v>0</v>
      </c>
      <c r="AH20" s="5">
        <f t="shared" si="0"/>
        <v>293483.75000000006</v>
      </c>
    </row>
    <row r="21" spans="1:66" s="4" customFormat="1">
      <c r="A21" s="4">
        <v>1</v>
      </c>
      <c r="B21" s="4" t="s">
        <v>73</v>
      </c>
      <c r="D21" s="4" t="s">
        <v>39</v>
      </c>
      <c r="F21" s="1">
        <v>0</v>
      </c>
      <c r="G21" s="1"/>
      <c r="H21" s="1">
        <v>806665.16</v>
      </c>
      <c r="I21" s="1"/>
      <c r="J21" s="1">
        <v>0</v>
      </c>
      <c r="K21" s="1"/>
      <c r="L21" s="1">
        <v>29250</v>
      </c>
      <c r="M21" s="1"/>
      <c r="N21" s="1">
        <v>0</v>
      </c>
      <c r="O21" s="1"/>
      <c r="P21" s="1">
        <v>33359.269999999997</v>
      </c>
      <c r="Q21" s="1"/>
      <c r="R21" s="1">
        <v>0</v>
      </c>
      <c r="S21" s="1"/>
      <c r="T21" s="1">
        <v>388.58</v>
      </c>
      <c r="U21" s="1"/>
      <c r="V21" s="1">
        <v>32168.65</v>
      </c>
      <c r="W21" s="1"/>
      <c r="X21" s="1">
        <v>440.64</v>
      </c>
      <c r="Y21" s="1"/>
      <c r="Z21" s="1">
        <v>0</v>
      </c>
      <c r="AA21" s="1"/>
      <c r="AB21" s="1">
        <v>27950</v>
      </c>
      <c r="AC21" s="1"/>
      <c r="AD21" s="1">
        <v>0</v>
      </c>
      <c r="AE21" s="1"/>
      <c r="AF21" s="1">
        <v>0</v>
      </c>
      <c r="AH21" s="4">
        <f t="shared" si="0"/>
        <v>930222.3</v>
      </c>
    </row>
    <row r="22" spans="1:66" s="4" customFormat="1">
      <c r="A22" s="4">
        <v>216</v>
      </c>
      <c r="B22" s="25" t="s">
        <v>405</v>
      </c>
      <c r="C22" s="25"/>
      <c r="D22" s="25" t="s">
        <v>22</v>
      </c>
      <c r="E22" s="25"/>
      <c r="F22" s="4">
        <v>14183181</v>
      </c>
      <c r="G22" s="13"/>
      <c r="H22" s="4">
        <v>0</v>
      </c>
      <c r="I22" s="13"/>
      <c r="J22" s="4">
        <v>0</v>
      </c>
      <c r="K22" s="13"/>
      <c r="L22" s="4">
        <v>14634316</v>
      </c>
      <c r="M22" s="13"/>
      <c r="N22" s="4">
        <v>0</v>
      </c>
      <c r="O22" s="13"/>
      <c r="P22" s="4">
        <v>603379</v>
      </c>
      <c r="Q22" s="13"/>
      <c r="R22" s="4">
        <v>0</v>
      </c>
      <c r="S22" s="13"/>
      <c r="T22" s="4">
        <v>201911</v>
      </c>
      <c r="U22" s="13"/>
      <c r="V22" s="4">
        <v>107155</v>
      </c>
      <c r="W22" s="13"/>
      <c r="X22" s="4">
        <v>722061</v>
      </c>
      <c r="Y22" s="13"/>
      <c r="Z22" s="4">
        <v>0</v>
      </c>
      <c r="AA22" s="13"/>
      <c r="AB22" s="4">
        <v>0</v>
      </c>
      <c r="AC22" s="13"/>
      <c r="AD22" s="4">
        <v>0</v>
      </c>
      <c r="AE22" s="13"/>
      <c r="AF22" s="4">
        <v>0</v>
      </c>
      <c r="AG22" s="13"/>
      <c r="AH22" s="4">
        <f t="shared" si="0"/>
        <v>30452003</v>
      </c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s="4" customFormat="1">
      <c r="A23" s="4">
        <v>131</v>
      </c>
      <c r="B23" s="4" t="s">
        <v>481</v>
      </c>
      <c r="D23" s="4" t="s">
        <v>40</v>
      </c>
      <c r="F23" s="1">
        <v>0</v>
      </c>
      <c r="G23" s="1"/>
      <c r="H23" s="1">
        <v>253779.92</v>
      </c>
      <c r="I23" s="1"/>
      <c r="J23" s="1">
        <v>0</v>
      </c>
      <c r="K23" s="1"/>
      <c r="L23" s="1">
        <v>2699</v>
      </c>
      <c r="M23" s="1"/>
      <c r="N23" s="1">
        <v>0</v>
      </c>
      <c r="O23" s="1"/>
      <c r="P23" s="1">
        <v>6023.18</v>
      </c>
      <c r="Q23" s="1"/>
      <c r="R23" s="1">
        <v>0</v>
      </c>
      <c r="S23" s="1"/>
      <c r="T23" s="1">
        <v>985</v>
      </c>
      <c r="U23" s="1"/>
      <c r="V23" s="1">
        <v>12722.51</v>
      </c>
      <c r="W23" s="1"/>
      <c r="X23" s="1">
        <v>1153</v>
      </c>
      <c r="Y23" s="1"/>
      <c r="Z23" s="1">
        <v>938.01</v>
      </c>
      <c r="AA23" s="1"/>
      <c r="AB23" s="1">
        <v>0</v>
      </c>
      <c r="AC23" s="1"/>
      <c r="AD23" s="1">
        <v>0</v>
      </c>
      <c r="AE23" s="1"/>
      <c r="AF23" s="1">
        <v>0</v>
      </c>
      <c r="AH23" s="4">
        <f t="shared" si="0"/>
        <v>278300.62000000005</v>
      </c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s="4" customFormat="1">
      <c r="A24" s="4">
        <v>96</v>
      </c>
      <c r="B24" s="4" t="s">
        <v>74</v>
      </c>
      <c r="D24" s="4" t="s">
        <v>60</v>
      </c>
      <c r="F24" s="1">
        <v>0</v>
      </c>
      <c r="G24" s="1"/>
      <c r="H24" s="1">
        <v>62383.3</v>
      </c>
      <c r="I24" s="1"/>
      <c r="J24" s="1">
        <v>0</v>
      </c>
      <c r="K24" s="1"/>
      <c r="L24" s="1">
        <v>750</v>
      </c>
      <c r="M24" s="1"/>
      <c r="N24" s="1">
        <v>0</v>
      </c>
      <c r="O24" s="1"/>
      <c r="P24" s="1">
        <v>1517.98</v>
      </c>
      <c r="Q24" s="1"/>
      <c r="R24" s="1">
        <v>0</v>
      </c>
      <c r="S24" s="1"/>
      <c r="T24" s="1">
        <v>530</v>
      </c>
      <c r="U24" s="1"/>
      <c r="V24" s="1">
        <v>180.89</v>
      </c>
      <c r="W24" s="1"/>
      <c r="X24" s="1">
        <v>499.85</v>
      </c>
      <c r="Y24" s="1"/>
      <c r="Z24" s="1">
        <v>0</v>
      </c>
      <c r="AA24" s="1"/>
      <c r="AB24" s="1">
        <v>0</v>
      </c>
      <c r="AC24" s="1"/>
      <c r="AD24" s="1">
        <v>0</v>
      </c>
      <c r="AE24" s="1"/>
      <c r="AF24" s="1">
        <v>0</v>
      </c>
      <c r="AH24" s="4">
        <f t="shared" si="0"/>
        <v>65862.02</v>
      </c>
    </row>
    <row r="25" spans="1:66" s="4" customFormat="1">
      <c r="A25" s="4">
        <v>140</v>
      </c>
      <c r="B25" s="4" t="s">
        <v>421</v>
      </c>
      <c r="D25" s="4" t="s">
        <v>56</v>
      </c>
      <c r="F25" s="1">
        <v>269234.78999999998</v>
      </c>
      <c r="G25" s="1"/>
      <c r="H25" s="1">
        <v>741010.78</v>
      </c>
      <c r="I25" s="1"/>
      <c r="J25" s="1">
        <v>0</v>
      </c>
      <c r="K25" s="1"/>
      <c r="L25" s="1">
        <v>71093.350000000006</v>
      </c>
      <c r="M25" s="1"/>
      <c r="N25" s="1">
        <v>0</v>
      </c>
      <c r="O25" s="1"/>
      <c r="P25" s="1">
        <v>32082.12</v>
      </c>
      <c r="Q25" s="1"/>
      <c r="R25" s="1">
        <v>0</v>
      </c>
      <c r="S25" s="1"/>
      <c r="T25" s="1">
        <v>1100.9100000000001</v>
      </c>
      <c r="U25" s="1"/>
      <c r="V25" s="1">
        <v>9020.11</v>
      </c>
      <c r="W25" s="1"/>
      <c r="X25" s="1">
        <v>6019.86</v>
      </c>
      <c r="Y25" s="1"/>
      <c r="Z25" s="1">
        <v>0</v>
      </c>
      <c r="AA25" s="1"/>
      <c r="AB25" s="1">
        <v>0</v>
      </c>
      <c r="AC25" s="1"/>
      <c r="AD25" s="1">
        <v>0</v>
      </c>
      <c r="AE25" s="1"/>
      <c r="AF25" s="1">
        <v>0</v>
      </c>
      <c r="AH25" s="4">
        <f t="shared" si="0"/>
        <v>1129561.9200000004</v>
      </c>
    </row>
    <row r="26" spans="1:66" s="4" customFormat="1">
      <c r="A26" s="4">
        <v>208</v>
      </c>
      <c r="B26" s="4" t="s">
        <v>76</v>
      </c>
      <c r="D26" s="4" t="s">
        <v>77</v>
      </c>
      <c r="F26" s="4">
        <v>0</v>
      </c>
      <c r="H26" s="4">
        <v>1440522</v>
      </c>
      <c r="J26" s="4">
        <v>0</v>
      </c>
      <c r="L26" s="4">
        <v>34337</v>
      </c>
      <c r="N26" s="4">
        <v>0</v>
      </c>
      <c r="P26" s="4">
        <v>0</v>
      </c>
      <c r="R26" s="4">
        <v>0</v>
      </c>
      <c r="T26" s="4">
        <v>35855</v>
      </c>
      <c r="V26" s="4">
        <v>30258</v>
      </c>
      <c r="X26" s="4">
        <v>33437</v>
      </c>
      <c r="Z26" s="4">
        <v>0</v>
      </c>
      <c r="AB26" s="4">
        <v>0</v>
      </c>
      <c r="AD26" s="4">
        <v>0</v>
      </c>
      <c r="AF26" s="4">
        <v>0</v>
      </c>
      <c r="AH26" s="4">
        <f t="shared" si="0"/>
        <v>1574409</v>
      </c>
    </row>
    <row r="27" spans="1:66" s="4" customFormat="1">
      <c r="A27" s="4">
        <v>8</v>
      </c>
      <c r="B27" s="4" t="s">
        <v>78</v>
      </c>
      <c r="D27" s="4" t="s">
        <v>42</v>
      </c>
      <c r="F27" s="1">
        <v>0</v>
      </c>
      <c r="G27" s="1"/>
      <c r="H27" s="1">
        <v>220814.57</v>
      </c>
      <c r="I27" s="1"/>
      <c r="J27" s="1">
        <v>0</v>
      </c>
      <c r="K27" s="1"/>
      <c r="L27" s="1">
        <v>0</v>
      </c>
      <c r="M27" s="1"/>
      <c r="N27" s="1">
        <v>0</v>
      </c>
      <c r="O27" s="1"/>
      <c r="P27" s="1">
        <v>11015.39</v>
      </c>
      <c r="Q27" s="1"/>
      <c r="R27" s="1">
        <v>1618.56</v>
      </c>
      <c r="S27" s="1"/>
      <c r="T27" s="1">
        <v>28979.99</v>
      </c>
      <c r="U27" s="1"/>
      <c r="V27" s="1">
        <v>3239.04</v>
      </c>
      <c r="W27" s="1"/>
      <c r="X27" s="1">
        <v>918.04</v>
      </c>
      <c r="Y27" s="1"/>
      <c r="Z27" s="1">
        <v>0</v>
      </c>
      <c r="AA27" s="1"/>
      <c r="AB27" s="1">
        <v>77347.44</v>
      </c>
      <c r="AC27" s="1"/>
      <c r="AD27" s="1">
        <v>0</v>
      </c>
      <c r="AE27" s="1"/>
      <c r="AF27" s="1">
        <v>0</v>
      </c>
      <c r="AH27" s="4">
        <f t="shared" si="0"/>
        <v>343933.02999999997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s="4" customFormat="1">
      <c r="A28" s="4">
        <v>58</v>
      </c>
      <c r="B28" s="4" t="s">
        <v>79</v>
      </c>
      <c r="D28" s="4" t="s">
        <v>80</v>
      </c>
      <c r="F28" s="1">
        <v>0</v>
      </c>
      <c r="G28" s="1"/>
      <c r="H28" s="1">
        <v>246204.84</v>
      </c>
      <c r="I28" s="1"/>
      <c r="J28" s="1">
        <v>0</v>
      </c>
      <c r="K28" s="1"/>
      <c r="L28" s="1">
        <v>0</v>
      </c>
      <c r="M28" s="1"/>
      <c r="N28" s="1">
        <v>0</v>
      </c>
      <c r="O28" s="1"/>
      <c r="P28" s="1">
        <v>7558.68</v>
      </c>
      <c r="Q28" s="1"/>
      <c r="R28" s="1">
        <v>0</v>
      </c>
      <c r="S28" s="1"/>
      <c r="T28" s="1">
        <v>13101.74</v>
      </c>
      <c r="U28" s="1"/>
      <c r="V28" s="1">
        <v>4692.63</v>
      </c>
      <c r="W28" s="1"/>
      <c r="X28" s="1">
        <v>418.47</v>
      </c>
      <c r="Y28" s="1"/>
      <c r="Z28" s="1">
        <v>0</v>
      </c>
      <c r="AA28" s="1"/>
      <c r="AB28" s="1">
        <v>0</v>
      </c>
      <c r="AC28" s="1"/>
      <c r="AD28" s="1">
        <v>0</v>
      </c>
      <c r="AE28" s="1"/>
      <c r="AF28" s="1">
        <v>0</v>
      </c>
      <c r="AH28" s="4">
        <f t="shared" si="0"/>
        <v>271976.36</v>
      </c>
    </row>
    <row r="29" spans="1:66" s="4" customFormat="1">
      <c r="A29" s="4">
        <v>82</v>
      </c>
      <c r="B29" s="4" t="s">
        <v>295</v>
      </c>
      <c r="D29" s="4" t="s">
        <v>41</v>
      </c>
      <c r="F29" s="1">
        <v>77516.149999999994</v>
      </c>
      <c r="G29" s="1"/>
      <c r="H29" s="1">
        <v>222276.34</v>
      </c>
      <c r="I29" s="1"/>
      <c r="J29" s="1">
        <v>0</v>
      </c>
      <c r="K29" s="1"/>
      <c r="L29" s="1">
        <v>31920.37</v>
      </c>
      <c r="M29" s="1"/>
      <c r="N29" s="1">
        <v>0</v>
      </c>
      <c r="O29" s="1"/>
      <c r="P29" s="1">
        <v>12687.24</v>
      </c>
      <c r="Q29" s="1"/>
      <c r="R29" s="1">
        <v>0</v>
      </c>
      <c r="S29" s="1"/>
      <c r="T29" s="1">
        <v>3360.79</v>
      </c>
      <c r="U29" s="1"/>
      <c r="V29" s="1">
        <v>12690.43</v>
      </c>
      <c r="W29" s="1"/>
      <c r="X29" s="1">
        <v>4943.53</v>
      </c>
      <c r="Y29" s="1"/>
      <c r="Z29" s="1">
        <v>0</v>
      </c>
      <c r="AA29" s="1"/>
      <c r="AB29" s="1">
        <v>0</v>
      </c>
      <c r="AC29" s="1"/>
      <c r="AD29" s="1">
        <v>0</v>
      </c>
      <c r="AE29" s="1"/>
      <c r="AF29" s="1">
        <v>0</v>
      </c>
      <c r="AH29" s="4">
        <f t="shared" si="0"/>
        <v>365394.85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s="4" customFormat="1">
      <c r="A30" s="4">
        <v>6</v>
      </c>
      <c r="B30" s="4" t="s">
        <v>81</v>
      </c>
      <c r="D30" s="4" t="s">
        <v>82</v>
      </c>
      <c r="F30" s="4">
        <v>2624</v>
      </c>
      <c r="H30" s="4">
        <v>0</v>
      </c>
      <c r="J30" s="4">
        <v>0</v>
      </c>
      <c r="L30" s="4">
        <v>1015307</v>
      </c>
      <c r="N30" s="4">
        <v>0</v>
      </c>
      <c r="P30" s="4">
        <v>55975</v>
      </c>
      <c r="R30" s="4">
        <v>0</v>
      </c>
      <c r="T30" s="4">
        <v>4277</v>
      </c>
      <c r="V30" s="4">
        <v>41678</v>
      </c>
      <c r="X30" s="4">
        <v>6042</v>
      </c>
      <c r="Z30" s="4">
        <v>0</v>
      </c>
      <c r="AB30" s="4">
        <v>0</v>
      </c>
      <c r="AD30" s="4">
        <v>0</v>
      </c>
      <c r="AF30" s="4">
        <v>0</v>
      </c>
      <c r="AH30" s="4">
        <f t="shared" si="0"/>
        <v>1125903</v>
      </c>
    </row>
    <row r="31" spans="1:66" s="4" customFormat="1">
      <c r="A31" s="4">
        <v>9</v>
      </c>
      <c r="B31" s="4" t="s">
        <v>332</v>
      </c>
      <c r="D31" s="4" t="s">
        <v>42</v>
      </c>
      <c r="F31" s="1">
        <v>1274309.83</v>
      </c>
      <c r="G31" s="1"/>
      <c r="H31" s="1">
        <v>0</v>
      </c>
      <c r="I31" s="1"/>
      <c r="J31" s="1">
        <v>0</v>
      </c>
      <c r="K31" s="1"/>
      <c r="L31" s="1">
        <v>0</v>
      </c>
      <c r="M31" s="1"/>
      <c r="N31" s="1">
        <v>0</v>
      </c>
      <c r="O31" s="1"/>
      <c r="P31" s="1">
        <v>40056.71</v>
      </c>
      <c r="Q31" s="1"/>
      <c r="R31" s="1">
        <v>0</v>
      </c>
      <c r="S31" s="1"/>
      <c r="T31" s="1">
        <v>37371.53</v>
      </c>
      <c r="U31" s="1"/>
      <c r="V31" s="1">
        <v>94354.35</v>
      </c>
      <c r="W31" s="1"/>
      <c r="X31" s="1">
        <v>62273.94</v>
      </c>
      <c r="Y31" s="1"/>
      <c r="Z31" s="1">
        <v>0</v>
      </c>
      <c r="AA31" s="1"/>
      <c r="AB31" s="1">
        <v>16290</v>
      </c>
      <c r="AC31" s="1"/>
      <c r="AD31" s="1">
        <v>0</v>
      </c>
      <c r="AE31" s="1"/>
      <c r="AF31" s="1">
        <v>0</v>
      </c>
      <c r="AH31" s="4">
        <f t="shared" si="0"/>
        <v>1524656.36</v>
      </c>
    </row>
    <row r="32" spans="1:66" s="4" customFormat="1">
      <c r="A32" s="4">
        <v>17</v>
      </c>
      <c r="B32" s="4" t="s">
        <v>540</v>
      </c>
      <c r="D32" s="4" t="s">
        <v>43</v>
      </c>
      <c r="F32" s="1">
        <v>0</v>
      </c>
      <c r="G32" s="1"/>
      <c r="H32" s="1">
        <v>1004441.83</v>
      </c>
      <c r="I32" s="1"/>
      <c r="J32" s="1">
        <v>0</v>
      </c>
      <c r="K32" s="1"/>
      <c r="L32" s="1">
        <v>2500</v>
      </c>
      <c r="M32" s="1"/>
      <c r="N32" s="1">
        <v>0</v>
      </c>
      <c r="O32" s="1"/>
      <c r="P32" s="1">
        <v>19697.82</v>
      </c>
      <c r="Q32" s="1"/>
      <c r="R32" s="1">
        <v>0</v>
      </c>
      <c r="S32" s="1"/>
      <c r="T32" s="1">
        <v>19068.79</v>
      </c>
      <c r="U32" s="1"/>
      <c r="V32" s="1">
        <v>58905.96</v>
      </c>
      <c r="W32" s="1"/>
      <c r="X32" s="1">
        <v>5243.63</v>
      </c>
      <c r="Y32" s="1"/>
      <c r="Z32" s="1">
        <v>0</v>
      </c>
      <c r="AA32" s="1"/>
      <c r="AB32" s="1">
        <v>0</v>
      </c>
      <c r="AC32" s="1"/>
      <c r="AD32" s="1">
        <v>0</v>
      </c>
      <c r="AE32" s="1"/>
      <c r="AF32" s="1">
        <v>0</v>
      </c>
      <c r="AH32" s="4">
        <f t="shared" si="0"/>
        <v>1109858.0299999998</v>
      </c>
    </row>
    <row r="33" spans="1:66" s="4" customFormat="1">
      <c r="A33" s="4">
        <v>141</v>
      </c>
      <c r="B33" s="4" t="s">
        <v>83</v>
      </c>
      <c r="D33" s="4" t="s">
        <v>56</v>
      </c>
      <c r="F33" s="4">
        <v>1325792</v>
      </c>
      <c r="H33" s="4">
        <v>0</v>
      </c>
      <c r="J33" s="4">
        <v>0</v>
      </c>
      <c r="L33" s="4">
        <v>803835</v>
      </c>
      <c r="N33" s="4">
        <v>0</v>
      </c>
      <c r="P33" s="4">
        <v>65103</v>
      </c>
      <c r="R33" s="4">
        <v>0</v>
      </c>
      <c r="T33" s="4">
        <v>925</v>
      </c>
      <c r="V33" s="4">
        <v>1872</v>
      </c>
      <c r="X33" s="4">
        <v>14462</v>
      </c>
      <c r="Z33" s="4">
        <v>0</v>
      </c>
      <c r="AB33" s="4">
        <v>0</v>
      </c>
      <c r="AD33" s="4">
        <v>0</v>
      </c>
      <c r="AF33" s="4">
        <v>0</v>
      </c>
      <c r="AH33" s="4">
        <f t="shared" si="0"/>
        <v>2211989</v>
      </c>
    </row>
    <row r="34" spans="1:66" s="4" customFormat="1">
      <c r="A34" s="4">
        <v>217</v>
      </c>
      <c r="B34" s="4" t="s">
        <v>422</v>
      </c>
      <c r="D34" s="4" t="s">
        <v>22</v>
      </c>
      <c r="F34" s="1">
        <v>426134.67</v>
      </c>
      <c r="G34" s="1"/>
      <c r="H34" s="1">
        <v>835658.89</v>
      </c>
      <c r="I34" s="1"/>
      <c r="J34" s="1">
        <v>0</v>
      </c>
      <c r="K34" s="1"/>
      <c r="L34" s="1">
        <v>70278</v>
      </c>
      <c r="M34" s="1"/>
      <c r="N34" s="1">
        <v>0</v>
      </c>
      <c r="O34" s="1"/>
      <c r="P34" s="1">
        <v>26908.080000000002</v>
      </c>
      <c r="Q34" s="1"/>
      <c r="R34" s="1">
        <v>0</v>
      </c>
      <c r="S34" s="1"/>
      <c r="T34" s="1">
        <v>2866.54</v>
      </c>
      <c r="U34" s="1"/>
      <c r="V34" s="1">
        <v>26032.06</v>
      </c>
      <c r="W34" s="1"/>
      <c r="X34" s="1">
        <v>2581.77</v>
      </c>
      <c r="Y34" s="1"/>
      <c r="Z34" s="1">
        <v>0</v>
      </c>
      <c r="AA34" s="1"/>
      <c r="AB34" s="1">
        <v>172162.77</v>
      </c>
      <c r="AC34" s="1"/>
      <c r="AD34" s="1">
        <v>0</v>
      </c>
      <c r="AE34" s="1"/>
      <c r="AF34" s="1">
        <v>0</v>
      </c>
      <c r="AH34" s="4">
        <f t="shared" si="0"/>
        <v>1562622.7800000003</v>
      </c>
    </row>
    <row r="35" spans="1:66" s="4" customFormat="1" ht="12.75" customHeight="1">
      <c r="A35" s="4">
        <v>19</v>
      </c>
      <c r="B35" s="4" t="s">
        <v>21</v>
      </c>
      <c r="D35" s="4" t="s">
        <v>13</v>
      </c>
      <c r="F35" s="4">
        <v>0</v>
      </c>
      <c r="H35" s="4">
        <v>0</v>
      </c>
      <c r="J35" s="4">
        <v>0</v>
      </c>
      <c r="L35" s="4">
        <v>415401</v>
      </c>
      <c r="N35" s="4">
        <v>0</v>
      </c>
      <c r="P35" s="4">
        <v>19240</v>
      </c>
      <c r="R35" s="4">
        <v>0</v>
      </c>
      <c r="T35" s="4">
        <v>11115</v>
      </c>
      <c r="V35" s="4">
        <v>17529</v>
      </c>
      <c r="X35" s="4">
        <v>2656</v>
      </c>
      <c r="Z35" s="4">
        <v>0</v>
      </c>
      <c r="AB35" s="4">
        <v>0</v>
      </c>
      <c r="AD35" s="4">
        <v>0</v>
      </c>
      <c r="AF35" s="4">
        <v>0</v>
      </c>
      <c r="AH35" s="4">
        <f t="shared" si="0"/>
        <v>465941</v>
      </c>
    </row>
    <row r="36" spans="1:66" s="4" customFormat="1">
      <c r="A36" s="4">
        <v>20</v>
      </c>
      <c r="B36" s="4" t="s">
        <v>84</v>
      </c>
      <c r="D36" s="4" t="s">
        <v>13</v>
      </c>
      <c r="F36" s="1">
        <v>0</v>
      </c>
      <c r="G36" s="1"/>
      <c r="H36" s="1">
        <v>415401.12</v>
      </c>
      <c r="I36" s="1"/>
      <c r="J36" s="1">
        <v>0</v>
      </c>
      <c r="K36" s="1"/>
      <c r="L36" s="1">
        <v>0</v>
      </c>
      <c r="M36" s="1"/>
      <c r="N36" s="1">
        <v>0</v>
      </c>
      <c r="O36" s="1"/>
      <c r="P36" s="1">
        <v>9691.39</v>
      </c>
      <c r="Q36" s="1"/>
      <c r="R36" s="1">
        <v>0</v>
      </c>
      <c r="S36" s="1"/>
      <c r="T36" s="1">
        <v>4373</v>
      </c>
      <c r="U36" s="1"/>
      <c r="V36" s="1">
        <v>10051.49</v>
      </c>
      <c r="W36" s="1"/>
      <c r="X36" s="1">
        <v>1469.39</v>
      </c>
      <c r="Y36" s="1"/>
      <c r="Z36" s="1">
        <v>0</v>
      </c>
      <c r="AA36" s="1"/>
      <c r="AB36" s="1">
        <v>0</v>
      </c>
      <c r="AC36" s="1"/>
      <c r="AD36" s="1">
        <v>0</v>
      </c>
      <c r="AE36" s="1"/>
      <c r="AF36" s="1">
        <v>0</v>
      </c>
      <c r="AH36" s="4">
        <f t="shared" si="0"/>
        <v>440986.39</v>
      </c>
    </row>
    <row r="37" spans="1:66" s="4" customFormat="1">
      <c r="A37" s="4">
        <v>137</v>
      </c>
      <c r="B37" s="4" t="s">
        <v>85</v>
      </c>
      <c r="D37" s="4" t="s">
        <v>86</v>
      </c>
      <c r="F37" s="4">
        <v>0</v>
      </c>
      <c r="H37" s="4">
        <v>67808</v>
      </c>
      <c r="J37" s="4">
        <v>0</v>
      </c>
      <c r="L37" s="4">
        <v>0</v>
      </c>
      <c r="N37" s="4">
        <v>0</v>
      </c>
      <c r="P37" s="4">
        <v>3163</v>
      </c>
      <c r="R37" s="4">
        <v>0</v>
      </c>
      <c r="T37" s="4">
        <v>408</v>
      </c>
      <c r="V37" s="4">
        <v>6724</v>
      </c>
      <c r="X37" s="4">
        <v>280</v>
      </c>
      <c r="Z37" s="4">
        <v>0</v>
      </c>
      <c r="AB37" s="4">
        <v>0</v>
      </c>
      <c r="AD37" s="4">
        <v>0</v>
      </c>
      <c r="AF37" s="4">
        <v>0</v>
      </c>
      <c r="AH37" s="4">
        <f t="shared" si="0"/>
        <v>78383</v>
      </c>
    </row>
    <row r="38" spans="1:66" s="4" customFormat="1">
      <c r="A38" s="4">
        <v>110</v>
      </c>
      <c r="B38" s="4" t="s">
        <v>87</v>
      </c>
      <c r="D38" s="4" t="s">
        <v>88</v>
      </c>
      <c r="F38" s="4">
        <v>253043</v>
      </c>
      <c r="H38" s="4">
        <v>0</v>
      </c>
      <c r="J38" s="4">
        <v>28925</v>
      </c>
      <c r="L38" s="4">
        <v>562790</v>
      </c>
      <c r="N38" s="4">
        <v>0</v>
      </c>
      <c r="P38" s="4">
        <v>24863</v>
      </c>
      <c r="R38" s="4">
        <v>0</v>
      </c>
      <c r="T38" s="4">
        <v>5895</v>
      </c>
      <c r="V38" s="4">
        <v>2300</v>
      </c>
      <c r="X38" s="4">
        <v>156</v>
      </c>
      <c r="Z38" s="4">
        <v>0</v>
      </c>
      <c r="AB38" s="4">
        <v>0</v>
      </c>
      <c r="AD38" s="4">
        <v>0</v>
      </c>
      <c r="AF38" s="4">
        <v>0</v>
      </c>
      <c r="AH38" s="4">
        <f t="shared" si="0"/>
        <v>877972</v>
      </c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s="4" customFormat="1">
      <c r="A39" s="4">
        <v>203</v>
      </c>
      <c r="B39" s="4" t="s">
        <v>89</v>
      </c>
      <c r="D39" s="4" t="s">
        <v>44</v>
      </c>
      <c r="F39" s="4">
        <v>8795</v>
      </c>
      <c r="H39" s="4">
        <v>115648</v>
      </c>
      <c r="J39" s="4">
        <v>0</v>
      </c>
      <c r="L39" s="4">
        <v>0</v>
      </c>
      <c r="N39" s="4">
        <v>0</v>
      </c>
      <c r="P39" s="4">
        <v>5409</v>
      </c>
      <c r="R39" s="4">
        <v>0</v>
      </c>
      <c r="T39" s="4">
        <v>125</v>
      </c>
      <c r="V39" s="4">
        <v>6594</v>
      </c>
      <c r="X39" s="4">
        <v>0</v>
      </c>
      <c r="Z39" s="4">
        <v>0</v>
      </c>
      <c r="AB39" s="4">
        <v>0</v>
      </c>
      <c r="AD39" s="4">
        <v>0</v>
      </c>
      <c r="AF39" s="4">
        <v>0</v>
      </c>
      <c r="AH39" s="4">
        <f t="shared" si="0"/>
        <v>136571</v>
      </c>
    </row>
    <row r="40" spans="1:66" s="4" customFormat="1">
      <c r="A40" s="4">
        <v>74</v>
      </c>
      <c r="B40" s="4" t="s">
        <v>90</v>
      </c>
      <c r="D40" s="4" t="s">
        <v>91</v>
      </c>
      <c r="F40" s="4">
        <v>0</v>
      </c>
      <c r="H40" s="4">
        <v>1525619</v>
      </c>
      <c r="J40" s="4">
        <v>0</v>
      </c>
      <c r="L40" s="4">
        <v>0</v>
      </c>
      <c r="N40" s="4">
        <v>0</v>
      </c>
      <c r="P40" s="4">
        <v>60709</v>
      </c>
      <c r="R40" s="4">
        <v>0</v>
      </c>
      <c r="T40" s="4">
        <v>63061</v>
      </c>
      <c r="V40" s="4">
        <v>16746</v>
      </c>
      <c r="X40" s="4">
        <v>7198</v>
      </c>
      <c r="Z40" s="4">
        <v>0</v>
      </c>
      <c r="AB40" s="4">
        <v>0</v>
      </c>
      <c r="AD40" s="4">
        <v>0</v>
      </c>
      <c r="AF40" s="4">
        <v>0</v>
      </c>
      <c r="AH40" s="4">
        <f t="shared" si="0"/>
        <v>1673333</v>
      </c>
    </row>
    <row r="41" spans="1:66" s="4" customFormat="1">
      <c r="A41" s="4">
        <v>200</v>
      </c>
      <c r="B41" s="4" t="s">
        <v>92</v>
      </c>
      <c r="D41" s="4" t="s">
        <v>93</v>
      </c>
      <c r="F41" s="4">
        <v>0</v>
      </c>
      <c r="H41" s="4">
        <v>1950</v>
      </c>
      <c r="J41" s="4">
        <v>0</v>
      </c>
      <c r="L41" s="4">
        <v>1415808</v>
      </c>
      <c r="N41" s="4">
        <v>0</v>
      </c>
      <c r="P41" s="4">
        <v>35247</v>
      </c>
      <c r="R41" s="4">
        <v>0</v>
      </c>
      <c r="T41" s="4">
        <v>13235</v>
      </c>
      <c r="V41" s="4">
        <v>61413</v>
      </c>
      <c r="X41" s="4">
        <v>10950</v>
      </c>
      <c r="Z41" s="4">
        <v>0</v>
      </c>
      <c r="AB41" s="4">
        <v>0</v>
      </c>
      <c r="AH41" s="4">
        <f t="shared" ref="AH41:AH73" si="1">SUM(F41:AF41)</f>
        <v>1538603</v>
      </c>
    </row>
    <row r="42" spans="1:66" s="4" customFormat="1">
      <c r="A42" s="4">
        <v>35</v>
      </c>
      <c r="B42" s="4" t="s">
        <v>94</v>
      </c>
      <c r="D42" s="4" t="s">
        <v>68</v>
      </c>
      <c r="F42" s="4">
        <v>133595</v>
      </c>
      <c r="H42" s="4">
        <v>0</v>
      </c>
      <c r="J42" s="4">
        <v>0</v>
      </c>
      <c r="L42" s="4">
        <v>403164</v>
      </c>
      <c r="N42" s="4">
        <v>0</v>
      </c>
      <c r="P42" s="4">
        <v>0</v>
      </c>
      <c r="R42" s="4">
        <v>1621</v>
      </c>
      <c r="T42" s="4">
        <v>0</v>
      </c>
      <c r="V42" s="4">
        <v>1360</v>
      </c>
      <c r="X42" s="4">
        <v>0</v>
      </c>
      <c r="Z42" s="4">
        <v>0</v>
      </c>
      <c r="AB42" s="4">
        <v>0</v>
      </c>
      <c r="AD42" s="4">
        <v>0</v>
      </c>
      <c r="AF42" s="4">
        <v>0</v>
      </c>
      <c r="AH42" s="4">
        <f t="shared" si="1"/>
        <v>539740</v>
      </c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s="12" customFormat="1">
      <c r="A43" s="4">
        <v>204</v>
      </c>
      <c r="B43" s="4" t="s">
        <v>95</v>
      </c>
      <c r="C43" s="4"/>
      <c r="D43" s="4" t="s">
        <v>44</v>
      </c>
      <c r="E43" s="4"/>
      <c r="F43" s="1">
        <v>0</v>
      </c>
      <c r="G43" s="1"/>
      <c r="H43" s="1">
        <v>0</v>
      </c>
      <c r="I43" s="1"/>
      <c r="J43" s="1">
        <v>0</v>
      </c>
      <c r="K43" s="1"/>
      <c r="L43" s="1">
        <v>126484.79</v>
      </c>
      <c r="M43" s="1"/>
      <c r="N43" s="1">
        <v>0</v>
      </c>
      <c r="O43" s="1"/>
      <c r="P43" s="1">
        <v>3067.77</v>
      </c>
      <c r="Q43" s="1"/>
      <c r="R43" s="1">
        <v>0</v>
      </c>
      <c r="S43" s="1"/>
      <c r="T43" s="1">
        <v>3004.11</v>
      </c>
      <c r="U43" s="1"/>
      <c r="V43" s="1">
        <v>1492.45</v>
      </c>
      <c r="W43" s="1"/>
      <c r="X43" s="1">
        <v>423.42</v>
      </c>
      <c r="Y43" s="1"/>
      <c r="Z43" s="1">
        <v>0</v>
      </c>
      <c r="AA43" s="1"/>
      <c r="AB43" s="1">
        <v>1925.86</v>
      </c>
      <c r="AC43" s="1"/>
      <c r="AD43" s="1">
        <v>0</v>
      </c>
      <c r="AE43" s="1"/>
      <c r="AF43" s="1">
        <v>0</v>
      </c>
      <c r="AG43" s="4"/>
      <c r="AH43" s="4">
        <f t="shared" si="1"/>
        <v>136398.39999999999</v>
      </c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6" s="4" customFormat="1">
      <c r="A44" s="4">
        <v>3</v>
      </c>
      <c r="B44" s="4" t="s">
        <v>297</v>
      </c>
      <c r="D44" s="4" t="s">
        <v>96</v>
      </c>
      <c r="F44" s="1">
        <v>96124.97</v>
      </c>
      <c r="G44" s="1"/>
      <c r="H44" s="1">
        <v>228340.52</v>
      </c>
      <c r="I44" s="1"/>
      <c r="J44" s="1">
        <v>0</v>
      </c>
      <c r="K44" s="1"/>
      <c r="L44" s="1">
        <v>26005.21</v>
      </c>
      <c r="M44" s="1"/>
      <c r="N44" s="1">
        <v>0</v>
      </c>
      <c r="O44" s="1"/>
      <c r="P44" s="1">
        <v>10740.91</v>
      </c>
      <c r="Q44" s="1"/>
      <c r="R44" s="1">
        <v>0</v>
      </c>
      <c r="S44" s="1"/>
      <c r="T44" s="1">
        <v>3513.48</v>
      </c>
      <c r="U44" s="1"/>
      <c r="V44" s="1">
        <v>2024.4</v>
      </c>
      <c r="W44" s="1"/>
      <c r="X44" s="1">
        <v>1972.33</v>
      </c>
      <c r="Y44" s="1"/>
      <c r="Z44" s="1">
        <v>730</v>
      </c>
      <c r="AA44" s="1"/>
      <c r="AB44" s="1">
        <v>0</v>
      </c>
      <c r="AC44" s="1"/>
      <c r="AD44" s="1">
        <v>0</v>
      </c>
      <c r="AE44" s="1"/>
      <c r="AF44" s="1">
        <v>0</v>
      </c>
      <c r="AH44" s="4">
        <f t="shared" si="1"/>
        <v>369451.82</v>
      </c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s="4" customFormat="1">
      <c r="A45" s="4">
        <v>101</v>
      </c>
      <c r="B45" s="4" t="s">
        <v>97</v>
      </c>
      <c r="D45" s="4" t="s">
        <v>45</v>
      </c>
      <c r="F45" s="1">
        <v>0</v>
      </c>
      <c r="G45" s="1"/>
      <c r="H45" s="1">
        <v>185231.11</v>
      </c>
      <c r="I45" s="1"/>
      <c r="J45" s="1">
        <v>0</v>
      </c>
      <c r="K45" s="1"/>
      <c r="L45" s="1">
        <v>0</v>
      </c>
      <c r="M45" s="1"/>
      <c r="N45" s="1">
        <v>0</v>
      </c>
      <c r="O45" s="1"/>
      <c r="P45" s="1">
        <v>4098.62</v>
      </c>
      <c r="Q45" s="1"/>
      <c r="R45" s="1">
        <v>0</v>
      </c>
      <c r="S45" s="1"/>
      <c r="T45" s="1">
        <v>1140</v>
      </c>
      <c r="U45" s="1"/>
      <c r="V45" s="1">
        <v>1556.7</v>
      </c>
      <c r="W45" s="1"/>
      <c r="X45" s="1">
        <v>2705.76</v>
      </c>
      <c r="Y45" s="1"/>
      <c r="Z45" s="1">
        <v>0</v>
      </c>
      <c r="AA45" s="1"/>
      <c r="AB45" s="1">
        <v>1831</v>
      </c>
      <c r="AC45" s="1"/>
      <c r="AD45" s="1">
        <v>0</v>
      </c>
      <c r="AE45" s="1"/>
      <c r="AF45" s="1">
        <v>0</v>
      </c>
      <c r="AH45" s="4">
        <f t="shared" si="1"/>
        <v>196563.19</v>
      </c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s="4" customFormat="1">
      <c r="A46" s="4">
        <v>162</v>
      </c>
      <c r="B46" s="4" t="s">
        <v>98</v>
      </c>
      <c r="D46" s="4" t="s">
        <v>52</v>
      </c>
      <c r="F46" s="1">
        <v>0</v>
      </c>
      <c r="G46" s="1"/>
      <c r="H46" s="1">
        <v>165465.04999999999</v>
      </c>
      <c r="I46" s="1"/>
      <c r="J46" s="1">
        <v>0</v>
      </c>
      <c r="K46" s="1"/>
      <c r="L46" s="1">
        <v>0</v>
      </c>
      <c r="M46" s="1"/>
      <c r="N46" s="1">
        <v>0</v>
      </c>
      <c r="O46" s="1"/>
      <c r="P46" s="1">
        <v>8274.39</v>
      </c>
      <c r="Q46" s="1"/>
      <c r="R46" s="1">
        <v>0</v>
      </c>
      <c r="S46" s="1"/>
      <c r="T46" s="1">
        <v>3619.94</v>
      </c>
      <c r="U46" s="1"/>
      <c r="V46" s="1">
        <v>436.07</v>
      </c>
      <c r="W46" s="1"/>
      <c r="X46" s="1">
        <v>554.25</v>
      </c>
      <c r="Y46" s="1"/>
      <c r="Z46" s="1">
        <v>0</v>
      </c>
      <c r="AA46" s="1"/>
      <c r="AB46" s="1">
        <v>0</v>
      </c>
      <c r="AC46" s="1"/>
      <c r="AD46" s="1">
        <v>0</v>
      </c>
      <c r="AE46" s="1"/>
      <c r="AF46" s="1">
        <v>0</v>
      </c>
      <c r="AH46" s="4">
        <f t="shared" si="1"/>
        <v>178349.7</v>
      </c>
    </row>
    <row r="47" spans="1:66" s="4" customFormat="1">
      <c r="A47" s="22">
        <v>130.1</v>
      </c>
      <c r="B47" s="3" t="s">
        <v>528</v>
      </c>
      <c r="C47" s="3"/>
      <c r="D47" s="3" t="s">
        <v>529</v>
      </c>
      <c r="E47" s="3"/>
      <c r="F47" s="4">
        <v>0</v>
      </c>
      <c r="H47" s="4">
        <v>1890627</v>
      </c>
      <c r="J47" s="4">
        <v>0</v>
      </c>
      <c r="L47" s="4">
        <v>52502</v>
      </c>
      <c r="N47" s="4">
        <v>0</v>
      </c>
      <c r="P47" s="4">
        <v>0</v>
      </c>
      <c r="R47" s="4">
        <v>0</v>
      </c>
      <c r="T47" s="4">
        <v>7021</v>
      </c>
      <c r="V47" s="4">
        <v>8597</v>
      </c>
      <c r="X47" s="4">
        <v>31881</v>
      </c>
      <c r="Z47" s="4">
        <v>0</v>
      </c>
      <c r="AB47" s="4">
        <v>0</v>
      </c>
      <c r="AD47" s="4">
        <v>0</v>
      </c>
      <c r="AF47" s="4">
        <v>0</v>
      </c>
      <c r="AH47" s="4">
        <f t="shared" si="1"/>
        <v>1990628</v>
      </c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</row>
    <row r="48" spans="1:66" s="4" customFormat="1">
      <c r="A48" s="4">
        <v>223</v>
      </c>
      <c r="B48" s="4" t="s">
        <v>99</v>
      </c>
      <c r="D48" s="4" t="s">
        <v>55</v>
      </c>
      <c r="F48" s="1">
        <v>0</v>
      </c>
      <c r="G48" s="1"/>
      <c r="H48" s="1">
        <v>360583.53</v>
      </c>
      <c r="I48" s="1"/>
      <c r="J48" s="1">
        <v>0</v>
      </c>
      <c r="K48" s="1"/>
      <c r="L48" s="1">
        <v>0</v>
      </c>
      <c r="M48" s="1"/>
      <c r="N48" s="1">
        <v>0</v>
      </c>
      <c r="O48" s="1"/>
      <c r="P48" s="1">
        <v>11437.5</v>
      </c>
      <c r="Q48" s="1"/>
      <c r="R48" s="1">
        <v>0</v>
      </c>
      <c r="S48" s="1"/>
      <c r="T48" s="1">
        <v>1861</v>
      </c>
      <c r="U48" s="1"/>
      <c r="V48" s="1">
        <v>22679.29</v>
      </c>
      <c r="W48" s="1"/>
      <c r="X48" s="1">
        <v>8273.93</v>
      </c>
      <c r="Y48" s="1"/>
      <c r="Z48" s="1">
        <v>0</v>
      </c>
      <c r="AA48" s="1"/>
      <c r="AB48" s="1">
        <v>0</v>
      </c>
      <c r="AC48" s="1"/>
      <c r="AD48" s="1">
        <v>0</v>
      </c>
      <c r="AE48" s="1"/>
      <c r="AF48" s="1">
        <v>0</v>
      </c>
      <c r="AH48" s="4">
        <f t="shared" si="1"/>
        <v>404835.25</v>
      </c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</row>
    <row r="49" spans="1:66" s="4" customFormat="1">
      <c r="A49" s="4">
        <v>23</v>
      </c>
      <c r="B49" s="4" t="s">
        <v>445</v>
      </c>
      <c r="D49" s="4" t="s">
        <v>46</v>
      </c>
      <c r="F49" s="1">
        <v>0</v>
      </c>
      <c r="G49" s="1"/>
      <c r="H49" s="1">
        <v>701477.21</v>
      </c>
      <c r="I49" s="1"/>
      <c r="J49" s="1">
        <v>0</v>
      </c>
      <c r="K49" s="1"/>
      <c r="L49" s="1">
        <v>1743</v>
      </c>
      <c r="M49" s="1"/>
      <c r="N49" s="1">
        <v>0</v>
      </c>
      <c r="O49" s="1"/>
      <c r="P49" s="1">
        <v>29021.119999999999</v>
      </c>
      <c r="Q49" s="1"/>
      <c r="R49" s="1">
        <v>0</v>
      </c>
      <c r="S49" s="1"/>
      <c r="T49" s="1">
        <v>1294.28</v>
      </c>
      <c r="U49" s="1"/>
      <c r="V49" s="1">
        <v>400.07</v>
      </c>
      <c r="W49" s="1"/>
      <c r="X49" s="1">
        <v>136.59</v>
      </c>
      <c r="Y49" s="1"/>
      <c r="Z49" s="1">
        <v>0</v>
      </c>
      <c r="AA49" s="1"/>
      <c r="AB49" s="1">
        <v>0</v>
      </c>
      <c r="AC49" s="1"/>
      <c r="AD49" s="1">
        <v>0</v>
      </c>
      <c r="AE49" s="1"/>
      <c r="AF49" s="1">
        <v>0</v>
      </c>
      <c r="AH49" s="4">
        <f t="shared" si="1"/>
        <v>734072.2699999999</v>
      </c>
    </row>
    <row r="50" spans="1:66" s="4" customFormat="1">
      <c r="A50" s="4">
        <v>194</v>
      </c>
      <c r="B50" s="4" t="s">
        <v>100</v>
      </c>
      <c r="D50" s="4" t="s">
        <v>101</v>
      </c>
      <c r="F50" s="4">
        <v>0</v>
      </c>
      <c r="H50" s="4">
        <v>99037</v>
      </c>
      <c r="J50" s="4">
        <v>0</v>
      </c>
      <c r="L50" s="4">
        <v>7169</v>
      </c>
      <c r="N50" s="4">
        <v>0</v>
      </c>
      <c r="P50" s="4">
        <v>0</v>
      </c>
      <c r="R50" s="4">
        <v>0</v>
      </c>
      <c r="T50" s="4">
        <v>5730</v>
      </c>
      <c r="V50" s="4">
        <v>1192</v>
      </c>
      <c r="X50" s="4">
        <v>1443</v>
      </c>
      <c r="Z50" s="4">
        <v>0</v>
      </c>
      <c r="AB50" s="4">
        <v>0</v>
      </c>
      <c r="AD50" s="4">
        <v>0</v>
      </c>
      <c r="AF50" s="4">
        <v>0</v>
      </c>
      <c r="AH50" s="4">
        <f t="shared" si="1"/>
        <v>114571</v>
      </c>
    </row>
    <row r="51" spans="1:66" s="4" customFormat="1">
      <c r="A51" s="4">
        <v>46</v>
      </c>
      <c r="B51" s="4" t="s">
        <v>102</v>
      </c>
      <c r="D51" s="4" t="s">
        <v>51</v>
      </c>
      <c r="F51" s="4">
        <v>0</v>
      </c>
      <c r="H51" s="4">
        <v>517421</v>
      </c>
      <c r="J51" s="4">
        <v>0</v>
      </c>
      <c r="L51" s="4">
        <v>0</v>
      </c>
      <c r="N51" s="4">
        <v>0</v>
      </c>
      <c r="P51" s="4">
        <v>5478</v>
      </c>
      <c r="R51" s="4">
        <v>0</v>
      </c>
      <c r="T51" s="4">
        <v>293351</v>
      </c>
      <c r="V51" s="4">
        <v>14551</v>
      </c>
      <c r="X51" s="4">
        <v>23611</v>
      </c>
      <c r="Z51" s="4">
        <v>0</v>
      </c>
      <c r="AB51" s="4">
        <v>105834</v>
      </c>
      <c r="AD51" s="4">
        <v>300000</v>
      </c>
      <c r="AF51" s="4">
        <v>400000</v>
      </c>
      <c r="AH51" s="4">
        <f t="shared" si="1"/>
        <v>1660246</v>
      </c>
    </row>
    <row r="52" spans="1:66" s="4" customFormat="1">
      <c r="A52" s="4">
        <v>89</v>
      </c>
      <c r="B52" s="4" t="s">
        <v>103</v>
      </c>
      <c r="D52" s="4" t="s">
        <v>17</v>
      </c>
      <c r="F52" s="1">
        <v>234227.51</v>
      </c>
      <c r="G52" s="1"/>
      <c r="H52" s="1">
        <v>442611</v>
      </c>
      <c r="I52" s="1"/>
      <c r="J52" s="1">
        <v>0</v>
      </c>
      <c r="K52" s="1"/>
      <c r="L52" s="1">
        <v>53803.01</v>
      </c>
      <c r="M52" s="1"/>
      <c r="N52" s="1">
        <v>0</v>
      </c>
      <c r="O52" s="1"/>
      <c r="P52" s="1">
        <v>18653.849999999999</v>
      </c>
      <c r="Q52" s="1"/>
      <c r="R52" s="1">
        <v>0</v>
      </c>
      <c r="S52" s="1"/>
      <c r="T52" s="1">
        <v>42028.88</v>
      </c>
      <c r="U52" s="1"/>
      <c r="V52" s="1">
        <v>3139.63</v>
      </c>
      <c r="W52" s="1"/>
      <c r="X52" s="1">
        <v>2172.0700000000002</v>
      </c>
      <c r="Y52" s="1"/>
      <c r="Z52" s="1">
        <v>20</v>
      </c>
      <c r="AA52" s="1"/>
      <c r="AB52" s="1">
        <v>0</v>
      </c>
      <c r="AC52" s="1"/>
      <c r="AD52" s="1">
        <v>0</v>
      </c>
      <c r="AE52" s="1"/>
      <c r="AF52" s="1">
        <v>0</v>
      </c>
      <c r="AH52" s="4">
        <f t="shared" si="1"/>
        <v>796655.95</v>
      </c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</row>
    <row r="53" spans="1:66" s="4" customFormat="1">
      <c r="A53" s="4">
        <v>179</v>
      </c>
      <c r="B53" s="4" t="s">
        <v>104</v>
      </c>
      <c r="D53" s="4" t="s">
        <v>105</v>
      </c>
      <c r="F53" s="1">
        <v>0</v>
      </c>
      <c r="G53" s="1"/>
      <c r="H53" s="1">
        <v>371913.64</v>
      </c>
      <c r="I53" s="1"/>
      <c r="J53" s="1">
        <v>0</v>
      </c>
      <c r="K53" s="1"/>
      <c r="L53" s="1">
        <v>0</v>
      </c>
      <c r="M53" s="1"/>
      <c r="N53" s="1">
        <v>0</v>
      </c>
      <c r="O53" s="1"/>
      <c r="P53" s="1">
        <v>13502.23</v>
      </c>
      <c r="Q53" s="1"/>
      <c r="R53" s="1">
        <v>0</v>
      </c>
      <c r="S53" s="1"/>
      <c r="T53" s="1">
        <v>712.5</v>
      </c>
      <c r="U53" s="1"/>
      <c r="V53" s="1">
        <v>2393.25</v>
      </c>
      <c r="W53" s="1"/>
      <c r="X53" s="1">
        <v>565</v>
      </c>
      <c r="Y53" s="1"/>
      <c r="Z53" s="1">
        <v>0</v>
      </c>
      <c r="AA53" s="1"/>
      <c r="AB53" s="1">
        <v>0</v>
      </c>
      <c r="AC53" s="1"/>
      <c r="AD53" s="1">
        <v>0</v>
      </c>
      <c r="AE53" s="1"/>
      <c r="AF53" s="1">
        <v>0</v>
      </c>
      <c r="AH53" s="4">
        <f t="shared" si="1"/>
        <v>389086.62</v>
      </c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1:66" s="4" customFormat="1">
      <c r="A54" s="4">
        <v>209</v>
      </c>
      <c r="B54" s="4" t="s">
        <v>106</v>
      </c>
      <c r="D54" s="4" t="s">
        <v>25</v>
      </c>
      <c r="F54" s="1">
        <v>215961.21</v>
      </c>
      <c r="G54" s="1"/>
      <c r="H54" s="1">
        <v>504686.82</v>
      </c>
      <c r="I54" s="1"/>
      <c r="J54" s="1">
        <v>0</v>
      </c>
      <c r="K54" s="1"/>
      <c r="L54" s="1">
        <v>43688.69</v>
      </c>
      <c r="M54" s="1"/>
      <c r="N54" s="1">
        <v>0</v>
      </c>
      <c r="O54" s="1"/>
      <c r="P54" s="1">
        <v>28064.21</v>
      </c>
      <c r="Q54" s="1"/>
      <c r="R54" s="1">
        <v>0</v>
      </c>
      <c r="S54" s="1"/>
      <c r="T54" s="1">
        <v>19612.919999999998</v>
      </c>
      <c r="U54" s="1"/>
      <c r="V54" s="1">
        <v>1337.2</v>
      </c>
      <c r="W54" s="1"/>
      <c r="X54" s="1">
        <v>12648.54</v>
      </c>
      <c r="Y54" s="1"/>
      <c r="Z54" s="1">
        <v>0</v>
      </c>
      <c r="AA54" s="1"/>
      <c r="AB54" s="1">
        <v>70000</v>
      </c>
      <c r="AC54" s="1"/>
      <c r="AD54" s="1">
        <v>0</v>
      </c>
      <c r="AE54" s="1"/>
      <c r="AF54" s="1">
        <v>1367.7</v>
      </c>
      <c r="AH54" s="4">
        <f t="shared" si="1"/>
        <v>897367.28999999992</v>
      </c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1:66" s="4" customFormat="1">
      <c r="A55" s="4">
        <v>174</v>
      </c>
      <c r="B55" s="4" t="s">
        <v>107</v>
      </c>
      <c r="D55" s="4" t="s">
        <v>67</v>
      </c>
      <c r="F55" s="4">
        <v>0</v>
      </c>
      <c r="H55" s="4">
        <v>219844</v>
      </c>
      <c r="J55" s="4">
        <v>0</v>
      </c>
      <c r="L55" s="4">
        <v>0</v>
      </c>
      <c r="N55" s="4">
        <v>0</v>
      </c>
      <c r="P55" s="4">
        <v>9034</v>
      </c>
      <c r="R55" s="4">
        <v>0</v>
      </c>
      <c r="T55" s="4">
        <v>7050</v>
      </c>
      <c r="V55" s="4">
        <v>3018</v>
      </c>
      <c r="X55" s="4">
        <v>7432</v>
      </c>
      <c r="Z55" s="4">
        <v>0</v>
      </c>
      <c r="AB55" s="4">
        <v>1369</v>
      </c>
      <c r="AD55" s="4">
        <v>0</v>
      </c>
      <c r="AF55" s="4">
        <v>0</v>
      </c>
      <c r="AH55" s="4">
        <f t="shared" si="1"/>
        <v>247747</v>
      </c>
    </row>
    <row r="56" spans="1:66" s="4" customFormat="1">
      <c r="A56" s="4">
        <v>73</v>
      </c>
      <c r="B56" s="4" t="s">
        <v>108</v>
      </c>
      <c r="D56" s="4" t="s">
        <v>109</v>
      </c>
      <c r="F56" s="4">
        <v>0</v>
      </c>
      <c r="H56" s="4">
        <v>849111</v>
      </c>
      <c r="J56" s="4">
        <v>0</v>
      </c>
      <c r="L56" s="4">
        <v>0</v>
      </c>
      <c r="N56" s="4">
        <v>0</v>
      </c>
      <c r="P56" s="4">
        <v>22795</v>
      </c>
      <c r="R56" s="4">
        <v>0</v>
      </c>
      <c r="T56" s="4">
        <v>16630</v>
      </c>
      <c r="V56" s="4">
        <v>20399</v>
      </c>
      <c r="X56" s="4">
        <v>2567</v>
      </c>
      <c r="Z56" s="4">
        <v>0</v>
      </c>
      <c r="AB56" s="4">
        <v>0</v>
      </c>
      <c r="AD56" s="4">
        <v>0</v>
      </c>
      <c r="AF56" s="4">
        <v>0</v>
      </c>
      <c r="AH56" s="4">
        <f t="shared" si="1"/>
        <v>911502</v>
      </c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</row>
    <row r="57" spans="1:66" s="4" customFormat="1">
      <c r="A57" s="4">
        <v>27</v>
      </c>
      <c r="B57" s="4" t="s">
        <v>541</v>
      </c>
      <c r="D57" s="4" t="s">
        <v>47</v>
      </c>
      <c r="F57" s="1">
        <v>0</v>
      </c>
      <c r="G57" s="1"/>
      <c r="H57" s="1">
        <v>586854.86</v>
      </c>
      <c r="I57" s="1"/>
      <c r="J57" s="1">
        <v>0</v>
      </c>
      <c r="K57" s="1"/>
      <c r="L57" s="1">
        <v>0</v>
      </c>
      <c r="M57" s="1"/>
      <c r="N57" s="1">
        <v>0</v>
      </c>
      <c r="O57" s="1"/>
      <c r="P57" s="1">
        <v>31627.79</v>
      </c>
      <c r="Q57" s="1"/>
      <c r="R57" s="1">
        <v>0</v>
      </c>
      <c r="S57" s="1"/>
      <c r="T57" s="1">
        <v>6025</v>
      </c>
      <c r="U57" s="1"/>
      <c r="V57" s="1">
        <v>5507.95</v>
      </c>
      <c r="W57" s="1"/>
      <c r="X57" s="1">
        <v>2726.7</v>
      </c>
      <c r="Y57" s="1"/>
      <c r="Z57" s="1">
        <v>0</v>
      </c>
      <c r="AA57" s="1"/>
      <c r="AB57" s="1">
        <v>0</v>
      </c>
      <c r="AC57" s="1"/>
      <c r="AD57" s="1">
        <v>0</v>
      </c>
      <c r="AE57" s="1"/>
      <c r="AF57" s="1">
        <v>0</v>
      </c>
      <c r="AH57" s="4">
        <f t="shared" si="1"/>
        <v>632742.29999999993</v>
      </c>
    </row>
    <row r="58" spans="1:66" s="4" customFormat="1">
      <c r="A58" s="4">
        <v>121</v>
      </c>
      <c r="B58" s="4" t="s">
        <v>110</v>
      </c>
      <c r="D58" s="4" t="s">
        <v>16</v>
      </c>
      <c r="F58" s="4">
        <v>0</v>
      </c>
      <c r="H58" s="4">
        <v>229353</v>
      </c>
      <c r="J58" s="4">
        <v>0</v>
      </c>
      <c r="L58" s="4">
        <v>0</v>
      </c>
      <c r="N58" s="4">
        <v>0</v>
      </c>
      <c r="P58" s="4">
        <v>7193</v>
      </c>
      <c r="R58" s="4">
        <v>0</v>
      </c>
      <c r="T58" s="4">
        <v>634</v>
      </c>
      <c r="V58" s="4">
        <v>3527</v>
      </c>
      <c r="X58" s="4">
        <v>240</v>
      </c>
      <c r="Z58" s="4">
        <v>0</v>
      </c>
      <c r="AB58" s="4">
        <v>0</v>
      </c>
      <c r="AD58" s="4">
        <v>0</v>
      </c>
      <c r="AF58" s="4">
        <v>0</v>
      </c>
      <c r="AH58" s="4">
        <f t="shared" si="1"/>
        <v>240947</v>
      </c>
    </row>
    <row r="59" spans="1:66" s="4" customFormat="1">
      <c r="A59" s="4">
        <v>28</v>
      </c>
      <c r="B59" s="4" t="s">
        <v>542</v>
      </c>
      <c r="D59" s="4" t="s">
        <v>61</v>
      </c>
      <c r="F59" s="4">
        <v>101861</v>
      </c>
      <c r="H59" s="4">
        <v>591757</v>
      </c>
      <c r="J59" s="4">
        <v>0</v>
      </c>
      <c r="L59" s="4">
        <v>12431</v>
      </c>
      <c r="N59" s="4">
        <v>0</v>
      </c>
      <c r="P59" s="4">
        <v>45025</v>
      </c>
      <c r="R59" s="4">
        <v>0</v>
      </c>
      <c r="T59" s="4">
        <v>19183</v>
      </c>
      <c r="V59" s="4">
        <v>8823</v>
      </c>
      <c r="X59" s="4">
        <v>7773</v>
      </c>
      <c r="Z59" s="4">
        <v>0</v>
      </c>
      <c r="AB59" s="4">
        <v>0</v>
      </c>
      <c r="AD59" s="4">
        <v>0</v>
      </c>
      <c r="AF59" s="4">
        <v>0</v>
      </c>
      <c r="AH59" s="4">
        <f t="shared" si="1"/>
        <v>786853</v>
      </c>
    </row>
    <row r="60" spans="1:66" s="4" customFormat="1">
      <c r="A60" s="4">
        <v>199</v>
      </c>
      <c r="B60" s="4" t="s">
        <v>111</v>
      </c>
      <c r="D60" s="4" t="s">
        <v>48</v>
      </c>
      <c r="F60" s="1">
        <v>0</v>
      </c>
      <c r="G60" s="1"/>
      <c r="H60" s="1">
        <v>2166257.2599999998</v>
      </c>
      <c r="I60" s="1"/>
      <c r="J60" s="1">
        <v>0</v>
      </c>
      <c r="K60" s="1"/>
      <c r="L60" s="1">
        <v>43064</v>
      </c>
      <c r="M60" s="1"/>
      <c r="N60" s="1">
        <v>0</v>
      </c>
      <c r="O60" s="1"/>
      <c r="P60" s="1">
        <v>65047.49</v>
      </c>
      <c r="Q60" s="1"/>
      <c r="R60" s="1">
        <v>0</v>
      </c>
      <c r="S60" s="1"/>
      <c r="T60" s="1">
        <v>10147.94</v>
      </c>
      <c r="U60" s="1"/>
      <c r="V60" s="1">
        <v>3934.24</v>
      </c>
      <c r="W60" s="1"/>
      <c r="X60" s="1">
        <v>9951.0400000000009</v>
      </c>
      <c r="Y60" s="1"/>
      <c r="Z60" s="1">
        <v>0</v>
      </c>
      <c r="AA60" s="1"/>
      <c r="AB60" s="1">
        <v>0</v>
      </c>
      <c r="AC60" s="1"/>
      <c r="AD60" s="1">
        <v>0</v>
      </c>
      <c r="AE60" s="1"/>
      <c r="AF60" s="1">
        <v>0</v>
      </c>
      <c r="AH60" s="4">
        <f t="shared" si="1"/>
        <v>2298401.9700000002</v>
      </c>
    </row>
    <row r="61" spans="1:66" s="4" customFormat="1">
      <c r="A61" s="4">
        <v>199</v>
      </c>
      <c r="B61" s="4" t="s">
        <v>574</v>
      </c>
      <c r="D61" s="4" t="s">
        <v>527</v>
      </c>
      <c r="F61" s="1">
        <v>0</v>
      </c>
      <c r="G61" s="1"/>
      <c r="H61" s="1">
        <v>0</v>
      </c>
      <c r="I61" s="1"/>
      <c r="J61" s="1">
        <v>0</v>
      </c>
      <c r="K61" s="1"/>
      <c r="L61" s="1">
        <v>38844386</v>
      </c>
      <c r="M61" s="1"/>
      <c r="N61" s="1">
        <v>0</v>
      </c>
      <c r="O61" s="1"/>
      <c r="P61" s="1">
        <v>1986173</v>
      </c>
      <c r="Q61" s="1"/>
      <c r="R61" s="1">
        <v>0</v>
      </c>
      <c r="S61" s="1"/>
      <c r="T61" s="1">
        <v>147387</v>
      </c>
      <c r="U61" s="1"/>
      <c r="V61" s="1">
        <v>201158</v>
      </c>
      <c r="W61" s="1"/>
      <c r="X61" s="1">
        <v>658480</v>
      </c>
      <c r="Y61" s="1"/>
      <c r="Z61" s="1">
        <v>0</v>
      </c>
      <c r="AA61" s="1"/>
      <c r="AB61" s="1">
        <v>6680238</v>
      </c>
      <c r="AC61" s="1"/>
      <c r="AD61" s="1">
        <v>0</v>
      </c>
      <c r="AE61" s="1"/>
      <c r="AF61" s="1">
        <v>0</v>
      </c>
      <c r="AH61" s="4">
        <f t="shared" ref="AH61" si="2">SUM(F61:AF61)</f>
        <v>48517822</v>
      </c>
    </row>
    <row r="62" spans="1:66" s="4" customFormat="1">
      <c r="A62" s="4">
        <v>32</v>
      </c>
      <c r="B62" s="4" t="s">
        <v>112</v>
      </c>
      <c r="D62" s="4" t="s">
        <v>113</v>
      </c>
      <c r="F62" s="4">
        <v>3974374</v>
      </c>
      <c r="H62" s="4">
        <v>0</v>
      </c>
      <c r="J62" s="4">
        <v>0</v>
      </c>
      <c r="L62" s="4">
        <v>0</v>
      </c>
      <c r="N62" s="4">
        <v>0</v>
      </c>
      <c r="P62" s="4">
        <v>132047</v>
      </c>
      <c r="R62" s="4">
        <v>3244</v>
      </c>
      <c r="T62" s="4">
        <v>105744</v>
      </c>
      <c r="V62" s="4">
        <v>12484</v>
      </c>
      <c r="X62" s="4">
        <v>109065</v>
      </c>
      <c r="Z62" s="4">
        <v>0</v>
      </c>
      <c r="AB62" s="4">
        <v>0</v>
      </c>
      <c r="AD62" s="4">
        <v>0</v>
      </c>
      <c r="AF62" s="4">
        <v>8356</v>
      </c>
      <c r="AH62" s="4">
        <f t="shared" si="1"/>
        <v>4345314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</row>
    <row r="63" spans="1:66" s="4" customFormat="1">
      <c r="A63" s="4">
        <v>231</v>
      </c>
      <c r="B63" s="4" t="s">
        <v>298</v>
      </c>
      <c r="D63" s="4" t="s">
        <v>26</v>
      </c>
      <c r="F63" s="1">
        <v>0</v>
      </c>
      <c r="G63" s="1"/>
      <c r="H63" s="1">
        <v>359181.38</v>
      </c>
      <c r="I63" s="1"/>
      <c r="J63" s="1">
        <v>0</v>
      </c>
      <c r="K63" s="1"/>
      <c r="L63" s="1">
        <v>900</v>
      </c>
      <c r="M63" s="1"/>
      <c r="N63" s="1">
        <v>0</v>
      </c>
      <c r="O63" s="1"/>
      <c r="P63" s="1">
        <v>10511.7</v>
      </c>
      <c r="Q63" s="1"/>
      <c r="R63" s="1">
        <v>0</v>
      </c>
      <c r="S63" s="1"/>
      <c r="T63" s="1">
        <v>2139.1799999999998</v>
      </c>
      <c r="U63" s="1"/>
      <c r="V63" s="1">
        <v>19404.28</v>
      </c>
      <c r="W63" s="1"/>
      <c r="X63" s="1">
        <v>22.59</v>
      </c>
      <c r="Y63" s="1"/>
      <c r="Z63" s="1">
        <v>0</v>
      </c>
      <c r="AA63" s="1"/>
      <c r="AB63" s="1">
        <v>0</v>
      </c>
      <c r="AC63" s="1"/>
      <c r="AD63" s="1">
        <v>0</v>
      </c>
      <c r="AE63" s="1"/>
      <c r="AF63" s="1">
        <v>0</v>
      </c>
      <c r="AH63" s="4">
        <f t="shared" si="1"/>
        <v>392159.13000000006</v>
      </c>
    </row>
    <row r="64" spans="1:66" s="4" customFormat="1">
      <c r="A64" s="4">
        <v>34</v>
      </c>
      <c r="B64" s="4" t="s">
        <v>114</v>
      </c>
      <c r="D64" s="4" t="s">
        <v>115</v>
      </c>
      <c r="F64" s="4">
        <v>3404192</v>
      </c>
      <c r="H64" s="4">
        <v>0</v>
      </c>
      <c r="J64" s="4">
        <v>0</v>
      </c>
      <c r="L64" s="4">
        <v>5499242</v>
      </c>
      <c r="N64" s="4">
        <v>0</v>
      </c>
      <c r="P64" s="4">
        <v>240484</v>
      </c>
      <c r="R64" s="4">
        <v>0</v>
      </c>
      <c r="T64" s="4">
        <v>39795</v>
      </c>
      <c r="V64" s="4">
        <v>20410</v>
      </c>
      <c r="X64" s="4">
        <v>27502</v>
      </c>
      <c r="Z64" s="4">
        <v>0</v>
      </c>
      <c r="AB64" s="4">
        <v>921500</v>
      </c>
      <c r="AD64" s="4">
        <v>0</v>
      </c>
      <c r="AF64" s="4">
        <v>0</v>
      </c>
      <c r="AH64" s="4">
        <f t="shared" si="1"/>
        <v>10153125</v>
      </c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1:66" s="4" customFormat="1">
      <c r="A65" s="4">
        <v>49</v>
      </c>
      <c r="B65" s="4" t="s">
        <v>398</v>
      </c>
      <c r="D65" s="4" t="s">
        <v>19</v>
      </c>
      <c r="F65" s="4">
        <v>5962946</v>
      </c>
      <c r="H65" s="4">
        <v>0</v>
      </c>
      <c r="J65" s="4">
        <v>0</v>
      </c>
      <c r="L65" s="4">
        <v>3530889</v>
      </c>
      <c r="N65" s="4">
        <v>20784</v>
      </c>
      <c r="P65" s="4">
        <v>112203</v>
      </c>
      <c r="R65" s="4">
        <v>0</v>
      </c>
      <c r="T65" s="4">
        <v>32680</v>
      </c>
      <c r="V65" s="4">
        <v>30077</v>
      </c>
      <c r="X65" s="4">
        <v>37755</v>
      </c>
      <c r="Z65" s="4">
        <v>0</v>
      </c>
      <c r="AB65" s="4">
        <v>300000</v>
      </c>
      <c r="AD65" s="4">
        <v>0</v>
      </c>
      <c r="AF65" s="4">
        <v>118211</v>
      </c>
      <c r="AH65" s="4">
        <f t="shared" si="1"/>
        <v>10145545</v>
      </c>
    </row>
    <row r="66" spans="1:66" s="4" customFormat="1">
      <c r="A66" s="4">
        <v>50</v>
      </c>
      <c r="B66" s="4" t="s">
        <v>399</v>
      </c>
      <c r="D66" s="4" t="s">
        <v>19</v>
      </c>
      <c r="F66" s="4">
        <v>31835190</v>
      </c>
      <c r="H66" s="4">
        <v>0</v>
      </c>
      <c r="J66" s="4">
        <v>0</v>
      </c>
      <c r="L66" s="4">
        <v>30634086</v>
      </c>
      <c r="N66" s="4">
        <v>0</v>
      </c>
      <c r="P66" s="4">
        <v>332036</v>
      </c>
      <c r="R66" s="4">
        <v>2930834</v>
      </c>
      <c r="T66" s="4">
        <v>556592</v>
      </c>
      <c r="V66" s="4">
        <v>2590815</v>
      </c>
      <c r="X66" s="4">
        <v>546529</v>
      </c>
      <c r="Z66" s="4">
        <v>0</v>
      </c>
      <c r="AB66" s="4">
        <v>3029900</v>
      </c>
      <c r="AD66" s="4">
        <v>0</v>
      </c>
      <c r="AF66" s="4">
        <v>0</v>
      </c>
      <c r="AH66" s="4">
        <f t="shared" si="1"/>
        <v>72455982</v>
      </c>
    </row>
    <row r="67" spans="1:66" s="4" customFormat="1">
      <c r="A67" s="4">
        <v>201</v>
      </c>
      <c r="B67" s="4" t="s">
        <v>116</v>
      </c>
      <c r="D67" s="4" t="s">
        <v>93</v>
      </c>
      <c r="F67" s="1">
        <v>131400.13</v>
      </c>
      <c r="G67" s="1"/>
      <c r="H67" s="1">
        <v>284956.82</v>
      </c>
      <c r="I67" s="1"/>
      <c r="J67" s="1">
        <v>0</v>
      </c>
      <c r="K67" s="1"/>
      <c r="L67" s="1">
        <v>69415.070000000007</v>
      </c>
      <c r="M67" s="1"/>
      <c r="N67" s="1">
        <v>0</v>
      </c>
      <c r="O67" s="1"/>
      <c r="P67" s="1">
        <v>16459.599999999999</v>
      </c>
      <c r="Q67" s="1"/>
      <c r="R67" s="1">
        <v>0</v>
      </c>
      <c r="S67" s="1"/>
      <c r="T67" s="1">
        <v>60609.55</v>
      </c>
      <c r="U67" s="1"/>
      <c r="V67" s="1">
        <v>12235.8</v>
      </c>
      <c r="W67" s="1"/>
      <c r="X67" s="1">
        <v>1477.4</v>
      </c>
      <c r="Y67" s="1"/>
      <c r="Z67" s="1">
        <v>0</v>
      </c>
      <c r="AA67" s="1"/>
      <c r="AB67" s="1">
        <v>75589.66</v>
      </c>
      <c r="AC67" s="1"/>
      <c r="AD67" s="1">
        <v>0</v>
      </c>
      <c r="AE67" s="1"/>
      <c r="AF67" s="1">
        <v>0</v>
      </c>
      <c r="AH67" s="4">
        <f t="shared" si="1"/>
        <v>652144.03000000014</v>
      </c>
    </row>
    <row r="68" spans="1:66" s="4" customFormat="1">
      <c r="A68" s="4">
        <v>158</v>
      </c>
      <c r="B68" s="4" t="s">
        <v>462</v>
      </c>
      <c r="D68" s="4" t="s">
        <v>49</v>
      </c>
      <c r="F68" s="1">
        <v>0</v>
      </c>
      <c r="G68" s="1"/>
      <c r="H68" s="1">
        <v>208534.43</v>
      </c>
      <c r="I68" s="1"/>
      <c r="J68" s="1">
        <v>0</v>
      </c>
      <c r="K68" s="1"/>
      <c r="L68" s="1">
        <v>0</v>
      </c>
      <c r="M68" s="1"/>
      <c r="N68" s="1">
        <v>0</v>
      </c>
      <c r="O68" s="1"/>
      <c r="P68" s="1">
        <v>6945.32</v>
      </c>
      <c r="Q68" s="1"/>
      <c r="R68" s="1">
        <v>0</v>
      </c>
      <c r="S68" s="1"/>
      <c r="T68" s="1">
        <v>463.8</v>
      </c>
      <c r="U68" s="1"/>
      <c r="V68" s="1">
        <v>760.36</v>
      </c>
      <c r="W68" s="1"/>
      <c r="X68" s="1">
        <v>379</v>
      </c>
      <c r="Y68" s="1"/>
      <c r="Z68" s="1">
        <v>1012</v>
      </c>
      <c r="AA68" s="1"/>
      <c r="AB68" s="1">
        <v>0</v>
      </c>
      <c r="AC68" s="1"/>
      <c r="AD68" s="1">
        <v>0</v>
      </c>
      <c r="AE68" s="1"/>
      <c r="AF68" s="1">
        <v>0</v>
      </c>
      <c r="AH68" s="4">
        <f t="shared" si="1"/>
        <v>218094.90999999997</v>
      </c>
    </row>
    <row r="69" spans="1:66" s="4" customFormat="1">
      <c r="A69" s="4">
        <v>38</v>
      </c>
      <c r="B69" s="4" t="s">
        <v>424</v>
      </c>
      <c r="D69" s="4" t="s">
        <v>50</v>
      </c>
      <c r="F69" s="1">
        <v>0</v>
      </c>
      <c r="G69" s="1"/>
      <c r="H69" s="1">
        <v>668256.94999999995</v>
      </c>
      <c r="I69" s="1"/>
      <c r="J69" s="1">
        <v>0</v>
      </c>
      <c r="K69" s="1"/>
      <c r="L69" s="1">
        <v>0</v>
      </c>
      <c r="M69" s="1"/>
      <c r="N69" s="1">
        <v>0</v>
      </c>
      <c r="O69" s="1"/>
      <c r="P69" s="1">
        <v>39415.89</v>
      </c>
      <c r="Q69" s="1"/>
      <c r="R69" s="1">
        <v>0</v>
      </c>
      <c r="S69" s="1"/>
      <c r="T69" s="1">
        <v>4083.57</v>
      </c>
      <c r="U69" s="1"/>
      <c r="V69" s="1">
        <v>6651.49</v>
      </c>
      <c r="W69" s="1"/>
      <c r="X69" s="1">
        <v>11560.04</v>
      </c>
      <c r="Y69" s="1"/>
      <c r="Z69" s="1">
        <v>0</v>
      </c>
      <c r="AA69" s="1"/>
      <c r="AB69" s="1">
        <v>0</v>
      </c>
      <c r="AC69" s="1"/>
      <c r="AD69" s="1">
        <v>0</v>
      </c>
      <c r="AE69" s="1"/>
      <c r="AF69" s="1">
        <v>0</v>
      </c>
      <c r="AH69" s="4">
        <f t="shared" si="1"/>
        <v>729967.94</v>
      </c>
    </row>
    <row r="70" spans="1:66" s="4" customFormat="1">
      <c r="A70" s="4">
        <v>76</v>
      </c>
      <c r="B70" s="4" t="s">
        <v>117</v>
      </c>
      <c r="D70" s="4" t="s">
        <v>91</v>
      </c>
      <c r="F70" s="4">
        <v>20981764</v>
      </c>
      <c r="H70" s="4">
        <v>20062676</v>
      </c>
      <c r="J70" s="4">
        <v>0</v>
      </c>
      <c r="L70" s="4">
        <v>200822</v>
      </c>
      <c r="N70" s="4">
        <v>0</v>
      </c>
      <c r="P70" s="4">
        <v>1897114</v>
      </c>
      <c r="R70" s="4">
        <v>737266</v>
      </c>
      <c r="T70" s="4">
        <v>469506</v>
      </c>
      <c r="V70" s="4">
        <v>314371</v>
      </c>
      <c r="X70" s="4">
        <v>991260</v>
      </c>
      <c r="Z70" s="4">
        <v>0</v>
      </c>
      <c r="AB70" s="4">
        <v>0</v>
      </c>
      <c r="AD70" s="4">
        <v>0</v>
      </c>
      <c r="AF70" s="4">
        <v>0</v>
      </c>
      <c r="AH70" s="4">
        <f t="shared" si="1"/>
        <v>45654779</v>
      </c>
    </row>
    <row r="71" spans="1:66" s="4" customFormat="1">
      <c r="A71" s="4">
        <v>63</v>
      </c>
      <c r="B71" s="4" t="s">
        <v>354</v>
      </c>
      <c r="D71" s="4" t="s">
        <v>69</v>
      </c>
      <c r="F71" s="1">
        <v>0</v>
      </c>
      <c r="G71" s="1"/>
      <c r="H71" s="1">
        <v>513227.76</v>
      </c>
      <c r="I71" s="1"/>
      <c r="J71" s="1">
        <v>0</v>
      </c>
      <c r="K71" s="1"/>
      <c r="L71" s="1">
        <v>12589.74</v>
      </c>
      <c r="M71" s="1"/>
      <c r="N71" s="1">
        <v>0</v>
      </c>
      <c r="O71" s="1"/>
      <c r="P71" s="1">
        <v>20237.490000000002</v>
      </c>
      <c r="Q71" s="1"/>
      <c r="R71" s="1">
        <v>0</v>
      </c>
      <c r="S71" s="1"/>
      <c r="T71" s="1">
        <v>31845.01</v>
      </c>
      <c r="U71" s="1"/>
      <c r="V71" s="1">
        <v>5855.85</v>
      </c>
      <c r="W71" s="1"/>
      <c r="X71" s="1">
        <v>166.4</v>
      </c>
      <c r="Y71" s="1"/>
      <c r="Z71" s="1">
        <v>0</v>
      </c>
      <c r="AA71" s="1"/>
      <c r="AB71" s="1">
        <v>42000</v>
      </c>
      <c r="AC71" s="1"/>
      <c r="AD71" s="1">
        <v>0</v>
      </c>
      <c r="AE71" s="1"/>
      <c r="AF71" s="1">
        <v>0</v>
      </c>
      <c r="AH71" s="4">
        <f t="shared" si="1"/>
        <v>625922.25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</row>
    <row r="72" spans="1:66" s="4" customFormat="1">
      <c r="A72" s="4">
        <v>10</v>
      </c>
      <c r="B72" s="4" t="s">
        <v>118</v>
      </c>
      <c r="D72" s="4" t="s">
        <v>42</v>
      </c>
      <c r="F72" s="4">
        <v>448989</v>
      </c>
      <c r="H72" s="4">
        <v>0</v>
      </c>
      <c r="J72" s="4">
        <v>0</v>
      </c>
      <c r="L72" s="4">
        <v>0</v>
      </c>
      <c r="N72" s="4">
        <v>0</v>
      </c>
      <c r="P72" s="4">
        <v>8284</v>
      </c>
      <c r="R72" s="4">
        <v>235</v>
      </c>
      <c r="T72" s="4">
        <v>4041</v>
      </c>
      <c r="V72" s="4">
        <v>5795</v>
      </c>
      <c r="X72" s="4">
        <v>11864</v>
      </c>
      <c r="Z72" s="4">
        <v>0</v>
      </c>
      <c r="AB72" s="4">
        <v>0</v>
      </c>
      <c r="AD72" s="4">
        <v>0</v>
      </c>
      <c r="AF72" s="4">
        <v>0</v>
      </c>
      <c r="AH72" s="4">
        <f t="shared" si="1"/>
        <v>479208</v>
      </c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</row>
    <row r="73" spans="1:66" s="4" customFormat="1">
      <c r="A73" s="4">
        <v>45</v>
      </c>
      <c r="B73" s="4" t="s">
        <v>119</v>
      </c>
      <c r="D73" s="4" t="s">
        <v>120</v>
      </c>
      <c r="F73" s="4">
        <v>0</v>
      </c>
      <c r="H73" s="4">
        <v>1118111</v>
      </c>
      <c r="J73" s="4">
        <v>0</v>
      </c>
      <c r="L73" s="4">
        <v>8331</v>
      </c>
      <c r="N73" s="4">
        <v>0</v>
      </c>
      <c r="P73" s="4">
        <v>39265</v>
      </c>
      <c r="R73" s="4">
        <v>11923</v>
      </c>
      <c r="T73" s="4">
        <v>95605</v>
      </c>
      <c r="V73" s="4">
        <v>37428</v>
      </c>
      <c r="X73" s="4">
        <v>20935</v>
      </c>
      <c r="Z73" s="4">
        <v>0</v>
      </c>
      <c r="AB73" s="4">
        <v>55953</v>
      </c>
      <c r="AD73" s="4">
        <v>0</v>
      </c>
      <c r="AF73" s="4">
        <v>0</v>
      </c>
      <c r="AH73" s="4">
        <f t="shared" si="1"/>
        <v>1387551</v>
      </c>
    </row>
    <row r="74" spans="1:66" s="4" customFormat="1">
      <c r="A74" s="4">
        <v>47</v>
      </c>
      <c r="B74" s="4" t="s">
        <v>121</v>
      </c>
      <c r="D74" s="4" t="s">
        <v>51</v>
      </c>
      <c r="F74" s="1">
        <v>0</v>
      </c>
      <c r="G74" s="1"/>
      <c r="H74" s="1">
        <v>428719.72</v>
      </c>
      <c r="I74" s="1"/>
      <c r="J74" s="1">
        <v>0</v>
      </c>
      <c r="K74" s="1"/>
      <c r="L74" s="1">
        <v>0</v>
      </c>
      <c r="M74" s="1"/>
      <c r="N74" s="1">
        <v>0</v>
      </c>
      <c r="O74" s="1"/>
      <c r="P74" s="1">
        <v>11976.93</v>
      </c>
      <c r="Q74" s="1"/>
      <c r="R74" s="1">
        <v>0</v>
      </c>
      <c r="S74" s="1"/>
      <c r="T74" s="1">
        <v>10939.32</v>
      </c>
      <c r="U74" s="1"/>
      <c r="V74" s="1">
        <v>47571.18</v>
      </c>
      <c r="W74" s="1"/>
      <c r="X74" s="1">
        <v>1535.14</v>
      </c>
      <c r="Y74" s="1"/>
      <c r="Z74" s="1">
        <v>0</v>
      </c>
      <c r="AA74" s="1"/>
      <c r="AB74" s="1">
        <v>0</v>
      </c>
      <c r="AC74" s="1"/>
      <c r="AD74" s="1">
        <v>0</v>
      </c>
      <c r="AE74" s="1"/>
      <c r="AF74" s="1">
        <v>0</v>
      </c>
      <c r="AH74" s="4">
        <f t="shared" ref="AH74:AH85" si="3">SUM(F74:AF74)</f>
        <v>500742.29</v>
      </c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</row>
    <row r="75" spans="1:66" s="4" customFormat="1">
      <c r="A75" s="4">
        <v>51</v>
      </c>
      <c r="B75" s="4" t="s">
        <v>543</v>
      </c>
      <c r="D75" s="4" t="s">
        <v>19</v>
      </c>
      <c r="F75" s="4">
        <v>42162129</v>
      </c>
      <c r="H75" s="4">
        <v>0</v>
      </c>
      <c r="J75" s="4">
        <v>0</v>
      </c>
      <c r="L75" s="4">
        <v>27877926</v>
      </c>
      <c r="N75" s="4">
        <v>40081</v>
      </c>
      <c r="P75" s="4">
        <v>774172</v>
      </c>
      <c r="R75" s="4">
        <v>0</v>
      </c>
      <c r="T75" s="4">
        <v>465473</v>
      </c>
      <c r="V75" s="4">
        <v>303543</v>
      </c>
      <c r="X75" s="4">
        <f>334798+26837</f>
        <v>361635</v>
      </c>
      <c r="Z75" s="4">
        <v>750</v>
      </c>
      <c r="AB75" s="4">
        <v>10125000</v>
      </c>
      <c r="AD75" s="4">
        <v>0</v>
      </c>
      <c r="AF75" s="4">
        <v>0</v>
      </c>
      <c r="AH75" s="4">
        <f t="shared" si="3"/>
        <v>82110709</v>
      </c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</row>
    <row r="76" spans="1:66" s="4" customFormat="1">
      <c r="B76" s="4" t="s">
        <v>566</v>
      </c>
      <c r="D76" s="4" t="s">
        <v>22</v>
      </c>
      <c r="F76" s="4">
        <v>1008620</v>
      </c>
      <c r="H76" s="4">
        <v>1316667</v>
      </c>
      <c r="J76" s="4">
        <v>0</v>
      </c>
      <c r="L76" s="4">
        <v>0</v>
      </c>
      <c r="N76" s="4">
        <v>0</v>
      </c>
      <c r="P76" s="4">
        <v>13464</v>
      </c>
      <c r="R76" s="4">
        <v>0</v>
      </c>
      <c r="T76" s="4">
        <v>11773</v>
      </c>
      <c r="V76" s="4">
        <v>7467</v>
      </c>
      <c r="X76" s="4">
        <v>3555</v>
      </c>
      <c r="Z76" s="4">
        <v>0</v>
      </c>
      <c r="AB76" s="4">
        <v>0</v>
      </c>
      <c r="AD76" s="4">
        <v>0</v>
      </c>
      <c r="AF76" s="4">
        <v>0</v>
      </c>
      <c r="AH76" s="4">
        <f t="shared" si="3"/>
        <v>2361546</v>
      </c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</row>
    <row r="77" spans="1:66" s="4" customFormat="1">
      <c r="A77" s="4">
        <v>169</v>
      </c>
      <c r="B77" s="4" t="s">
        <v>122</v>
      </c>
      <c r="D77" s="4" t="s">
        <v>54</v>
      </c>
      <c r="F77" s="4">
        <v>7850485</v>
      </c>
      <c r="H77" s="4">
        <v>0</v>
      </c>
      <c r="J77" s="4">
        <v>0</v>
      </c>
      <c r="L77" s="4">
        <v>17672232</v>
      </c>
      <c r="N77" s="4">
        <v>0</v>
      </c>
      <c r="P77" s="4">
        <v>641484</v>
      </c>
      <c r="R77" s="4">
        <v>98804</v>
      </c>
      <c r="T77" s="4">
        <v>72174</v>
      </c>
      <c r="V77" s="4">
        <v>135555</v>
      </c>
      <c r="X77" s="4">
        <v>65596</v>
      </c>
      <c r="Z77" s="4">
        <v>0</v>
      </c>
      <c r="AB77" s="4">
        <v>134294</v>
      </c>
      <c r="AD77" s="4">
        <v>0</v>
      </c>
      <c r="AF77" s="4">
        <v>0</v>
      </c>
      <c r="AH77" s="4">
        <f t="shared" si="3"/>
        <v>26670624</v>
      </c>
    </row>
    <row r="78" spans="1:66" s="4" customFormat="1">
      <c r="A78" s="4">
        <v>62</v>
      </c>
      <c r="B78" s="4" t="s">
        <v>123</v>
      </c>
      <c r="D78" s="4" t="s">
        <v>124</v>
      </c>
      <c r="F78" s="4">
        <f>503190+6874</f>
        <v>510064</v>
      </c>
      <c r="H78" s="4">
        <f>1204549+1238</f>
        <v>1205787</v>
      </c>
      <c r="J78" s="4">
        <v>0</v>
      </c>
      <c r="L78" s="4">
        <v>0</v>
      </c>
      <c r="N78" s="4">
        <v>0</v>
      </c>
      <c r="P78" s="4">
        <v>30120</v>
      </c>
      <c r="R78" s="4">
        <v>319</v>
      </c>
      <c r="T78" s="4">
        <v>71845</v>
      </c>
      <c r="V78" s="4">
        <v>5033</v>
      </c>
      <c r="X78" s="4">
        <v>17328</v>
      </c>
      <c r="Z78" s="4">
        <v>0</v>
      </c>
      <c r="AB78" s="4">
        <v>0</v>
      </c>
      <c r="AD78" s="4">
        <v>0</v>
      </c>
      <c r="AF78" s="4">
        <v>0</v>
      </c>
      <c r="AH78" s="4">
        <f t="shared" si="3"/>
        <v>1840496</v>
      </c>
    </row>
    <row r="79" spans="1:66" s="4" customFormat="1">
      <c r="A79" s="4">
        <v>64</v>
      </c>
      <c r="B79" s="4" t="s">
        <v>125</v>
      </c>
      <c r="D79" s="4" t="s">
        <v>69</v>
      </c>
      <c r="F79" s="4">
        <v>167196</v>
      </c>
      <c r="H79" s="4">
        <v>1666758</v>
      </c>
      <c r="J79" s="4">
        <v>0</v>
      </c>
      <c r="L79" s="4">
        <v>38357</v>
      </c>
      <c r="N79" s="4">
        <v>0</v>
      </c>
      <c r="P79" s="4">
        <v>59175</v>
      </c>
      <c r="R79" s="4">
        <v>0</v>
      </c>
      <c r="T79" s="4">
        <v>394289</v>
      </c>
      <c r="V79" s="4">
        <v>6642</v>
      </c>
      <c r="X79" s="4">
        <v>8520304</v>
      </c>
      <c r="Z79" s="4">
        <v>0</v>
      </c>
      <c r="AB79" s="4">
        <v>0</v>
      </c>
      <c r="AD79" s="4">
        <v>0</v>
      </c>
      <c r="AF79" s="4">
        <v>0</v>
      </c>
      <c r="AH79" s="4">
        <f t="shared" si="3"/>
        <v>10852721</v>
      </c>
    </row>
    <row r="80" spans="1:66" s="4" customFormat="1">
      <c r="A80" s="4">
        <v>4</v>
      </c>
      <c r="B80" s="4" t="s">
        <v>126</v>
      </c>
      <c r="D80" s="4" t="s">
        <v>96</v>
      </c>
      <c r="F80" s="1">
        <v>36382.97</v>
      </c>
      <c r="G80" s="1"/>
      <c r="H80" s="1">
        <v>355955.01</v>
      </c>
      <c r="I80" s="1"/>
      <c r="J80" s="1">
        <v>0</v>
      </c>
      <c r="K80" s="1"/>
      <c r="L80" s="1">
        <v>20407.12</v>
      </c>
      <c r="M80" s="1"/>
      <c r="N80" s="1">
        <v>0</v>
      </c>
      <c r="O80" s="1"/>
      <c r="P80" s="1">
        <v>7700.22</v>
      </c>
      <c r="Q80" s="1"/>
      <c r="R80" s="1">
        <v>0</v>
      </c>
      <c r="S80" s="1"/>
      <c r="T80" s="1">
        <v>25469.43</v>
      </c>
      <c r="U80" s="1"/>
      <c r="V80" s="1">
        <v>6237.87</v>
      </c>
      <c r="W80" s="1"/>
      <c r="X80" s="1">
        <v>6560.67</v>
      </c>
      <c r="Y80" s="1"/>
      <c r="Z80" s="1">
        <v>0</v>
      </c>
      <c r="AA80" s="1"/>
      <c r="AB80" s="1">
        <v>0</v>
      </c>
      <c r="AC80" s="1"/>
      <c r="AD80" s="1">
        <v>0</v>
      </c>
      <c r="AE80" s="1"/>
      <c r="AF80" s="1">
        <v>0</v>
      </c>
      <c r="AH80" s="4">
        <f t="shared" si="3"/>
        <v>458713.28999999992</v>
      </c>
    </row>
    <row r="81" spans="1:66" s="4" customFormat="1">
      <c r="A81" s="4">
        <v>83</v>
      </c>
      <c r="B81" s="4" t="s">
        <v>127</v>
      </c>
      <c r="D81" s="4" t="s">
        <v>41</v>
      </c>
      <c r="F81" s="1">
        <v>92240.1</v>
      </c>
      <c r="G81" s="1"/>
      <c r="H81" s="1">
        <v>240589.05</v>
      </c>
      <c r="I81" s="1"/>
      <c r="J81" s="1">
        <v>0</v>
      </c>
      <c r="K81" s="1"/>
      <c r="L81" s="1">
        <v>25921.08</v>
      </c>
      <c r="M81" s="1"/>
      <c r="N81" s="1">
        <v>0</v>
      </c>
      <c r="O81" s="1"/>
      <c r="P81" s="1">
        <v>15723.24</v>
      </c>
      <c r="Q81" s="1"/>
      <c r="R81" s="1">
        <v>0</v>
      </c>
      <c r="S81" s="1"/>
      <c r="T81" s="1">
        <v>4260.5600000000004</v>
      </c>
      <c r="U81" s="1"/>
      <c r="V81" s="1">
        <v>1526.67</v>
      </c>
      <c r="W81" s="1"/>
      <c r="X81" s="1">
        <v>0</v>
      </c>
      <c r="Y81" s="1"/>
      <c r="Z81" s="1">
        <v>1.3</v>
      </c>
      <c r="AA81" s="1"/>
      <c r="AB81" s="1">
        <v>0</v>
      </c>
      <c r="AC81" s="1"/>
      <c r="AD81" s="1">
        <v>0</v>
      </c>
      <c r="AE81" s="1"/>
      <c r="AF81" s="1">
        <v>0</v>
      </c>
      <c r="AH81" s="4">
        <f t="shared" si="3"/>
        <v>380262</v>
      </c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</row>
    <row r="82" spans="1:66" s="4" customFormat="1">
      <c r="A82" s="4">
        <v>258</v>
      </c>
      <c r="B82" s="4" t="s">
        <v>128</v>
      </c>
      <c r="D82" s="4" t="s">
        <v>62</v>
      </c>
      <c r="F82" s="4">
        <v>0</v>
      </c>
      <c r="H82" s="4">
        <v>247776</v>
      </c>
      <c r="J82" s="4">
        <v>0</v>
      </c>
      <c r="L82" s="4">
        <v>0</v>
      </c>
      <c r="N82" s="4">
        <v>0</v>
      </c>
      <c r="P82" s="4">
        <v>11111</v>
      </c>
      <c r="R82" s="4">
        <v>0</v>
      </c>
      <c r="T82" s="4">
        <v>47223</v>
      </c>
      <c r="V82" s="4">
        <v>6792</v>
      </c>
      <c r="X82" s="4">
        <v>0</v>
      </c>
      <c r="Z82" s="4">
        <v>0</v>
      </c>
      <c r="AB82" s="4">
        <v>0</v>
      </c>
      <c r="AD82" s="4">
        <v>0</v>
      </c>
      <c r="AF82" s="4">
        <v>0</v>
      </c>
      <c r="AH82" s="4">
        <f t="shared" si="3"/>
        <v>312902</v>
      </c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</row>
    <row r="83" spans="1:66" s="4" customFormat="1">
      <c r="A83" s="4">
        <v>232</v>
      </c>
      <c r="B83" s="4" t="s">
        <v>129</v>
      </c>
      <c r="D83" s="4" t="s">
        <v>26</v>
      </c>
      <c r="F83" s="4">
        <v>602879</v>
      </c>
      <c r="H83" s="4">
        <v>0</v>
      </c>
      <c r="J83" s="4">
        <v>0</v>
      </c>
      <c r="L83" s="4">
        <v>0</v>
      </c>
      <c r="N83" s="4">
        <v>0</v>
      </c>
      <c r="P83" s="4">
        <v>28213</v>
      </c>
      <c r="R83" s="4">
        <v>0</v>
      </c>
      <c r="T83" s="4">
        <v>640</v>
      </c>
      <c r="V83" s="4">
        <v>2844</v>
      </c>
      <c r="X83" s="4">
        <v>3565</v>
      </c>
      <c r="Z83" s="4">
        <v>0</v>
      </c>
      <c r="AB83" s="4">
        <v>0</v>
      </c>
      <c r="AD83" s="4">
        <v>0</v>
      </c>
      <c r="AF83" s="4">
        <v>0</v>
      </c>
      <c r="AH83" s="4">
        <f t="shared" si="3"/>
        <v>638141</v>
      </c>
    </row>
    <row r="84" spans="1:66" s="4" customFormat="1">
      <c r="A84" s="4">
        <v>88</v>
      </c>
      <c r="B84" s="4" t="s">
        <v>333</v>
      </c>
      <c r="D84" s="4" t="s">
        <v>130</v>
      </c>
      <c r="F84" s="1">
        <v>150113.31</v>
      </c>
      <c r="G84" s="1"/>
      <c r="H84" s="1">
        <v>959313.01</v>
      </c>
      <c r="I84" s="1"/>
      <c r="J84" s="1">
        <v>0</v>
      </c>
      <c r="K84" s="1"/>
      <c r="L84" s="1">
        <v>67231.259999999995</v>
      </c>
      <c r="M84" s="1"/>
      <c r="N84" s="1">
        <v>0</v>
      </c>
      <c r="O84" s="1"/>
      <c r="P84" s="1">
        <v>42897.5</v>
      </c>
      <c r="Q84" s="1"/>
      <c r="R84" s="1">
        <v>0</v>
      </c>
      <c r="S84" s="1"/>
      <c r="T84" s="1">
        <v>9249.0400000000009</v>
      </c>
      <c r="U84" s="1"/>
      <c r="V84" s="1">
        <v>7651.88</v>
      </c>
      <c r="W84" s="1"/>
      <c r="X84" s="1">
        <v>19959.72</v>
      </c>
      <c r="Y84" s="1"/>
      <c r="Z84" s="1">
        <v>635.73</v>
      </c>
      <c r="AA84" s="1"/>
      <c r="AB84" s="1">
        <v>250000</v>
      </c>
      <c r="AC84" s="1"/>
      <c r="AD84" s="1">
        <v>0</v>
      </c>
      <c r="AE84" s="1"/>
      <c r="AF84" s="1">
        <v>0</v>
      </c>
      <c r="AH84" s="4">
        <f t="shared" si="3"/>
        <v>1507051.45</v>
      </c>
    </row>
    <row r="85" spans="1:66" s="4" customFormat="1">
      <c r="A85" s="4">
        <v>138</v>
      </c>
      <c r="B85" s="4" t="s">
        <v>131</v>
      </c>
      <c r="D85" s="4" t="s">
        <v>86</v>
      </c>
      <c r="F85" s="4">
        <v>51573</v>
      </c>
      <c r="H85" s="4">
        <v>20435</v>
      </c>
      <c r="J85" s="4">
        <v>0</v>
      </c>
      <c r="L85" s="4">
        <v>3074</v>
      </c>
      <c r="N85" s="4">
        <v>0</v>
      </c>
      <c r="P85" s="4">
        <v>59</v>
      </c>
      <c r="R85" s="4">
        <v>0</v>
      </c>
      <c r="T85" s="4">
        <v>830</v>
      </c>
      <c r="V85" s="4">
        <v>2273</v>
      </c>
      <c r="X85" s="4">
        <v>0</v>
      </c>
      <c r="Z85" s="4">
        <v>0</v>
      </c>
      <c r="AB85" s="4">
        <v>0</v>
      </c>
      <c r="AD85" s="4">
        <v>0</v>
      </c>
      <c r="AF85" s="4">
        <v>0</v>
      </c>
      <c r="AH85" s="4">
        <f t="shared" si="3"/>
        <v>78244</v>
      </c>
    </row>
    <row r="86" spans="1:66" s="4" customFormat="1"/>
    <row r="87" spans="1:66" s="4" customFormat="1">
      <c r="AH87" s="27" t="s">
        <v>538</v>
      </c>
    </row>
    <row r="88" spans="1:66">
      <c r="B88" s="3" t="s">
        <v>493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66">
      <c r="B89" s="3" t="s">
        <v>565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66">
      <c r="B90" s="24" t="s">
        <v>7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66"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66" s="19" customFormat="1">
      <c r="F92" s="17"/>
      <c r="G92" s="17"/>
      <c r="H92" s="17" t="s">
        <v>279</v>
      </c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66" s="19" customFormat="1">
      <c r="F93" s="17" t="s">
        <v>31</v>
      </c>
      <c r="G93" s="17"/>
      <c r="H93" s="17" t="s">
        <v>280</v>
      </c>
      <c r="I93" s="17"/>
      <c r="J93" s="17"/>
      <c r="K93" s="17"/>
      <c r="L93" s="17"/>
      <c r="M93" s="17"/>
      <c r="N93" s="17"/>
      <c r="O93" s="17"/>
      <c r="P93" s="17"/>
      <c r="Q93" s="17"/>
      <c r="R93" s="17" t="s">
        <v>29</v>
      </c>
      <c r="S93" s="17"/>
      <c r="T93" s="17" t="s">
        <v>286</v>
      </c>
      <c r="U93" s="17"/>
      <c r="V93" s="17"/>
      <c r="W93" s="17"/>
      <c r="X93" s="17"/>
      <c r="Y93" s="17"/>
      <c r="Z93" s="17" t="s">
        <v>291</v>
      </c>
      <c r="AA93" s="17"/>
      <c r="AB93" s="17"/>
      <c r="AC93" s="17"/>
      <c r="AD93" s="17"/>
      <c r="AE93" s="17"/>
      <c r="AF93" s="17" t="s">
        <v>0</v>
      </c>
      <c r="AG93" s="17"/>
      <c r="AH93" s="17"/>
    </row>
    <row r="94" spans="1:66" s="19" customFormat="1" ht="12" customHeight="1">
      <c r="F94" s="17" t="s">
        <v>0</v>
      </c>
      <c r="G94" s="17"/>
      <c r="H94" s="17" t="s">
        <v>281</v>
      </c>
      <c r="I94" s="17"/>
      <c r="J94" s="17" t="s">
        <v>503</v>
      </c>
      <c r="K94" s="17"/>
      <c r="L94" s="17" t="s">
        <v>345</v>
      </c>
      <c r="M94" s="17"/>
      <c r="N94" s="17"/>
      <c r="O94" s="17"/>
      <c r="P94" s="17" t="s">
        <v>283</v>
      </c>
      <c r="Q94" s="17"/>
      <c r="R94" s="17" t="s">
        <v>285</v>
      </c>
      <c r="S94" s="17"/>
      <c r="T94" s="17" t="s">
        <v>287</v>
      </c>
      <c r="U94" s="17"/>
      <c r="V94" s="17" t="s">
        <v>289</v>
      </c>
      <c r="W94" s="17"/>
      <c r="X94" s="17"/>
      <c r="Y94" s="17"/>
      <c r="Z94" s="17" t="s">
        <v>292</v>
      </c>
      <c r="AA94" s="17"/>
      <c r="AB94" s="17"/>
      <c r="AC94" s="17"/>
      <c r="AD94" s="17"/>
      <c r="AE94" s="17"/>
      <c r="AF94" s="17" t="s">
        <v>293</v>
      </c>
      <c r="AG94" s="17"/>
      <c r="AH94" s="17"/>
    </row>
    <row r="95" spans="1:66" s="19" customFormat="1" ht="12" customHeight="1">
      <c r="A95" s="19" t="s">
        <v>525</v>
      </c>
      <c r="B95" s="20"/>
      <c r="C95" s="28"/>
      <c r="D95" s="20" t="s">
        <v>6</v>
      </c>
      <c r="E95" s="28"/>
      <c r="F95" s="36" t="s">
        <v>278</v>
      </c>
      <c r="G95" s="33"/>
      <c r="H95" s="36" t="s">
        <v>282</v>
      </c>
      <c r="I95" s="33"/>
      <c r="J95" s="36" t="s">
        <v>504</v>
      </c>
      <c r="K95" s="33"/>
      <c r="L95" s="36" t="s">
        <v>346</v>
      </c>
      <c r="M95" s="33"/>
      <c r="N95" s="36" t="s">
        <v>505</v>
      </c>
      <c r="O95" s="33"/>
      <c r="P95" s="36" t="s">
        <v>284</v>
      </c>
      <c r="Q95" s="33"/>
      <c r="R95" s="36" t="s">
        <v>507</v>
      </c>
      <c r="S95" s="33"/>
      <c r="T95" s="36" t="s">
        <v>288</v>
      </c>
      <c r="U95" s="33"/>
      <c r="V95" s="36" t="s">
        <v>290</v>
      </c>
      <c r="W95" s="33"/>
      <c r="X95" s="36" t="s">
        <v>1</v>
      </c>
      <c r="Y95" s="33"/>
      <c r="Z95" s="36" t="s">
        <v>32</v>
      </c>
      <c r="AA95" s="33"/>
      <c r="AB95" s="36" t="s">
        <v>479</v>
      </c>
      <c r="AC95" s="33"/>
      <c r="AD95" s="36" t="s">
        <v>480</v>
      </c>
      <c r="AE95" s="33"/>
      <c r="AF95" s="36" t="s">
        <v>294</v>
      </c>
      <c r="AG95" s="33"/>
      <c r="AH95" s="23" t="s">
        <v>28</v>
      </c>
    </row>
    <row r="96" spans="1:66" s="4" customFormat="1">
      <c r="A96" s="4">
        <v>52</v>
      </c>
      <c r="B96" s="4" t="s">
        <v>426</v>
      </c>
      <c r="D96" s="4" t="s">
        <v>19</v>
      </c>
      <c r="F96" s="2">
        <v>1430866.67</v>
      </c>
      <c r="G96" s="2"/>
      <c r="H96" s="2">
        <v>1366435.6</v>
      </c>
      <c r="I96" s="2"/>
      <c r="J96" s="2">
        <v>0</v>
      </c>
      <c r="K96" s="2"/>
      <c r="L96" s="2">
        <v>58000</v>
      </c>
      <c r="M96" s="2"/>
      <c r="N96" s="2">
        <v>0</v>
      </c>
      <c r="O96" s="2"/>
      <c r="P96" s="2">
        <v>4039.27</v>
      </c>
      <c r="Q96" s="2"/>
      <c r="R96" s="2">
        <v>0</v>
      </c>
      <c r="S96" s="2"/>
      <c r="T96" s="2">
        <v>10062.26</v>
      </c>
      <c r="U96" s="2"/>
      <c r="V96" s="2">
        <v>276.27</v>
      </c>
      <c r="W96" s="2"/>
      <c r="X96" s="2">
        <v>7164.13</v>
      </c>
      <c r="Y96" s="2"/>
      <c r="Z96" s="2">
        <v>0</v>
      </c>
      <c r="AA96" s="2"/>
      <c r="AB96" s="2">
        <v>0</v>
      </c>
      <c r="AC96" s="2"/>
      <c r="AD96" s="2">
        <v>0</v>
      </c>
      <c r="AE96" s="2"/>
      <c r="AF96" s="2">
        <v>0</v>
      </c>
      <c r="AG96" s="5"/>
      <c r="AH96" s="5">
        <f t="shared" ref="AH96" si="4">SUM(F96:AF96)</f>
        <v>2876844.1999999997</v>
      </c>
    </row>
    <row r="97" spans="1:66" s="5" customFormat="1">
      <c r="A97" s="5">
        <v>39</v>
      </c>
      <c r="B97" s="5" t="s">
        <v>514</v>
      </c>
      <c r="D97" s="5" t="s">
        <v>50</v>
      </c>
      <c r="F97" s="1">
        <v>0</v>
      </c>
      <c r="G97" s="1"/>
      <c r="H97" s="1">
        <v>619346.84</v>
      </c>
      <c r="I97" s="1"/>
      <c r="J97" s="1">
        <v>0</v>
      </c>
      <c r="K97" s="1"/>
      <c r="L97" s="1">
        <v>4150</v>
      </c>
      <c r="M97" s="1"/>
      <c r="N97" s="1">
        <v>0</v>
      </c>
      <c r="O97" s="1"/>
      <c r="P97" s="1">
        <v>10618.76</v>
      </c>
      <c r="Q97" s="1"/>
      <c r="R97" s="1">
        <v>0</v>
      </c>
      <c r="S97" s="1"/>
      <c r="T97" s="1">
        <v>3163.85</v>
      </c>
      <c r="U97" s="1"/>
      <c r="V97" s="1">
        <v>3492.14</v>
      </c>
      <c r="W97" s="1"/>
      <c r="X97" s="1">
        <v>22081.94</v>
      </c>
      <c r="Y97" s="1"/>
      <c r="Z97" s="1">
        <v>0</v>
      </c>
      <c r="AA97" s="1"/>
      <c r="AB97" s="1">
        <v>0</v>
      </c>
      <c r="AC97" s="1"/>
      <c r="AD97" s="1">
        <v>0</v>
      </c>
      <c r="AE97" s="1"/>
      <c r="AF97" s="1">
        <v>0</v>
      </c>
      <c r="AH97" s="5">
        <f t="shared" ref="AH97:AH129" si="5">SUM(F97:AF97)</f>
        <v>662853.52999999991</v>
      </c>
    </row>
    <row r="98" spans="1:66" s="4" customFormat="1">
      <c r="A98" s="4">
        <v>40</v>
      </c>
      <c r="B98" s="4" t="s">
        <v>132</v>
      </c>
      <c r="D98" s="4" t="s">
        <v>50</v>
      </c>
      <c r="F98" s="1">
        <v>0</v>
      </c>
      <c r="G98" s="1"/>
      <c r="H98" s="1">
        <v>362798.43</v>
      </c>
      <c r="I98" s="1"/>
      <c r="J98" s="1">
        <v>0</v>
      </c>
      <c r="K98" s="1"/>
      <c r="L98" s="1">
        <v>0</v>
      </c>
      <c r="M98" s="1"/>
      <c r="N98" s="1">
        <v>0</v>
      </c>
      <c r="O98" s="1"/>
      <c r="P98" s="1">
        <v>17166.560000000001</v>
      </c>
      <c r="Q98" s="1"/>
      <c r="R98" s="1">
        <v>0</v>
      </c>
      <c r="S98" s="1"/>
      <c r="T98" s="1">
        <v>1890.26</v>
      </c>
      <c r="U98" s="1"/>
      <c r="V98" s="1">
        <v>8380.98</v>
      </c>
      <c r="W98" s="1"/>
      <c r="X98" s="1">
        <v>1447.03</v>
      </c>
      <c r="Y98" s="1"/>
      <c r="Z98" s="1">
        <v>0</v>
      </c>
      <c r="AA98" s="1"/>
      <c r="AB98" s="1">
        <v>0</v>
      </c>
      <c r="AC98" s="1"/>
      <c r="AD98" s="1">
        <v>0</v>
      </c>
      <c r="AE98" s="1"/>
      <c r="AF98" s="1">
        <v>0</v>
      </c>
      <c r="AH98" s="4">
        <f t="shared" si="5"/>
        <v>391683.26</v>
      </c>
    </row>
    <row r="99" spans="1:66" s="4" customFormat="1">
      <c r="A99" s="4">
        <v>155</v>
      </c>
      <c r="B99" s="4" t="s">
        <v>400</v>
      </c>
      <c r="D99" s="4" t="s">
        <v>20</v>
      </c>
      <c r="F99" s="4">
        <f>871309+938014</f>
        <v>1809323</v>
      </c>
      <c r="H99" s="4">
        <v>0</v>
      </c>
      <c r="J99" s="4">
        <v>0</v>
      </c>
      <c r="L99" s="4">
        <v>142567</v>
      </c>
      <c r="N99" s="4">
        <v>0</v>
      </c>
      <c r="P99" s="4">
        <v>65943</v>
      </c>
      <c r="R99" s="4">
        <v>1860</v>
      </c>
      <c r="T99" s="4">
        <v>20508</v>
      </c>
      <c r="V99" s="4">
        <v>43640</v>
      </c>
      <c r="X99" s="4">
        <v>2695</v>
      </c>
      <c r="Z99" s="4">
        <v>0</v>
      </c>
      <c r="AB99" s="4">
        <v>0</v>
      </c>
      <c r="AD99" s="4">
        <v>0</v>
      </c>
      <c r="AF99" s="4">
        <v>0</v>
      </c>
      <c r="AH99" s="4">
        <f t="shared" si="5"/>
        <v>2086536</v>
      </c>
    </row>
    <row r="100" spans="1:66" s="4" customFormat="1">
      <c r="A100" s="4">
        <v>142</v>
      </c>
      <c r="B100" s="4" t="s">
        <v>133</v>
      </c>
      <c r="D100" s="4" t="s">
        <v>56</v>
      </c>
      <c r="F100" s="4">
        <v>964157</v>
      </c>
      <c r="H100" s="4">
        <v>2028819</v>
      </c>
      <c r="J100" s="4">
        <v>104324</v>
      </c>
      <c r="L100" s="4">
        <v>0</v>
      </c>
      <c r="N100" s="4">
        <v>0</v>
      </c>
      <c r="P100" s="4">
        <v>0</v>
      </c>
      <c r="R100" s="4">
        <v>0</v>
      </c>
      <c r="T100" s="4">
        <v>35018</v>
      </c>
      <c r="V100" s="4">
        <v>43833</v>
      </c>
      <c r="X100" s="4">
        <v>9684</v>
      </c>
      <c r="Z100" s="4">
        <v>0</v>
      </c>
      <c r="AB100" s="4">
        <v>0</v>
      </c>
      <c r="AD100" s="4">
        <v>0</v>
      </c>
      <c r="AF100" s="4">
        <v>0</v>
      </c>
      <c r="AH100" s="4">
        <f t="shared" si="5"/>
        <v>3185835</v>
      </c>
    </row>
    <row r="101" spans="1:66" s="4" customFormat="1">
      <c r="A101" s="4">
        <v>53</v>
      </c>
      <c r="B101" s="4" t="s">
        <v>18</v>
      </c>
      <c r="D101" s="4" t="s">
        <v>19</v>
      </c>
      <c r="F101" s="4">
        <v>2298462</v>
      </c>
      <c r="H101" s="4">
        <f>1745397+1250</f>
        <v>1746647</v>
      </c>
      <c r="J101" s="4">
        <v>0</v>
      </c>
      <c r="L101" s="4">
        <v>577325</v>
      </c>
      <c r="N101" s="4">
        <v>0</v>
      </c>
      <c r="P101" s="4">
        <v>112813</v>
      </c>
      <c r="R101" s="4">
        <v>0</v>
      </c>
      <c r="T101" s="4">
        <v>900</v>
      </c>
      <c r="V101" s="4">
        <v>76942</v>
      </c>
      <c r="X101" s="4">
        <v>17770</v>
      </c>
      <c r="Z101" s="4">
        <v>0</v>
      </c>
      <c r="AB101" s="4">
        <v>0</v>
      </c>
      <c r="AD101" s="4">
        <v>0</v>
      </c>
      <c r="AF101" s="4">
        <v>0</v>
      </c>
      <c r="AH101" s="4">
        <f t="shared" si="5"/>
        <v>4830859</v>
      </c>
    </row>
    <row r="102" spans="1:66" s="4" customFormat="1">
      <c r="A102" s="4">
        <v>84</v>
      </c>
      <c r="B102" s="4" t="s">
        <v>134</v>
      </c>
      <c r="D102" s="4" t="s">
        <v>41</v>
      </c>
      <c r="F102" s="1">
        <v>0</v>
      </c>
      <c r="G102" s="1"/>
      <c r="H102" s="1">
        <v>263679.84000000003</v>
      </c>
      <c r="I102" s="1"/>
      <c r="J102" s="1">
        <v>0</v>
      </c>
      <c r="K102" s="1"/>
      <c r="L102" s="1">
        <v>0</v>
      </c>
      <c r="M102" s="1"/>
      <c r="N102" s="1">
        <v>0</v>
      </c>
      <c r="O102" s="1"/>
      <c r="P102" s="1">
        <v>7282.72</v>
      </c>
      <c r="Q102" s="1"/>
      <c r="R102" s="1">
        <v>0</v>
      </c>
      <c r="S102" s="1"/>
      <c r="T102" s="1">
        <v>10351.5</v>
      </c>
      <c r="U102" s="1"/>
      <c r="V102" s="1">
        <v>541.91</v>
      </c>
      <c r="W102" s="1"/>
      <c r="X102" s="1">
        <v>6569.18</v>
      </c>
      <c r="Y102" s="1"/>
      <c r="Z102" s="1">
        <v>0</v>
      </c>
      <c r="AA102" s="1"/>
      <c r="AB102" s="1">
        <v>0</v>
      </c>
      <c r="AC102" s="1"/>
      <c r="AD102" s="1">
        <v>0</v>
      </c>
      <c r="AE102" s="1"/>
      <c r="AF102" s="1">
        <v>0</v>
      </c>
      <c r="AH102" s="4">
        <f t="shared" si="5"/>
        <v>288425.14999999997</v>
      </c>
    </row>
    <row r="103" spans="1:66" s="4" customFormat="1">
      <c r="A103" s="4">
        <v>70</v>
      </c>
      <c r="B103" s="4" t="s">
        <v>408</v>
      </c>
      <c r="D103" s="4" t="s">
        <v>66</v>
      </c>
      <c r="F103" s="4">
        <v>923506</v>
      </c>
      <c r="H103" s="4">
        <v>2309181</v>
      </c>
      <c r="J103" s="4">
        <v>0</v>
      </c>
      <c r="L103" s="4">
        <v>15290</v>
      </c>
      <c r="N103" s="4">
        <v>0</v>
      </c>
      <c r="P103" s="4">
        <v>140720</v>
      </c>
      <c r="R103" s="4">
        <v>0</v>
      </c>
      <c r="T103" s="4">
        <v>6032</v>
      </c>
      <c r="V103" s="4">
        <v>2582</v>
      </c>
      <c r="X103" s="4">
        <v>21991</v>
      </c>
      <c r="Z103" s="4">
        <v>200000</v>
      </c>
      <c r="AB103" s="4">
        <v>71000</v>
      </c>
      <c r="AD103" s="4">
        <v>0</v>
      </c>
      <c r="AF103" s="4">
        <v>0</v>
      </c>
      <c r="AH103" s="4">
        <f t="shared" si="5"/>
        <v>3690302</v>
      </c>
    </row>
    <row r="104" spans="1:66" s="4" customFormat="1">
      <c r="A104" s="4">
        <v>123</v>
      </c>
      <c r="B104" s="4" t="s">
        <v>135</v>
      </c>
      <c r="D104" s="4" t="s">
        <v>15</v>
      </c>
      <c r="F104" s="4">
        <v>120811</v>
      </c>
      <c r="H104" s="4">
        <v>231479</v>
      </c>
      <c r="J104" s="4">
        <v>0</v>
      </c>
      <c r="L104" s="4">
        <v>0</v>
      </c>
      <c r="N104" s="4">
        <v>0</v>
      </c>
      <c r="P104" s="4">
        <v>1723</v>
      </c>
      <c r="R104" s="4">
        <v>0</v>
      </c>
      <c r="T104" s="4">
        <v>9307</v>
      </c>
      <c r="V104" s="4">
        <v>3075</v>
      </c>
      <c r="X104" s="4">
        <v>3980</v>
      </c>
      <c r="Z104" s="4">
        <v>0</v>
      </c>
      <c r="AB104" s="4">
        <v>0</v>
      </c>
      <c r="AD104" s="4">
        <v>0</v>
      </c>
      <c r="AF104" s="4">
        <v>0</v>
      </c>
      <c r="AH104" s="4">
        <f t="shared" si="5"/>
        <v>370375</v>
      </c>
    </row>
    <row r="105" spans="1:66" s="4" customFormat="1">
      <c r="A105" s="4">
        <v>93</v>
      </c>
      <c r="B105" s="4" t="s">
        <v>544</v>
      </c>
      <c r="D105" s="4" t="s">
        <v>137</v>
      </c>
      <c r="F105" s="1">
        <v>0</v>
      </c>
      <c r="G105" s="1"/>
      <c r="H105" s="1">
        <v>2032539.44</v>
      </c>
      <c r="I105" s="1"/>
      <c r="J105" s="1">
        <v>0</v>
      </c>
      <c r="K105" s="1"/>
      <c r="L105" s="1">
        <v>1025498</v>
      </c>
      <c r="M105" s="1"/>
      <c r="N105" s="1">
        <v>0</v>
      </c>
      <c r="O105" s="1"/>
      <c r="P105" s="1">
        <v>80519.289999999994</v>
      </c>
      <c r="Q105" s="1"/>
      <c r="R105" s="1">
        <v>0</v>
      </c>
      <c r="S105" s="1"/>
      <c r="T105" s="1">
        <v>32485.43</v>
      </c>
      <c r="U105" s="1"/>
      <c r="V105" s="1">
        <v>20501.98</v>
      </c>
      <c r="W105" s="1"/>
      <c r="X105" s="1">
        <v>168118.63</v>
      </c>
      <c r="Y105" s="1"/>
      <c r="Z105" s="1">
        <v>0</v>
      </c>
      <c r="AA105" s="1"/>
      <c r="AB105" s="1">
        <v>565730.92000000004</v>
      </c>
      <c r="AC105" s="1"/>
      <c r="AD105" s="1">
        <v>1000000</v>
      </c>
      <c r="AE105" s="1"/>
      <c r="AF105" s="1">
        <v>0</v>
      </c>
      <c r="AH105" s="4">
        <f t="shared" si="5"/>
        <v>4925393.6899999995</v>
      </c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</row>
    <row r="106" spans="1:66" s="4" customFormat="1">
      <c r="A106" s="4">
        <v>93</v>
      </c>
      <c r="B106" s="4" t="s">
        <v>356</v>
      </c>
      <c r="D106" s="4" t="s">
        <v>52</v>
      </c>
      <c r="F106" s="1">
        <v>0</v>
      </c>
      <c r="G106" s="1"/>
      <c r="H106" s="1">
        <v>646920.77</v>
      </c>
      <c r="I106" s="1"/>
      <c r="J106" s="1"/>
      <c r="K106" s="1"/>
      <c r="L106" s="1">
        <v>0</v>
      </c>
      <c r="M106" s="1"/>
      <c r="N106" s="1"/>
      <c r="O106" s="1"/>
      <c r="P106" s="1">
        <v>28144.63</v>
      </c>
      <c r="Q106" s="1"/>
      <c r="R106" s="1">
        <v>0</v>
      </c>
      <c r="S106" s="1"/>
      <c r="T106" s="1">
        <v>327459</v>
      </c>
      <c r="U106" s="1"/>
      <c r="V106" s="1">
        <v>927.85</v>
      </c>
      <c r="W106" s="1"/>
      <c r="X106" s="1">
        <v>11268.87</v>
      </c>
      <c r="Y106" s="1"/>
      <c r="Z106" s="1">
        <v>30000</v>
      </c>
      <c r="AA106" s="1"/>
      <c r="AB106" s="1">
        <v>10186.9</v>
      </c>
      <c r="AC106" s="1"/>
      <c r="AD106" s="1">
        <v>0</v>
      </c>
      <c r="AE106" s="1"/>
      <c r="AF106" s="1">
        <v>0</v>
      </c>
      <c r="AH106" s="4">
        <f t="shared" ref="AH106" si="6">SUM(F106:AF106)</f>
        <v>1054908.02</v>
      </c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</row>
    <row r="107" spans="1:66" s="4" customFormat="1">
      <c r="A107" s="4">
        <v>97</v>
      </c>
      <c r="B107" s="4" t="s">
        <v>138</v>
      </c>
      <c r="D107" s="4" t="s">
        <v>60</v>
      </c>
      <c r="F107" s="1">
        <v>0</v>
      </c>
      <c r="G107" s="1"/>
      <c r="H107" s="1">
        <v>89988.95</v>
      </c>
      <c r="I107" s="1"/>
      <c r="J107" s="1">
        <v>0</v>
      </c>
      <c r="K107" s="1"/>
      <c r="L107" s="1">
        <v>129</v>
      </c>
      <c r="M107" s="1"/>
      <c r="N107" s="1">
        <v>0</v>
      </c>
      <c r="O107" s="1"/>
      <c r="P107" s="1">
        <v>2285.6999999999998</v>
      </c>
      <c r="Q107" s="1"/>
      <c r="R107" s="1">
        <v>0</v>
      </c>
      <c r="S107" s="1"/>
      <c r="T107" s="1">
        <v>20758.66</v>
      </c>
      <c r="U107" s="1"/>
      <c r="V107" s="1">
        <v>97.29</v>
      </c>
      <c r="W107" s="1"/>
      <c r="X107" s="1">
        <v>1065</v>
      </c>
      <c r="Y107" s="1"/>
      <c r="Z107" s="1">
        <v>0</v>
      </c>
      <c r="AA107" s="1"/>
      <c r="AB107" s="1">
        <v>0</v>
      </c>
      <c r="AC107" s="1"/>
      <c r="AD107" s="1">
        <v>0</v>
      </c>
      <c r="AE107" s="1"/>
      <c r="AF107" s="1">
        <v>0</v>
      </c>
      <c r="AH107" s="4">
        <f t="shared" si="5"/>
        <v>114324.59999999999</v>
      </c>
    </row>
    <row r="108" spans="1:66" s="4" customFormat="1">
      <c r="A108" s="4">
        <v>159</v>
      </c>
      <c r="B108" s="4" t="s">
        <v>139</v>
      </c>
      <c r="D108" s="4" t="s">
        <v>49</v>
      </c>
      <c r="F108" s="4">
        <v>0</v>
      </c>
      <c r="H108" s="4">
        <v>94452</v>
      </c>
      <c r="J108" s="4">
        <v>0</v>
      </c>
      <c r="L108" s="4">
        <v>0</v>
      </c>
      <c r="N108" s="4">
        <v>0</v>
      </c>
      <c r="P108" s="4">
        <v>2784</v>
      </c>
      <c r="R108" s="4">
        <v>0</v>
      </c>
      <c r="T108" s="4">
        <f>9916+5000</f>
        <v>14916</v>
      </c>
      <c r="V108" s="4">
        <v>659</v>
      </c>
      <c r="X108" s="4">
        <v>1157</v>
      </c>
      <c r="Z108" s="4">
        <v>0</v>
      </c>
      <c r="AB108" s="4">
        <v>0</v>
      </c>
      <c r="AD108" s="4">
        <v>0</v>
      </c>
      <c r="AF108" s="4">
        <v>0</v>
      </c>
      <c r="AH108" s="4">
        <f t="shared" si="5"/>
        <v>113968</v>
      </c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</row>
    <row r="109" spans="1:66" s="4" customFormat="1">
      <c r="A109" s="4">
        <v>240</v>
      </c>
      <c r="B109" s="4" t="s">
        <v>140</v>
      </c>
      <c r="D109" s="4" t="s">
        <v>53</v>
      </c>
      <c r="F109" s="1">
        <v>0</v>
      </c>
      <c r="G109" s="1"/>
      <c r="H109" s="1">
        <v>1049354.8400000001</v>
      </c>
      <c r="I109" s="1"/>
      <c r="J109" s="1">
        <v>0</v>
      </c>
      <c r="K109" s="1"/>
      <c r="L109" s="1">
        <v>0</v>
      </c>
      <c r="M109" s="1"/>
      <c r="N109" s="1">
        <v>0</v>
      </c>
      <c r="O109" s="1"/>
      <c r="P109" s="1">
        <v>43436.39</v>
      </c>
      <c r="Q109" s="1"/>
      <c r="R109" s="1">
        <v>0</v>
      </c>
      <c r="S109" s="1"/>
      <c r="T109" s="1">
        <v>58204.7</v>
      </c>
      <c r="U109" s="1"/>
      <c r="V109" s="1">
        <v>4594.21</v>
      </c>
      <c r="W109" s="1"/>
      <c r="X109" s="1">
        <v>404.99</v>
      </c>
      <c r="Y109" s="1"/>
      <c r="Z109" s="1">
        <v>0</v>
      </c>
      <c r="AA109" s="1"/>
      <c r="AB109" s="1">
        <v>213000</v>
      </c>
      <c r="AC109" s="1"/>
      <c r="AD109" s="1">
        <v>0</v>
      </c>
      <c r="AE109" s="1"/>
      <c r="AF109" s="1">
        <v>0</v>
      </c>
      <c r="AH109" s="4">
        <f t="shared" si="5"/>
        <v>1368995.13</v>
      </c>
    </row>
    <row r="110" spans="1:66" s="4" customFormat="1">
      <c r="A110" s="4">
        <v>48</v>
      </c>
      <c r="B110" s="4" t="s">
        <v>141</v>
      </c>
      <c r="D110" s="4" t="s">
        <v>51</v>
      </c>
      <c r="F110" s="1">
        <v>0</v>
      </c>
      <c r="G110" s="1"/>
      <c r="H110" s="1">
        <v>517421.03</v>
      </c>
      <c r="I110" s="1"/>
      <c r="J110" s="1">
        <v>0</v>
      </c>
      <c r="K110" s="1"/>
      <c r="L110" s="1">
        <v>500</v>
      </c>
      <c r="M110" s="1"/>
      <c r="N110" s="1">
        <v>0</v>
      </c>
      <c r="O110" s="1"/>
      <c r="P110" s="1">
        <v>24586.97</v>
      </c>
      <c r="Q110" s="1"/>
      <c r="R110" s="1">
        <v>54</v>
      </c>
      <c r="S110" s="1"/>
      <c r="T110" s="1">
        <v>152899.71</v>
      </c>
      <c r="U110" s="1"/>
      <c r="V110" s="1">
        <v>47823.01</v>
      </c>
      <c r="W110" s="1"/>
      <c r="X110" s="1">
        <v>24.95</v>
      </c>
      <c r="Y110" s="1"/>
      <c r="Z110" s="1">
        <v>0</v>
      </c>
      <c r="AA110" s="1"/>
      <c r="AB110" s="1">
        <v>0</v>
      </c>
      <c r="AC110" s="1"/>
      <c r="AD110" s="1">
        <v>0</v>
      </c>
      <c r="AE110" s="1"/>
      <c r="AF110" s="1">
        <v>0</v>
      </c>
      <c r="AH110" s="4">
        <f t="shared" si="5"/>
        <v>743309.66999999993</v>
      </c>
    </row>
    <row r="111" spans="1:66" s="4" customFormat="1">
      <c r="A111" s="4">
        <v>190</v>
      </c>
      <c r="B111" s="4" t="s">
        <v>142</v>
      </c>
      <c r="D111" s="4" t="s">
        <v>143</v>
      </c>
      <c r="F111" s="4">
        <v>0</v>
      </c>
      <c r="H111" s="4">
        <v>783357</v>
      </c>
      <c r="J111" s="4">
        <v>0</v>
      </c>
      <c r="L111" s="4">
        <v>0</v>
      </c>
      <c r="N111" s="4">
        <v>0</v>
      </c>
      <c r="P111" s="4">
        <v>29783</v>
      </c>
      <c r="R111" s="4">
        <v>0</v>
      </c>
      <c r="T111" s="4">
        <v>23366</v>
      </c>
      <c r="V111" s="4">
        <v>3351</v>
      </c>
      <c r="X111" s="4">
        <v>26944</v>
      </c>
      <c r="Z111" s="4">
        <v>0</v>
      </c>
      <c r="AB111" s="4">
        <v>30861</v>
      </c>
      <c r="AD111" s="4">
        <v>0</v>
      </c>
      <c r="AF111" s="4">
        <v>0</v>
      </c>
      <c r="AH111" s="4">
        <f t="shared" si="5"/>
        <v>897662</v>
      </c>
    </row>
    <row r="112" spans="1:66" s="4" customFormat="1">
      <c r="A112" s="4">
        <v>90</v>
      </c>
      <c r="B112" s="4" t="s">
        <v>144</v>
      </c>
      <c r="D112" s="4" t="s">
        <v>17</v>
      </c>
      <c r="F112" s="4">
        <v>2474495</v>
      </c>
      <c r="H112" s="4">
        <v>2677917</v>
      </c>
      <c r="J112" s="4">
        <v>0</v>
      </c>
      <c r="L112" s="4">
        <v>500221</v>
      </c>
      <c r="N112" s="4">
        <v>0</v>
      </c>
      <c r="P112" s="4">
        <v>162870</v>
      </c>
      <c r="R112" s="4">
        <v>18959</v>
      </c>
      <c r="T112" s="4">
        <v>15006</v>
      </c>
      <c r="V112" s="4">
        <v>20616</v>
      </c>
      <c r="X112" s="4">
        <v>12042</v>
      </c>
      <c r="Z112" s="4">
        <v>0</v>
      </c>
      <c r="AB112" s="4">
        <v>27408</v>
      </c>
      <c r="AD112" s="4">
        <v>0</v>
      </c>
      <c r="AF112" s="4">
        <v>0</v>
      </c>
      <c r="AH112" s="4">
        <f t="shared" si="5"/>
        <v>5909534</v>
      </c>
    </row>
    <row r="113" spans="1:66" s="4" customFormat="1">
      <c r="A113" s="4">
        <v>170</v>
      </c>
      <c r="B113" s="4" t="s">
        <v>145</v>
      </c>
      <c r="D113" s="4" t="s">
        <v>54</v>
      </c>
      <c r="F113" s="1">
        <v>0</v>
      </c>
      <c r="G113" s="1"/>
      <c r="H113" s="1">
        <v>690870.44</v>
      </c>
      <c r="I113" s="1"/>
      <c r="J113" s="1">
        <v>0</v>
      </c>
      <c r="K113" s="1"/>
      <c r="L113" s="1">
        <v>0</v>
      </c>
      <c r="M113" s="1"/>
      <c r="N113" s="1">
        <v>0</v>
      </c>
      <c r="O113" s="1"/>
      <c r="P113" s="1">
        <v>16144.93</v>
      </c>
      <c r="Q113" s="1"/>
      <c r="R113" s="1">
        <v>0</v>
      </c>
      <c r="S113" s="1"/>
      <c r="T113" s="1">
        <v>2495.6999999999998</v>
      </c>
      <c r="U113" s="1"/>
      <c r="V113" s="1">
        <v>10141.120000000001</v>
      </c>
      <c r="W113" s="1"/>
      <c r="X113" s="1">
        <v>4448.6099999999997</v>
      </c>
      <c r="Y113" s="1"/>
      <c r="Z113" s="1">
        <v>0</v>
      </c>
      <c r="AA113" s="1"/>
      <c r="AB113" s="1">
        <v>0</v>
      </c>
      <c r="AC113" s="1"/>
      <c r="AD113" s="1">
        <v>0</v>
      </c>
      <c r="AE113" s="1"/>
      <c r="AF113" s="1">
        <v>0</v>
      </c>
      <c r="AH113" s="4">
        <f t="shared" si="5"/>
        <v>724100.79999999993</v>
      </c>
    </row>
    <row r="114" spans="1:66" s="4" customFormat="1">
      <c r="A114" s="4">
        <v>224</v>
      </c>
      <c r="B114" s="4" t="s">
        <v>571</v>
      </c>
      <c r="D114" s="4" t="s">
        <v>26</v>
      </c>
      <c r="F114" s="1">
        <v>0</v>
      </c>
      <c r="G114" s="1"/>
      <c r="H114" s="1">
        <v>107058.5</v>
      </c>
      <c r="I114" s="1"/>
      <c r="J114" s="1"/>
      <c r="K114" s="1"/>
      <c r="L114" s="1">
        <v>0</v>
      </c>
      <c r="M114" s="1"/>
      <c r="N114" s="1"/>
      <c r="O114" s="1"/>
      <c r="P114" s="1">
        <v>4504.25</v>
      </c>
      <c r="Q114" s="1"/>
      <c r="R114" s="1">
        <v>0</v>
      </c>
      <c r="S114" s="1"/>
      <c r="T114" s="1">
        <v>39918.85</v>
      </c>
      <c r="U114" s="1"/>
      <c r="V114" s="1">
        <v>58.63</v>
      </c>
      <c r="W114" s="1"/>
      <c r="X114" s="1">
        <v>350.34</v>
      </c>
      <c r="Y114" s="1"/>
      <c r="Z114" s="1">
        <v>0</v>
      </c>
      <c r="AA114" s="1"/>
      <c r="AB114" s="1">
        <v>0</v>
      </c>
      <c r="AC114" s="1"/>
      <c r="AD114" s="1">
        <v>0</v>
      </c>
      <c r="AE114" s="1"/>
      <c r="AF114" s="1">
        <v>0</v>
      </c>
      <c r="AH114" s="4">
        <f t="shared" si="5"/>
        <v>151890.57</v>
      </c>
    </row>
    <row r="115" spans="1:66" s="4" customFormat="1">
      <c r="A115" s="4">
        <v>143</v>
      </c>
      <c r="B115" s="4" t="s">
        <v>146</v>
      </c>
      <c r="D115" s="4" t="s">
        <v>56</v>
      </c>
      <c r="F115" s="1">
        <v>0</v>
      </c>
      <c r="G115" s="1"/>
      <c r="H115" s="1">
        <v>504412.55</v>
      </c>
      <c r="I115" s="1"/>
      <c r="J115" s="1">
        <v>0</v>
      </c>
      <c r="K115" s="1"/>
      <c r="L115" s="1">
        <v>0</v>
      </c>
      <c r="M115" s="1"/>
      <c r="N115" s="1">
        <v>0</v>
      </c>
      <c r="O115" s="1"/>
      <c r="P115" s="1">
        <v>22143.27</v>
      </c>
      <c r="Q115" s="1"/>
      <c r="R115" s="1">
        <v>0</v>
      </c>
      <c r="S115" s="1"/>
      <c r="T115" s="1">
        <v>3715.36</v>
      </c>
      <c r="U115" s="1"/>
      <c r="V115" s="1">
        <v>4817.1000000000004</v>
      </c>
      <c r="W115" s="1"/>
      <c r="X115" s="1">
        <v>4453.04</v>
      </c>
      <c r="Y115" s="1"/>
      <c r="Z115" s="1">
        <v>0</v>
      </c>
      <c r="AA115" s="1"/>
      <c r="AB115" s="1">
        <v>50000</v>
      </c>
      <c r="AC115" s="1"/>
      <c r="AD115" s="1">
        <v>0</v>
      </c>
      <c r="AE115" s="1"/>
      <c r="AF115" s="1">
        <v>0</v>
      </c>
      <c r="AH115" s="4">
        <f t="shared" si="5"/>
        <v>589541.31999999995</v>
      </c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</row>
    <row r="116" spans="1:66" s="4" customFormat="1">
      <c r="A116" s="4">
        <v>11</v>
      </c>
      <c r="B116" s="4" t="s">
        <v>301</v>
      </c>
      <c r="D116" s="4" t="s">
        <v>42</v>
      </c>
      <c r="F116" s="1">
        <v>0</v>
      </c>
      <c r="G116" s="1"/>
      <c r="H116" s="1">
        <v>149326.63</v>
      </c>
      <c r="I116" s="1"/>
      <c r="J116" s="1">
        <v>0</v>
      </c>
      <c r="K116" s="1"/>
      <c r="L116" s="1">
        <v>1927.52</v>
      </c>
      <c r="M116" s="1"/>
      <c r="N116" s="1">
        <v>0</v>
      </c>
      <c r="O116" s="1"/>
      <c r="P116" s="1">
        <v>15389.18</v>
      </c>
      <c r="Q116" s="1"/>
      <c r="R116" s="1">
        <v>0</v>
      </c>
      <c r="S116" s="1"/>
      <c r="T116" s="1">
        <v>1419.79</v>
      </c>
      <c r="U116" s="1"/>
      <c r="V116" s="1">
        <v>10891.5</v>
      </c>
      <c r="W116" s="1"/>
      <c r="X116" s="1">
        <v>940.78</v>
      </c>
      <c r="Y116" s="1"/>
      <c r="Z116" s="1">
        <v>0</v>
      </c>
      <c r="AA116" s="1"/>
      <c r="AB116" s="1">
        <v>0</v>
      </c>
      <c r="AC116" s="1"/>
      <c r="AD116" s="1">
        <v>0</v>
      </c>
      <c r="AE116" s="1"/>
      <c r="AF116" s="1">
        <v>0</v>
      </c>
      <c r="AH116" s="4">
        <f t="shared" si="5"/>
        <v>179895.4</v>
      </c>
    </row>
    <row r="117" spans="1:66" s="4" customFormat="1">
      <c r="A117" s="4">
        <v>77</v>
      </c>
      <c r="B117" s="4" t="s">
        <v>147</v>
      </c>
      <c r="D117" s="4" t="s">
        <v>91</v>
      </c>
      <c r="F117" s="4">
        <v>793246</v>
      </c>
      <c r="H117" s="4">
        <f>1406021+1947</f>
        <v>1407968</v>
      </c>
      <c r="J117" s="4">
        <v>0</v>
      </c>
      <c r="L117" s="4">
        <v>195797</v>
      </c>
      <c r="N117" s="4">
        <v>0</v>
      </c>
      <c r="P117" s="4">
        <v>88092</v>
      </c>
      <c r="R117" s="4">
        <v>4565</v>
      </c>
      <c r="T117" s="4">
        <v>37699</v>
      </c>
      <c r="V117" s="4">
        <v>2825</v>
      </c>
      <c r="X117" s="4">
        <v>20674</v>
      </c>
      <c r="Z117" s="4">
        <v>0</v>
      </c>
      <c r="AB117" s="4">
        <v>42075</v>
      </c>
      <c r="AD117" s="4">
        <v>0</v>
      </c>
      <c r="AF117" s="4">
        <v>0</v>
      </c>
      <c r="AH117" s="4">
        <f t="shared" si="5"/>
        <v>2592941</v>
      </c>
    </row>
    <row r="118" spans="1:66" s="4" customFormat="1">
      <c r="A118" s="4">
        <v>132</v>
      </c>
      <c r="B118" s="4" t="s">
        <v>148</v>
      </c>
      <c r="D118" s="4" t="s">
        <v>40</v>
      </c>
      <c r="F118" s="4">
        <v>0</v>
      </c>
      <c r="H118" s="4">
        <v>609072</v>
      </c>
      <c r="J118" s="4">
        <v>0</v>
      </c>
      <c r="L118" s="4">
        <v>0</v>
      </c>
      <c r="N118" s="4">
        <v>0</v>
      </c>
      <c r="P118" s="4">
        <v>38612</v>
      </c>
      <c r="R118" s="4">
        <v>0</v>
      </c>
      <c r="T118" s="4">
        <v>6929</v>
      </c>
      <c r="V118" s="4">
        <v>62442</v>
      </c>
      <c r="X118" s="4">
        <v>0</v>
      </c>
      <c r="Z118" s="4">
        <v>0</v>
      </c>
      <c r="AB118" s="4">
        <v>0</v>
      </c>
      <c r="AD118" s="4">
        <v>0</v>
      </c>
      <c r="AF118" s="4">
        <v>0</v>
      </c>
      <c r="AH118" s="4">
        <f t="shared" si="5"/>
        <v>717055</v>
      </c>
    </row>
    <row r="119" spans="1:66" s="4" customFormat="1">
      <c r="A119" s="4">
        <v>91</v>
      </c>
      <c r="B119" s="4" t="s">
        <v>545</v>
      </c>
      <c r="D119" s="4" t="s">
        <v>150</v>
      </c>
      <c r="F119" s="4">
        <v>2914446</v>
      </c>
      <c r="H119" s="4">
        <v>1500</v>
      </c>
      <c r="J119" s="4">
        <v>0</v>
      </c>
      <c r="L119" s="4">
        <v>4784129</v>
      </c>
      <c r="N119" s="4">
        <v>0</v>
      </c>
      <c r="P119" s="4">
        <v>190824</v>
      </c>
      <c r="R119" s="4">
        <v>0</v>
      </c>
      <c r="T119" s="4">
        <v>5644</v>
      </c>
      <c r="V119" s="4">
        <v>255028</v>
      </c>
      <c r="X119" s="4">
        <f>12644+27494</f>
        <v>40138</v>
      </c>
      <c r="Z119" s="4">
        <v>0</v>
      </c>
      <c r="AB119" s="4">
        <v>100000</v>
      </c>
      <c r="AD119" s="4">
        <v>0</v>
      </c>
      <c r="AF119" s="4">
        <v>0</v>
      </c>
      <c r="AH119" s="4">
        <f t="shared" si="5"/>
        <v>8291709</v>
      </c>
    </row>
    <row r="120" spans="1:66" s="4" customFormat="1">
      <c r="A120" s="4">
        <v>59</v>
      </c>
      <c r="B120" s="4" t="s">
        <v>151</v>
      </c>
      <c r="D120" s="4" t="s">
        <v>80</v>
      </c>
      <c r="F120" s="1">
        <v>0</v>
      </c>
      <c r="G120" s="1"/>
      <c r="H120" s="1">
        <v>771441.9</v>
      </c>
      <c r="I120" s="1"/>
      <c r="J120" s="1">
        <v>0</v>
      </c>
      <c r="K120" s="1"/>
      <c r="L120" s="1">
        <v>0</v>
      </c>
      <c r="M120" s="1"/>
      <c r="N120" s="1">
        <v>0</v>
      </c>
      <c r="O120" s="1"/>
      <c r="P120" s="1">
        <v>43039.839999999997</v>
      </c>
      <c r="Q120" s="1"/>
      <c r="R120" s="1">
        <v>0</v>
      </c>
      <c r="S120" s="1"/>
      <c r="T120" s="1">
        <v>108929.26</v>
      </c>
      <c r="U120" s="1"/>
      <c r="V120" s="1">
        <v>1733.65</v>
      </c>
      <c r="W120" s="1"/>
      <c r="X120" s="1">
        <v>3328.99</v>
      </c>
      <c r="Y120" s="1"/>
      <c r="Z120" s="1">
        <v>0</v>
      </c>
      <c r="AA120" s="1"/>
      <c r="AB120" s="1">
        <v>107351</v>
      </c>
      <c r="AC120" s="1"/>
      <c r="AD120" s="1">
        <v>0</v>
      </c>
      <c r="AE120" s="1"/>
      <c r="AF120" s="1">
        <v>0</v>
      </c>
      <c r="AH120" s="4">
        <f t="shared" si="5"/>
        <v>1035824.64</v>
      </c>
    </row>
    <row r="121" spans="1:66" s="4" customFormat="1">
      <c r="A121" s="4">
        <v>92</v>
      </c>
      <c r="B121" s="4" t="s">
        <v>546</v>
      </c>
      <c r="D121" s="4" t="s">
        <v>152</v>
      </c>
      <c r="F121" s="4">
        <v>1201471</v>
      </c>
      <c r="H121" s="4">
        <v>0</v>
      </c>
      <c r="J121" s="4">
        <v>0</v>
      </c>
      <c r="L121" s="4">
        <v>0</v>
      </c>
      <c r="N121" s="4">
        <v>0</v>
      </c>
      <c r="P121" s="4">
        <v>40359</v>
      </c>
      <c r="R121" s="4">
        <v>0</v>
      </c>
      <c r="T121" s="4">
        <v>6071</v>
      </c>
      <c r="V121" s="4">
        <v>32602</v>
      </c>
      <c r="X121" s="4">
        <v>116395</v>
      </c>
      <c r="Z121" s="4">
        <v>3791</v>
      </c>
      <c r="AB121" s="4">
        <v>114182</v>
      </c>
      <c r="AD121" s="4">
        <v>0</v>
      </c>
      <c r="AF121" s="4">
        <v>0</v>
      </c>
      <c r="AH121" s="4">
        <f t="shared" si="5"/>
        <v>1514871</v>
      </c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</row>
    <row r="122" spans="1:66" s="4" customFormat="1">
      <c r="A122" s="4">
        <v>12</v>
      </c>
      <c r="B122" s="4" t="s">
        <v>153</v>
      </c>
      <c r="D122" s="4" t="s">
        <v>42</v>
      </c>
      <c r="F122" s="1">
        <v>99681.14</v>
      </c>
      <c r="G122" s="1"/>
      <c r="H122" s="1">
        <v>333884.25</v>
      </c>
      <c r="I122" s="1"/>
      <c r="J122" s="1">
        <v>0</v>
      </c>
      <c r="K122" s="1"/>
      <c r="L122" s="1">
        <v>23373.01</v>
      </c>
      <c r="M122" s="1"/>
      <c r="N122" s="1">
        <v>0</v>
      </c>
      <c r="O122" s="1"/>
      <c r="P122" s="1">
        <v>9542.0499999999993</v>
      </c>
      <c r="Q122" s="1"/>
      <c r="R122" s="1">
        <v>0</v>
      </c>
      <c r="S122" s="1"/>
      <c r="T122" s="1">
        <v>5018.07</v>
      </c>
      <c r="U122" s="1"/>
      <c r="V122" s="1">
        <v>439.45</v>
      </c>
      <c r="W122" s="1"/>
      <c r="X122" s="1">
        <v>25261.68</v>
      </c>
      <c r="Y122" s="1"/>
      <c r="Z122" s="1">
        <v>0</v>
      </c>
      <c r="AA122" s="1"/>
      <c r="AB122" s="1">
        <v>97623.52</v>
      </c>
      <c r="AC122" s="1"/>
      <c r="AD122" s="1">
        <v>0</v>
      </c>
      <c r="AE122" s="1"/>
      <c r="AF122" s="1">
        <v>0</v>
      </c>
      <c r="AH122" s="4">
        <f t="shared" si="5"/>
        <v>594823.17000000004</v>
      </c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</row>
    <row r="123" spans="1:66" s="4" customFormat="1">
      <c r="A123" s="4">
        <v>98</v>
      </c>
      <c r="B123" s="4" t="s">
        <v>154</v>
      </c>
      <c r="D123" s="4" t="s">
        <v>60</v>
      </c>
      <c r="F123" s="4">
        <v>0</v>
      </c>
      <c r="H123" s="4">
        <v>65070</v>
      </c>
      <c r="J123" s="4">
        <v>0</v>
      </c>
      <c r="L123" s="4">
        <v>0</v>
      </c>
      <c r="N123" s="4">
        <v>0</v>
      </c>
      <c r="P123" s="4">
        <v>1469</v>
      </c>
      <c r="R123" s="4">
        <v>0</v>
      </c>
      <c r="T123" s="4">
        <v>870</v>
      </c>
      <c r="V123" s="4">
        <v>19</v>
      </c>
      <c r="X123" s="4">
        <v>890</v>
      </c>
      <c r="Z123" s="4">
        <v>0</v>
      </c>
      <c r="AB123" s="4">
        <v>0</v>
      </c>
      <c r="AD123" s="4">
        <v>0</v>
      </c>
      <c r="AF123" s="4">
        <v>0</v>
      </c>
      <c r="AH123" s="4">
        <f t="shared" si="5"/>
        <v>68318</v>
      </c>
    </row>
    <row r="124" spans="1:66" s="4" customFormat="1">
      <c r="A124" s="4">
        <v>181</v>
      </c>
      <c r="B124" s="4" t="s">
        <v>155</v>
      </c>
      <c r="D124" s="4" t="s">
        <v>156</v>
      </c>
      <c r="F124" s="4">
        <v>0</v>
      </c>
      <c r="H124" s="4">
        <v>380049</v>
      </c>
      <c r="J124" s="4">
        <v>0</v>
      </c>
      <c r="L124" s="4">
        <v>22294</v>
      </c>
      <c r="N124" s="4">
        <v>0</v>
      </c>
      <c r="P124" s="4">
        <v>0</v>
      </c>
      <c r="R124" s="4">
        <v>0</v>
      </c>
      <c r="T124" s="4">
        <v>13126</v>
      </c>
      <c r="V124" s="4">
        <v>3209</v>
      </c>
      <c r="X124" s="4">
        <v>0</v>
      </c>
      <c r="Z124" s="4">
        <v>0</v>
      </c>
      <c r="AB124" s="4">
        <v>30000</v>
      </c>
      <c r="AD124" s="4">
        <v>0</v>
      </c>
      <c r="AF124" s="4">
        <v>0</v>
      </c>
      <c r="AH124" s="4">
        <f t="shared" si="5"/>
        <v>448678</v>
      </c>
    </row>
    <row r="125" spans="1:66" s="4" customFormat="1">
      <c r="A125" s="4">
        <v>13</v>
      </c>
      <c r="B125" s="4" t="s">
        <v>302</v>
      </c>
      <c r="D125" s="4" t="s">
        <v>42</v>
      </c>
      <c r="F125" s="1">
        <v>0</v>
      </c>
      <c r="G125" s="1"/>
      <c r="H125" s="1">
        <v>258893.87</v>
      </c>
      <c r="I125" s="1"/>
      <c r="J125" s="1">
        <v>0</v>
      </c>
      <c r="K125" s="1"/>
      <c r="L125" s="1">
        <v>57205.38</v>
      </c>
      <c r="M125" s="1"/>
      <c r="N125" s="1">
        <v>0</v>
      </c>
      <c r="O125" s="1"/>
      <c r="P125" s="1">
        <v>18986.11</v>
      </c>
      <c r="Q125" s="1"/>
      <c r="R125" s="1">
        <v>0</v>
      </c>
      <c r="S125" s="1"/>
      <c r="T125" s="1">
        <v>19131.22</v>
      </c>
      <c r="U125" s="1"/>
      <c r="V125" s="1">
        <v>212.35</v>
      </c>
      <c r="W125" s="1"/>
      <c r="X125" s="1">
        <v>1138.1199999999999</v>
      </c>
      <c r="Y125" s="1"/>
      <c r="Z125" s="1">
        <v>11504.43</v>
      </c>
      <c r="AA125" s="1"/>
      <c r="AB125" s="1">
        <v>2500</v>
      </c>
      <c r="AC125" s="1"/>
      <c r="AD125" s="1">
        <v>0</v>
      </c>
      <c r="AE125" s="1"/>
      <c r="AF125" s="1">
        <v>0</v>
      </c>
      <c r="AH125" s="4">
        <f t="shared" si="5"/>
        <v>369571.47999999992</v>
      </c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</row>
    <row r="126" spans="1:66" s="4" customFormat="1">
      <c r="A126" s="4">
        <v>239</v>
      </c>
      <c r="B126" s="4" t="s">
        <v>157</v>
      </c>
      <c r="D126" s="4" t="s">
        <v>158</v>
      </c>
      <c r="F126" s="4">
        <v>59853</v>
      </c>
      <c r="H126" s="4">
        <v>350963</v>
      </c>
      <c r="J126" s="4">
        <v>0</v>
      </c>
      <c r="L126" s="4">
        <v>16073</v>
      </c>
      <c r="N126" s="4">
        <v>0</v>
      </c>
      <c r="P126" s="4">
        <v>9119</v>
      </c>
      <c r="R126" s="4">
        <v>0</v>
      </c>
      <c r="T126" s="4">
        <v>38805</v>
      </c>
      <c r="V126" s="4">
        <v>71885</v>
      </c>
      <c r="X126" s="4">
        <v>417</v>
      </c>
      <c r="Z126" s="4">
        <v>0</v>
      </c>
      <c r="AB126" s="4">
        <v>0</v>
      </c>
      <c r="AD126" s="4">
        <v>0</v>
      </c>
      <c r="AF126" s="4">
        <v>0</v>
      </c>
      <c r="AH126" s="4">
        <f t="shared" si="5"/>
        <v>547115</v>
      </c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</row>
    <row r="127" spans="1:66" s="4" customFormat="1">
      <c r="A127" s="4">
        <v>144</v>
      </c>
      <c r="B127" s="4" t="s">
        <v>428</v>
      </c>
      <c r="D127" s="4" t="s">
        <v>56</v>
      </c>
      <c r="F127" s="1">
        <v>155067.54</v>
      </c>
      <c r="G127" s="1"/>
      <c r="H127" s="1">
        <v>305114.40999999997</v>
      </c>
      <c r="I127" s="1"/>
      <c r="J127" s="1">
        <v>0</v>
      </c>
      <c r="K127" s="1"/>
      <c r="L127" s="1">
        <v>21916.799999999999</v>
      </c>
      <c r="M127" s="1"/>
      <c r="N127" s="1">
        <v>0</v>
      </c>
      <c r="O127" s="1"/>
      <c r="P127" s="1">
        <v>12982.27</v>
      </c>
      <c r="Q127" s="1"/>
      <c r="R127" s="1">
        <v>0</v>
      </c>
      <c r="S127" s="1"/>
      <c r="T127" s="1">
        <v>13602.65</v>
      </c>
      <c r="U127" s="1"/>
      <c r="V127" s="1">
        <v>8805.49</v>
      </c>
      <c r="W127" s="1"/>
      <c r="X127" s="1">
        <v>465.62</v>
      </c>
      <c r="Y127" s="1"/>
      <c r="Z127" s="1">
        <v>0</v>
      </c>
      <c r="AA127" s="1"/>
      <c r="AB127" s="1">
        <v>0</v>
      </c>
      <c r="AC127" s="1"/>
      <c r="AD127" s="1">
        <v>0</v>
      </c>
      <c r="AE127" s="1"/>
      <c r="AF127" s="1">
        <v>0</v>
      </c>
      <c r="AH127" s="4">
        <f t="shared" si="5"/>
        <v>517954.77999999997</v>
      </c>
    </row>
    <row r="128" spans="1:66" s="4" customFormat="1">
      <c r="A128" s="4">
        <v>107</v>
      </c>
      <c r="B128" s="4" t="s">
        <v>159</v>
      </c>
      <c r="D128" s="4" t="s">
        <v>57</v>
      </c>
      <c r="F128" s="1">
        <v>1142690.28</v>
      </c>
      <c r="G128" s="1"/>
      <c r="H128" s="1">
        <v>0</v>
      </c>
      <c r="I128" s="1"/>
      <c r="J128" s="1">
        <v>0</v>
      </c>
      <c r="K128" s="1"/>
      <c r="L128" s="1">
        <v>4450</v>
      </c>
      <c r="M128" s="1"/>
      <c r="N128" s="1">
        <v>0</v>
      </c>
      <c r="O128" s="1"/>
      <c r="P128" s="1">
        <v>62515.360000000001</v>
      </c>
      <c r="Q128" s="1"/>
      <c r="R128" s="1">
        <v>0</v>
      </c>
      <c r="S128" s="1"/>
      <c r="T128" s="1">
        <v>30046.66</v>
      </c>
      <c r="U128" s="1"/>
      <c r="V128" s="1">
        <v>102983.54</v>
      </c>
      <c r="W128" s="1"/>
      <c r="X128" s="1">
        <v>10828.68</v>
      </c>
      <c r="Y128" s="1"/>
      <c r="Z128" s="1">
        <v>0</v>
      </c>
      <c r="AA128" s="1"/>
      <c r="AB128" s="1">
        <v>154.96</v>
      </c>
      <c r="AC128" s="1"/>
      <c r="AD128" s="1">
        <v>0</v>
      </c>
      <c r="AE128" s="1"/>
      <c r="AF128" s="1">
        <v>0</v>
      </c>
      <c r="AH128" s="4">
        <f t="shared" si="5"/>
        <v>1353669.48</v>
      </c>
    </row>
    <row r="129" spans="1:66" s="4" customFormat="1">
      <c r="A129" s="4">
        <v>103</v>
      </c>
      <c r="B129" s="4" t="s">
        <v>160</v>
      </c>
      <c r="D129" s="4" t="s">
        <v>59</v>
      </c>
      <c r="F129" s="4">
        <v>105478</v>
      </c>
      <c r="H129" s="4">
        <v>0</v>
      </c>
      <c r="J129" s="4">
        <v>0</v>
      </c>
      <c r="L129" s="4">
        <v>0</v>
      </c>
      <c r="N129" s="4">
        <v>0</v>
      </c>
      <c r="P129" s="4">
        <v>211</v>
      </c>
      <c r="R129" s="4">
        <v>0</v>
      </c>
      <c r="T129" s="4">
        <v>100</v>
      </c>
      <c r="V129" s="4">
        <v>4917</v>
      </c>
      <c r="X129" s="4">
        <v>979</v>
      </c>
      <c r="Z129" s="4">
        <v>0</v>
      </c>
      <c r="AB129" s="4">
        <v>0</v>
      </c>
      <c r="AD129" s="4">
        <v>0</v>
      </c>
      <c r="AF129" s="4">
        <v>0</v>
      </c>
      <c r="AH129" s="4">
        <f t="shared" si="5"/>
        <v>111685</v>
      </c>
    </row>
    <row r="130" spans="1:66" s="4" customFormat="1">
      <c r="A130" s="4">
        <v>109</v>
      </c>
      <c r="B130" s="4" t="s">
        <v>547</v>
      </c>
      <c r="D130" s="4" t="s">
        <v>161</v>
      </c>
      <c r="F130" s="1">
        <v>0</v>
      </c>
      <c r="G130" s="1"/>
      <c r="H130" s="1">
        <v>1033231.36</v>
      </c>
      <c r="I130" s="1"/>
      <c r="J130" s="1">
        <v>0</v>
      </c>
      <c r="K130" s="1"/>
      <c r="L130" s="1">
        <v>0</v>
      </c>
      <c r="M130" s="1"/>
      <c r="N130" s="1">
        <v>0</v>
      </c>
      <c r="O130" s="1"/>
      <c r="P130" s="1">
        <v>28455.09</v>
      </c>
      <c r="Q130" s="1"/>
      <c r="R130" s="1">
        <v>0</v>
      </c>
      <c r="S130" s="1"/>
      <c r="T130" s="1">
        <v>140368.64000000001</v>
      </c>
      <c r="U130" s="1"/>
      <c r="V130" s="1">
        <v>11537.82</v>
      </c>
      <c r="W130" s="1"/>
      <c r="X130" s="1">
        <v>25568.799999999999</v>
      </c>
      <c r="Y130" s="1"/>
      <c r="Z130" s="1">
        <v>125</v>
      </c>
      <c r="AA130" s="1"/>
      <c r="AB130" s="1">
        <v>230000</v>
      </c>
      <c r="AC130" s="1"/>
      <c r="AD130" s="1">
        <v>0</v>
      </c>
      <c r="AE130" s="1"/>
      <c r="AF130" s="1">
        <v>0</v>
      </c>
      <c r="AH130" s="4">
        <f t="shared" ref="AH130:AH162" si="7">SUM(F130:AF130)</f>
        <v>1469286.71</v>
      </c>
    </row>
    <row r="131" spans="1:66" s="4" customFormat="1">
      <c r="A131" s="4">
        <v>133</v>
      </c>
      <c r="B131" s="4" t="s">
        <v>303</v>
      </c>
      <c r="D131" s="4" t="s">
        <v>40</v>
      </c>
      <c r="F131" s="1">
        <v>0</v>
      </c>
      <c r="G131" s="1"/>
      <c r="H131" s="1">
        <v>182721.55</v>
      </c>
      <c r="I131" s="1"/>
      <c r="J131" s="1">
        <v>0</v>
      </c>
      <c r="K131" s="1"/>
      <c r="L131" s="1">
        <v>0</v>
      </c>
      <c r="M131" s="1"/>
      <c r="N131" s="1">
        <v>0</v>
      </c>
      <c r="O131" s="1"/>
      <c r="P131" s="1">
        <v>2298.89</v>
      </c>
      <c r="Q131" s="1"/>
      <c r="R131" s="1">
        <v>0</v>
      </c>
      <c r="S131" s="1"/>
      <c r="T131" s="1">
        <v>110</v>
      </c>
      <c r="U131" s="1"/>
      <c r="V131" s="1">
        <v>1179.21</v>
      </c>
      <c r="W131" s="1"/>
      <c r="X131" s="1">
        <v>0</v>
      </c>
      <c r="Y131" s="1"/>
      <c r="Z131" s="1">
        <v>0</v>
      </c>
      <c r="AA131" s="1"/>
      <c r="AB131" s="1">
        <v>0</v>
      </c>
      <c r="AC131" s="1"/>
      <c r="AD131" s="1">
        <v>0</v>
      </c>
      <c r="AE131" s="1"/>
      <c r="AF131" s="1">
        <v>0</v>
      </c>
      <c r="AH131" s="4">
        <f t="shared" si="7"/>
        <v>186309.65</v>
      </c>
    </row>
    <row r="132" spans="1:66" s="4" customFormat="1">
      <c r="A132" s="4">
        <v>225</v>
      </c>
      <c r="B132" s="4" t="s">
        <v>429</v>
      </c>
      <c r="D132" s="4" t="s">
        <v>55</v>
      </c>
      <c r="F132" s="1">
        <v>0</v>
      </c>
      <c r="G132" s="1"/>
      <c r="H132" s="1">
        <v>668202</v>
      </c>
      <c r="I132" s="1"/>
      <c r="J132" s="1">
        <v>0</v>
      </c>
      <c r="K132" s="1"/>
      <c r="L132" s="1">
        <v>11800</v>
      </c>
      <c r="M132" s="1"/>
      <c r="N132" s="1">
        <v>0</v>
      </c>
      <c r="O132" s="1"/>
      <c r="P132" s="1">
        <v>17303.330000000002</v>
      </c>
      <c r="Q132" s="1"/>
      <c r="R132" s="1">
        <v>1897.5</v>
      </c>
      <c r="S132" s="1"/>
      <c r="T132" s="1">
        <v>21750.62</v>
      </c>
      <c r="U132" s="1"/>
      <c r="V132" s="1">
        <v>9337.81</v>
      </c>
      <c r="W132" s="1"/>
      <c r="X132" s="1">
        <v>870.08</v>
      </c>
      <c r="Y132" s="1"/>
      <c r="Z132" s="1">
        <v>0</v>
      </c>
      <c r="AA132" s="1"/>
      <c r="AB132" s="1">
        <v>19750</v>
      </c>
      <c r="AC132" s="1"/>
      <c r="AD132" s="1">
        <v>0</v>
      </c>
      <c r="AE132" s="1"/>
      <c r="AF132" s="1">
        <v>0</v>
      </c>
      <c r="AH132" s="4">
        <f t="shared" si="7"/>
        <v>750911.34</v>
      </c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</row>
    <row r="133" spans="1:66" s="4" customFormat="1">
      <c r="A133" s="4">
        <v>218</v>
      </c>
      <c r="B133" s="4" t="s">
        <v>163</v>
      </c>
      <c r="D133" s="4" t="s">
        <v>22</v>
      </c>
      <c r="F133" s="4">
        <v>1409583</v>
      </c>
      <c r="H133" s="4">
        <v>930631</v>
      </c>
      <c r="J133" s="4">
        <v>0</v>
      </c>
      <c r="L133" s="4">
        <v>0</v>
      </c>
      <c r="N133" s="4">
        <v>0</v>
      </c>
      <c r="P133" s="4">
        <v>60875</v>
      </c>
      <c r="R133" s="4">
        <v>34764</v>
      </c>
      <c r="T133" s="4">
        <v>121321</v>
      </c>
      <c r="V133" s="4">
        <v>85807</v>
      </c>
      <c r="X133" s="4">
        <v>439</v>
      </c>
      <c r="Z133" s="4">
        <v>0</v>
      </c>
      <c r="AB133" s="4">
        <v>0</v>
      </c>
      <c r="AD133" s="4">
        <v>0</v>
      </c>
      <c r="AF133" s="4">
        <v>0</v>
      </c>
      <c r="AH133" s="4">
        <f t="shared" si="7"/>
        <v>2643420</v>
      </c>
    </row>
    <row r="134" spans="1:66" s="4" customFormat="1">
      <c r="A134" s="4">
        <v>66</v>
      </c>
      <c r="B134" s="4" t="s">
        <v>164</v>
      </c>
      <c r="D134" s="4" t="s">
        <v>165</v>
      </c>
      <c r="F134" s="4">
        <v>349965</v>
      </c>
      <c r="H134" s="4">
        <v>319672</v>
      </c>
      <c r="J134" s="4">
        <v>31288</v>
      </c>
      <c r="L134" s="4">
        <v>0</v>
      </c>
      <c r="N134" s="4">
        <v>0</v>
      </c>
      <c r="P134" s="4">
        <v>0</v>
      </c>
      <c r="R134" s="4">
        <v>0</v>
      </c>
      <c r="T134" s="4">
        <v>9135</v>
      </c>
      <c r="V134" s="4">
        <v>1287</v>
      </c>
      <c r="X134" s="4">
        <v>11826</v>
      </c>
      <c r="Z134" s="4">
        <v>0</v>
      </c>
      <c r="AB134" s="4">
        <v>0</v>
      </c>
      <c r="AD134" s="4">
        <v>0</v>
      </c>
      <c r="AF134" s="4">
        <v>0</v>
      </c>
      <c r="AH134" s="4">
        <f t="shared" si="7"/>
        <v>723173</v>
      </c>
    </row>
    <row r="135" spans="1:66" s="4" customFormat="1">
      <c r="A135" s="4">
        <v>148</v>
      </c>
      <c r="B135" s="4" t="s">
        <v>36</v>
      </c>
      <c r="D135" s="4" t="s">
        <v>12</v>
      </c>
      <c r="F135" s="1">
        <v>0</v>
      </c>
      <c r="G135" s="1"/>
      <c r="H135" s="1">
        <v>304535.07</v>
      </c>
      <c r="I135" s="1"/>
      <c r="J135" s="1">
        <v>0</v>
      </c>
      <c r="K135" s="1"/>
      <c r="L135" s="1">
        <v>0</v>
      </c>
      <c r="M135" s="1"/>
      <c r="N135" s="1">
        <v>0</v>
      </c>
      <c r="O135" s="1"/>
      <c r="P135" s="1">
        <v>11211.3</v>
      </c>
      <c r="Q135" s="1"/>
      <c r="R135" s="1">
        <v>0</v>
      </c>
      <c r="S135" s="1"/>
      <c r="T135" s="1">
        <v>27051.439999999999</v>
      </c>
      <c r="U135" s="1"/>
      <c r="V135" s="1">
        <v>192.25</v>
      </c>
      <c r="W135" s="1"/>
      <c r="X135" s="1">
        <v>2100</v>
      </c>
      <c r="Y135" s="1"/>
      <c r="Z135" s="1">
        <v>0</v>
      </c>
      <c r="AA135" s="1"/>
      <c r="AB135" s="1">
        <v>0</v>
      </c>
      <c r="AC135" s="1"/>
      <c r="AD135" s="1">
        <v>0</v>
      </c>
      <c r="AE135" s="1"/>
      <c r="AF135" s="1">
        <v>0</v>
      </c>
      <c r="AH135" s="4">
        <f t="shared" si="7"/>
        <v>345090.06</v>
      </c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</row>
    <row r="136" spans="1:66" s="4" customFormat="1" hidden="1">
      <c r="A136" s="4">
        <v>182</v>
      </c>
      <c r="B136" s="4" t="s">
        <v>166</v>
      </c>
      <c r="D136" s="4" t="s">
        <v>156</v>
      </c>
      <c r="AH136" s="4">
        <f t="shared" si="7"/>
        <v>0</v>
      </c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</row>
    <row r="137" spans="1:66" s="4" customFormat="1">
      <c r="A137" s="4">
        <v>164</v>
      </c>
      <c r="B137" s="4" t="s">
        <v>336</v>
      </c>
      <c r="D137" s="4" t="s">
        <v>52</v>
      </c>
      <c r="F137" s="1">
        <v>0</v>
      </c>
      <c r="G137" s="1"/>
      <c r="H137" s="1">
        <v>223740.52</v>
      </c>
      <c r="I137" s="1"/>
      <c r="J137" s="1">
        <v>0</v>
      </c>
      <c r="K137" s="1"/>
      <c r="L137" s="1">
        <v>0</v>
      </c>
      <c r="M137" s="1"/>
      <c r="N137" s="1">
        <v>0</v>
      </c>
      <c r="O137" s="1"/>
      <c r="P137" s="1">
        <v>4135.03</v>
      </c>
      <c r="Q137" s="1"/>
      <c r="R137" s="1">
        <v>0</v>
      </c>
      <c r="S137" s="1"/>
      <c r="T137" s="1">
        <v>6387.95</v>
      </c>
      <c r="U137" s="1"/>
      <c r="V137" s="1">
        <v>16954.46</v>
      </c>
      <c r="W137" s="1"/>
      <c r="X137" s="1">
        <v>1873.03</v>
      </c>
      <c r="Y137" s="1"/>
      <c r="Z137" s="1">
        <v>0</v>
      </c>
      <c r="AA137" s="1"/>
      <c r="AB137" s="1">
        <v>0</v>
      </c>
      <c r="AC137" s="1"/>
      <c r="AD137" s="1">
        <v>0</v>
      </c>
      <c r="AE137" s="1"/>
      <c r="AF137" s="1">
        <v>0</v>
      </c>
      <c r="AH137" s="4">
        <f t="shared" si="7"/>
        <v>253090.99</v>
      </c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</row>
    <row r="138" spans="1:66" s="4" customFormat="1">
      <c r="A138" s="4">
        <v>115</v>
      </c>
      <c r="B138" s="4" t="s">
        <v>167</v>
      </c>
      <c r="D138" s="4" t="s">
        <v>168</v>
      </c>
      <c r="F138" s="1">
        <v>0</v>
      </c>
      <c r="G138" s="1"/>
      <c r="H138" s="1">
        <v>396449.01</v>
      </c>
      <c r="I138" s="1"/>
      <c r="J138" s="1">
        <v>0</v>
      </c>
      <c r="K138" s="1"/>
      <c r="L138" s="1">
        <v>7800</v>
      </c>
      <c r="M138" s="1"/>
      <c r="N138" s="1">
        <v>0</v>
      </c>
      <c r="O138" s="1"/>
      <c r="P138" s="1">
        <v>16789.900000000001</v>
      </c>
      <c r="Q138" s="1"/>
      <c r="R138" s="1">
        <v>0</v>
      </c>
      <c r="S138" s="1"/>
      <c r="T138" s="1">
        <v>17060.37</v>
      </c>
      <c r="U138" s="1"/>
      <c r="V138" s="1">
        <v>16106.24</v>
      </c>
      <c r="W138" s="1"/>
      <c r="X138" s="1">
        <v>5963.94</v>
      </c>
      <c r="Y138" s="1"/>
      <c r="Z138" s="1">
        <v>2584.5500000000002</v>
      </c>
      <c r="AA138" s="1"/>
      <c r="AB138" s="1">
        <v>0</v>
      </c>
      <c r="AC138" s="1"/>
      <c r="AD138" s="1">
        <v>0</v>
      </c>
      <c r="AE138" s="1"/>
      <c r="AF138" s="1">
        <v>0</v>
      </c>
      <c r="AH138" s="4">
        <f t="shared" si="7"/>
        <v>462754.01</v>
      </c>
    </row>
    <row r="139" spans="1:66" s="4" customFormat="1">
      <c r="A139" s="4">
        <v>173</v>
      </c>
      <c r="B139" s="4" t="s">
        <v>335</v>
      </c>
      <c r="D139" s="4" t="s">
        <v>58</v>
      </c>
      <c r="F139" s="1">
        <v>0</v>
      </c>
      <c r="G139" s="1"/>
      <c r="H139" s="1">
        <v>428190.35</v>
      </c>
      <c r="I139" s="1"/>
      <c r="J139" s="1">
        <v>0</v>
      </c>
      <c r="K139" s="1"/>
      <c r="L139" s="1">
        <v>20871</v>
      </c>
      <c r="M139" s="1"/>
      <c r="N139" s="1">
        <v>0</v>
      </c>
      <c r="O139" s="1"/>
      <c r="P139" s="1">
        <v>17367.78</v>
      </c>
      <c r="Q139" s="1"/>
      <c r="R139" s="1">
        <v>0</v>
      </c>
      <c r="S139" s="1"/>
      <c r="T139" s="1">
        <v>1597.22</v>
      </c>
      <c r="U139" s="1"/>
      <c r="V139" s="1">
        <v>18065.02</v>
      </c>
      <c r="W139" s="1"/>
      <c r="X139" s="1">
        <v>12284.96</v>
      </c>
      <c r="Y139" s="1"/>
      <c r="Z139" s="1">
        <v>0</v>
      </c>
      <c r="AA139" s="1"/>
      <c r="AB139" s="1">
        <v>0</v>
      </c>
      <c r="AC139" s="1"/>
      <c r="AD139" s="1">
        <v>0</v>
      </c>
      <c r="AE139" s="1"/>
      <c r="AF139" s="1">
        <v>0</v>
      </c>
      <c r="AH139" s="4">
        <f t="shared" si="7"/>
        <v>498376.33</v>
      </c>
    </row>
    <row r="140" spans="1:66" s="4" customFormat="1">
      <c r="A140" s="4">
        <v>205</v>
      </c>
      <c r="B140" s="4" t="s">
        <v>169</v>
      </c>
      <c r="D140" s="4" t="s">
        <v>44</v>
      </c>
      <c r="F140" s="4">
        <v>563902</v>
      </c>
      <c r="H140" s="4">
        <v>30000</v>
      </c>
      <c r="J140" s="4">
        <v>0</v>
      </c>
      <c r="L140" s="4">
        <v>0</v>
      </c>
      <c r="N140" s="4">
        <v>0</v>
      </c>
      <c r="P140" s="4">
        <v>13400</v>
      </c>
      <c r="R140" s="4">
        <v>0</v>
      </c>
      <c r="T140" s="4">
        <v>10563</v>
      </c>
      <c r="V140" s="4">
        <v>58756</v>
      </c>
      <c r="X140" s="4">
        <v>32674</v>
      </c>
      <c r="Z140" s="4">
        <v>0</v>
      </c>
      <c r="AB140" s="4">
        <v>0</v>
      </c>
      <c r="AD140" s="4">
        <v>0</v>
      </c>
      <c r="AF140" s="4">
        <v>0</v>
      </c>
      <c r="AH140" s="4">
        <f t="shared" si="7"/>
        <v>709295</v>
      </c>
    </row>
    <row r="141" spans="1:66" s="4" customFormat="1">
      <c r="A141" s="4">
        <v>191</v>
      </c>
      <c r="B141" s="4" t="s">
        <v>170</v>
      </c>
      <c r="D141" s="4" t="s">
        <v>171</v>
      </c>
      <c r="F141" s="1">
        <v>0</v>
      </c>
      <c r="G141" s="1"/>
      <c r="H141" s="1">
        <v>1316542.3799999999</v>
      </c>
      <c r="I141" s="1"/>
      <c r="J141" s="1">
        <v>0</v>
      </c>
      <c r="K141" s="1"/>
      <c r="L141" s="1">
        <v>2825</v>
      </c>
      <c r="M141" s="1"/>
      <c r="N141" s="1">
        <v>0</v>
      </c>
      <c r="O141" s="1"/>
      <c r="P141" s="1">
        <v>40148.06</v>
      </c>
      <c r="Q141" s="1"/>
      <c r="R141" s="1">
        <v>0</v>
      </c>
      <c r="S141" s="1"/>
      <c r="T141" s="1">
        <v>614.20000000000005</v>
      </c>
      <c r="U141" s="1"/>
      <c r="V141" s="1">
        <v>43666.5</v>
      </c>
      <c r="W141" s="1"/>
      <c r="X141" s="1">
        <v>3737.74</v>
      </c>
      <c r="Y141" s="1"/>
      <c r="Z141" s="1">
        <v>0</v>
      </c>
      <c r="AA141" s="1"/>
      <c r="AB141" s="1">
        <v>0</v>
      </c>
      <c r="AC141" s="1"/>
      <c r="AD141" s="1">
        <v>0</v>
      </c>
      <c r="AE141" s="1"/>
      <c r="AF141" s="1">
        <v>0</v>
      </c>
      <c r="AH141" s="4">
        <f t="shared" si="7"/>
        <v>1407533.88</v>
      </c>
    </row>
    <row r="142" spans="1:66" s="4" customFormat="1">
      <c r="A142" s="4">
        <v>14</v>
      </c>
      <c r="B142" s="4" t="s">
        <v>172</v>
      </c>
      <c r="D142" s="4" t="s">
        <v>42</v>
      </c>
      <c r="F142" s="1">
        <v>105386.57</v>
      </c>
      <c r="G142" s="1"/>
      <c r="H142" s="1">
        <v>219995.77</v>
      </c>
      <c r="I142" s="1"/>
      <c r="J142" s="1">
        <v>0</v>
      </c>
      <c r="K142" s="1"/>
      <c r="L142" s="1">
        <v>14697.58</v>
      </c>
      <c r="M142" s="1"/>
      <c r="N142" s="1">
        <v>0</v>
      </c>
      <c r="O142" s="1"/>
      <c r="P142" s="1">
        <v>6005.3</v>
      </c>
      <c r="Q142" s="1"/>
      <c r="R142" s="1">
        <v>0</v>
      </c>
      <c r="S142" s="1"/>
      <c r="T142" s="1">
        <v>8666.84</v>
      </c>
      <c r="U142" s="1"/>
      <c r="V142" s="1">
        <v>23.94</v>
      </c>
      <c r="W142" s="1"/>
      <c r="X142" s="1">
        <v>674.06</v>
      </c>
      <c r="Y142" s="1"/>
      <c r="Z142" s="1">
        <v>0</v>
      </c>
      <c r="AA142" s="1"/>
      <c r="AB142" s="1">
        <v>0</v>
      </c>
      <c r="AC142" s="1"/>
      <c r="AD142" s="1">
        <v>0</v>
      </c>
      <c r="AE142" s="1"/>
      <c r="AF142" s="1">
        <v>0</v>
      </c>
      <c r="AH142" s="4">
        <f t="shared" si="7"/>
        <v>355450.06</v>
      </c>
    </row>
    <row r="143" spans="1:66" s="4" customFormat="1">
      <c r="A143" s="4">
        <v>226</v>
      </c>
      <c r="B143" s="4" t="s">
        <v>173</v>
      </c>
      <c r="D143" s="4" t="s">
        <v>55</v>
      </c>
      <c r="F143" s="1">
        <v>0</v>
      </c>
      <c r="G143" s="1"/>
      <c r="H143" s="1">
        <v>425123.79</v>
      </c>
      <c r="I143" s="1"/>
      <c r="J143" s="1">
        <v>0</v>
      </c>
      <c r="K143" s="1"/>
      <c r="L143" s="1">
        <v>0</v>
      </c>
      <c r="M143" s="1"/>
      <c r="N143" s="1">
        <v>0</v>
      </c>
      <c r="O143" s="1"/>
      <c r="P143" s="1">
        <v>10877.11</v>
      </c>
      <c r="Q143" s="1"/>
      <c r="R143" s="1">
        <v>0</v>
      </c>
      <c r="S143" s="1"/>
      <c r="T143" s="1">
        <v>200</v>
      </c>
      <c r="U143" s="1"/>
      <c r="V143" s="1">
        <v>8158.07</v>
      </c>
      <c r="W143" s="1"/>
      <c r="X143" s="1">
        <v>0</v>
      </c>
      <c r="Y143" s="1"/>
      <c r="Z143" s="1">
        <v>0</v>
      </c>
      <c r="AA143" s="1"/>
      <c r="AB143" s="1">
        <v>0</v>
      </c>
      <c r="AC143" s="1"/>
      <c r="AD143" s="1">
        <v>0</v>
      </c>
      <c r="AE143" s="1"/>
      <c r="AF143" s="1">
        <v>0</v>
      </c>
      <c r="AH143" s="4">
        <f t="shared" si="7"/>
        <v>444358.97</v>
      </c>
    </row>
    <row r="144" spans="1:66" s="4" customFormat="1">
      <c r="A144" s="4">
        <v>124</v>
      </c>
      <c r="B144" s="4" t="s">
        <v>174</v>
      </c>
      <c r="D144" s="4" t="s">
        <v>15</v>
      </c>
      <c r="F144" s="1">
        <v>315144.52</v>
      </c>
      <c r="G144" s="1"/>
      <c r="H144" s="1">
        <v>429082.56</v>
      </c>
      <c r="I144" s="1"/>
      <c r="J144" s="1">
        <v>0</v>
      </c>
      <c r="K144" s="1"/>
      <c r="L144" s="1">
        <v>46232.82</v>
      </c>
      <c r="M144" s="1"/>
      <c r="N144" s="1">
        <v>0</v>
      </c>
      <c r="O144" s="1"/>
      <c r="P144" s="1">
        <v>14623.08</v>
      </c>
      <c r="Q144" s="1"/>
      <c r="R144" s="1">
        <v>0</v>
      </c>
      <c r="S144" s="1"/>
      <c r="T144" s="1">
        <v>14725.89</v>
      </c>
      <c r="U144" s="1"/>
      <c r="V144" s="1">
        <v>5315.47</v>
      </c>
      <c r="W144" s="1"/>
      <c r="X144" s="1">
        <v>1758.21</v>
      </c>
      <c r="Y144" s="1"/>
      <c r="Z144" s="1">
        <v>0</v>
      </c>
      <c r="AA144" s="1"/>
      <c r="AB144" s="1">
        <v>27000</v>
      </c>
      <c r="AC144" s="1"/>
      <c r="AD144" s="1">
        <v>0</v>
      </c>
      <c r="AE144" s="1"/>
      <c r="AF144" s="1">
        <v>12012</v>
      </c>
      <c r="AH144" s="4">
        <f t="shared" si="7"/>
        <v>865894.54999999993</v>
      </c>
    </row>
    <row r="145" spans="1:66" s="4" customFormat="1">
      <c r="A145" s="4">
        <v>54</v>
      </c>
      <c r="B145" s="13" t="s">
        <v>409</v>
      </c>
      <c r="C145" s="13"/>
      <c r="D145" s="13" t="s">
        <v>19</v>
      </c>
      <c r="E145" s="13"/>
      <c r="F145" s="4">
        <v>2030340</v>
      </c>
      <c r="G145" s="13"/>
      <c r="H145" s="4">
        <v>0</v>
      </c>
      <c r="I145" s="13"/>
      <c r="J145" s="4">
        <v>0</v>
      </c>
      <c r="K145" s="13"/>
      <c r="L145" s="4">
        <v>2166244</v>
      </c>
      <c r="M145" s="13"/>
      <c r="N145" s="4">
        <v>0</v>
      </c>
      <c r="O145" s="13"/>
      <c r="P145" s="4">
        <v>105852</v>
      </c>
      <c r="Q145" s="13"/>
      <c r="R145" s="4">
        <v>0</v>
      </c>
      <c r="S145" s="13"/>
      <c r="T145" s="4">
        <v>59172</v>
      </c>
      <c r="U145" s="13"/>
      <c r="V145" s="4">
        <v>14694</v>
      </c>
      <c r="W145" s="13"/>
      <c r="X145" s="4">
        <v>5244</v>
      </c>
      <c r="Y145" s="13"/>
      <c r="Z145" s="4">
        <v>0</v>
      </c>
      <c r="AA145" s="13"/>
      <c r="AB145" s="4">
        <v>0</v>
      </c>
      <c r="AC145" s="13"/>
      <c r="AD145" s="4">
        <v>0</v>
      </c>
      <c r="AE145" s="13"/>
      <c r="AF145" s="4">
        <v>0</v>
      </c>
      <c r="AG145" s="13"/>
      <c r="AH145" s="4">
        <f t="shared" si="7"/>
        <v>4381546</v>
      </c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</row>
    <row r="146" spans="1:66" s="4" customFormat="1">
      <c r="A146" s="4">
        <v>25</v>
      </c>
      <c r="B146" s="4" t="s">
        <v>9</v>
      </c>
      <c r="D146" s="4" t="s">
        <v>10</v>
      </c>
      <c r="F146" s="4">
        <v>0</v>
      </c>
      <c r="H146" s="4">
        <v>0</v>
      </c>
      <c r="J146" s="4">
        <v>0</v>
      </c>
      <c r="L146" s="4">
        <v>4894499</v>
      </c>
      <c r="N146" s="4">
        <v>0</v>
      </c>
      <c r="P146" s="4">
        <v>244339</v>
      </c>
      <c r="R146" s="4">
        <v>0</v>
      </c>
      <c r="T146" s="4">
        <v>111497</v>
      </c>
      <c r="V146" s="4">
        <v>163028</v>
      </c>
      <c r="X146" s="4">
        <v>44480</v>
      </c>
      <c r="Z146" s="4">
        <v>0</v>
      </c>
      <c r="AB146" s="4">
        <v>0</v>
      </c>
      <c r="AD146" s="4">
        <v>0</v>
      </c>
      <c r="AF146" s="4">
        <v>0</v>
      </c>
      <c r="AH146" s="4">
        <f t="shared" si="7"/>
        <v>5457843</v>
      </c>
    </row>
    <row r="147" spans="1:66" s="4" customFormat="1">
      <c r="A147" s="4">
        <v>241</v>
      </c>
      <c r="B147" s="4" t="s">
        <v>175</v>
      </c>
      <c r="D147" s="4" t="s">
        <v>53</v>
      </c>
      <c r="F147" s="1">
        <v>0</v>
      </c>
      <c r="G147" s="1"/>
      <c r="H147" s="1">
        <v>678309.27</v>
      </c>
      <c r="I147" s="1"/>
      <c r="J147" s="1">
        <v>0</v>
      </c>
      <c r="K147" s="1"/>
      <c r="L147" s="1">
        <v>1005</v>
      </c>
      <c r="M147" s="1"/>
      <c r="N147" s="1">
        <v>0</v>
      </c>
      <c r="O147" s="1"/>
      <c r="P147" s="1">
        <v>37645.15</v>
      </c>
      <c r="Q147" s="1"/>
      <c r="R147" s="1">
        <v>0</v>
      </c>
      <c r="S147" s="1"/>
      <c r="T147" s="1">
        <v>29893.47</v>
      </c>
      <c r="U147" s="1"/>
      <c r="V147" s="1">
        <v>36709.71</v>
      </c>
      <c r="W147" s="1"/>
      <c r="X147" s="1">
        <v>632.36</v>
      </c>
      <c r="Y147" s="1"/>
      <c r="Z147" s="1">
        <v>2545.25</v>
      </c>
      <c r="AA147" s="1"/>
      <c r="AB147" s="1">
        <v>0</v>
      </c>
      <c r="AC147" s="1"/>
      <c r="AD147" s="1">
        <v>0</v>
      </c>
      <c r="AE147" s="1"/>
      <c r="AF147" s="1">
        <v>0</v>
      </c>
      <c r="AH147" s="4">
        <f t="shared" si="7"/>
        <v>786740.21</v>
      </c>
    </row>
    <row r="148" spans="1:66" s="4" customFormat="1">
      <c r="A148" s="4">
        <v>41</v>
      </c>
      <c r="B148" s="4" t="s">
        <v>304</v>
      </c>
      <c r="D148" s="4" t="s">
        <v>50</v>
      </c>
      <c r="F148" s="1">
        <v>0</v>
      </c>
      <c r="G148" s="1"/>
      <c r="H148" s="1">
        <v>272871.21000000002</v>
      </c>
      <c r="I148" s="1"/>
      <c r="J148" s="1">
        <v>0</v>
      </c>
      <c r="K148" s="1"/>
      <c r="L148" s="1">
        <v>0</v>
      </c>
      <c r="M148" s="1"/>
      <c r="N148" s="1">
        <v>0</v>
      </c>
      <c r="O148" s="1"/>
      <c r="P148" s="1">
        <v>5941.35</v>
      </c>
      <c r="Q148" s="1"/>
      <c r="R148" s="1">
        <v>0</v>
      </c>
      <c r="S148" s="1"/>
      <c r="T148" s="1">
        <v>12681.48</v>
      </c>
      <c r="U148" s="1"/>
      <c r="V148" s="1">
        <v>14647.09</v>
      </c>
      <c r="W148" s="1"/>
      <c r="X148" s="1">
        <v>441.6</v>
      </c>
      <c r="Y148" s="1"/>
      <c r="Z148" s="1">
        <v>0</v>
      </c>
      <c r="AA148" s="1"/>
      <c r="AB148" s="1">
        <v>608111.57999999996</v>
      </c>
      <c r="AC148" s="1"/>
      <c r="AD148" s="1">
        <v>0</v>
      </c>
      <c r="AE148" s="1"/>
      <c r="AF148" s="1">
        <f>803.9+800000</f>
        <v>800803.9</v>
      </c>
      <c r="AH148" s="4">
        <f t="shared" si="7"/>
        <v>1715498.21</v>
      </c>
    </row>
    <row r="149" spans="1:66" s="4" customFormat="1">
      <c r="A149" s="4">
        <v>42</v>
      </c>
      <c r="B149" s="4" t="s">
        <v>176</v>
      </c>
      <c r="D149" s="4" t="s">
        <v>50</v>
      </c>
      <c r="F149" s="1">
        <v>0</v>
      </c>
      <c r="G149" s="1"/>
      <c r="H149" s="1">
        <v>439115.58</v>
      </c>
      <c r="I149" s="1"/>
      <c r="J149" s="1">
        <v>0</v>
      </c>
      <c r="K149" s="1"/>
      <c r="L149" s="1">
        <v>0</v>
      </c>
      <c r="M149" s="1"/>
      <c r="N149" s="1">
        <v>0</v>
      </c>
      <c r="O149" s="1"/>
      <c r="P149" s="1">
        <v>7872.14</v>
      </c>
      <c r="Q149" s="1"/>
      <c r="R149" s="1">
        <v>0</v>
      </c>
      <c r="S149" s="1"/>
      <c r="T149" s="1">
        <v>52892.97</v>
      </c>
      <c r="U149" s="1"/>
      <c r="V149" s="1">
        <v>61637.46</v>
      </c>
      <c r="W149" s="1"/>
      <c r="X149" s="1">
        <v>18572.36</v>
      </c>
      <c r="Y149" s="1"/>
      <c r="Z149" s="1">
        <v>0</v>
      </c>
      <c r="AA149" s="1"/>
      <c r="AB149" s="1">
        <v>81148.5</v>
      </c>
      <c r="AC149" s="1"/>
      <c r="AD149" s="1">
        <v>0</v>
      </c>
      <c r="AE149" s="1"/>
      <c r="AF149" s="1">
        <v>0</v>
      </c>
      <c r="AH149" s="4">
        <f t="shared" si="7"/>
        <v>661239.01</v>
      </c>
    </row>
    <row r="150" spans="1:66" s="4" customFormat="1">
      <c r="A150" s="4">
        <v>104</v>
      </c>
      <c r="B150" s="4" t="s">
        <v>177</v>
      </c>
      <c r="D150" s="4" t="s">
        <v>59</v>
      </c>
      <c r="F150" s="1">
        <v>0</v>
      </c>
      <c r="G150" s="1"/>
      <c r="H150" s="1">
        <v>140668.76999999999</v>
      </c>
      <c r="I150" s="1"/>
      <c r="J150" s="1">
        <v>0</v>
      </c>
      <c r="K150" s="1"/>
      <c r="L150" s="1">
        <v>0</v>
      </c>
      <c r="M150" s="1"/>
      <c r="N150" s="1">
        <v>0</v>
      </c>
      <c r="O150" s="1"/>
      <c r="P150" s="1">
        <v>5697.23</v>
      </c>
      <c r="Q150" s="1"/>
      <c r="R150" s="1">
        <v>761.57</v>
      </c>
      <c r="S150" s="1"/>
      <c r="T150" s="1">
        <v>5283.46</v>
      </c>
      <c r="U150" s="1"/>
      <c r="V150" s="1">
        <v>16.059999999999999</v>
      </c>
      <c r="W150" s="1"/>
      <c r="X150" s="1">
        <v>217.21</v>
      </c>
      <c r="Y150" s="1"/>
      <c r="Z150" s="1">
        <v>0</v>
      </c>
      <c r="AA150" s="1"/>
      <c r="AB150" s="1">
        <v>0</v>
      </c>
      <c r="AC150" s="1"/>
      <c r="AD150" s="1">
        <v>0</v>
      </c>
      <c r="AE150" s="1"/>
      <c r="AF150" s="1">
        <v>0</v>
      </c>
      <c r="AH150" s="4">
        <f t="shared" si="7"/>
        <v>152644.29999999999</v>
      </c>
    </row>
    <row r="151" spans="1:66" s="4" customFormat="1" hidden="1">
      <c r="A151" s="4">
        <v>134</v>
      </c>
      <c r="B151" s="4" t="s">
        <v>519</v>
      </c>
      <c r="D151" s="4" t="s">
        <v>40</v>
      </c>
      <c r="AH151" s="4">
        <f t="shared" si="7"/>
        <v>0</v>
      </c>
    </row>
    <row r="152" spans="1:66" s="4" customFormat="1">
      <c r="A152" s="4">
        <v>5</v>
      </c>
      <c r="B152" s="4" t="s">
        <v>178</v>
      </c>
      <c r="D152" s="4" t="s">
        <v>96</v>
      </c>
      <c r="F152" s="4">
        <v>847</v>
      </c>
      <c r="H152" s="4">
        <v>2979723</v>
      </c>
      <c r="J152" s="4">
        <v>0</v>
      </c>
      <c r="L152" s="4">
        <v>0</v>
      </c>
      <c r="N152" s="4">
        <v>0</v>
      </c>
      <c r="P152" s="4">
        <v>72013</v>
      </c>
      <c r="R152" s="4">
        <v>5586</v>
      </c>
      <c r="T152" s="4">
        <v>36959</v>
      </c>
      <c r="V152" s="4">
        <v>12584</v>
      </c>
      <c r="X152" s="4">
        <v>137193</v>
      </c>
      <c r="Z152" s="4">
        <v>0</v>
      </c>
      <c r="AB152" s="4">
        <v>0</v>
      </c>
      <c r="AD152" s="4">
        <v>0</v>
      </c>
      <c r="AF152" s="4">
        <v>0</v>
      </c>
      <c r="AH152" s="4">
        <f t="shared" si="7"/>
        <v>3244905</v>
      </c>
    </row>
    <row r="153" spans="1:66" s="4" customFormat="1">
      <c r="A153" s="4">
        <v>139</v>
      </c>
      <c r="B153" s="4" t="s">
        <v>520</v>
      </c>
      <c r="D153" s="4" t="s">
        <v>86</v>
      </c>
      <c r="F153" s="4">
        <v>0</v>
      </c>
      <c r="H153" s="4">
        <v>1202052</v>
      </c>
      <c r="J153" s="4">
        <v>21007</v>
      </c>
      <c r="L153" s="4">
        <v>0</v>
      </c>
      <c r="N153" s="4">
        <v>0</v>
      </c>
      <c r="P153" s="4">
        <v>23560</v>
      </c>
      <c r="R153" s="4">
        <v>0</v>
      </c>
      <c r="T153" s="4">
        <v>24099</v>
      </c>
      <c r="V153" s="4">
        <v>6792</v>
      </c>
      <c r="X153" s="4">
        <v>29064</v>
      </c>
      <c r="Z153" s="4">
        <v>0</v>
      </c>
      <c r="AB153" s="4">
        <v>0</v>
      </c>
      <c r="AD153" s="4">
        <v>0</v>
      </c>
      <c r="AF153" s="4">
        <v>0</v>
      </c>
      <c r="AH153" s="4">
        <f t="shared" si="7"/>
        <v>1306574</v>
      </c>
    </row>
    <row r="154" spans="1:66" s="4" customFormat="1">
      <c r="A154" s="4">
        <v>108</v>
      </c>
      <c r="B154" s="4" t="s">
        <v>521</v>
      </c>
      <c r="D154" s="4" t="s">
        <v>179</v>
      </c>
      <c r="F154" s="4">
        <v>0</v>
      </c>
      <c r="H154" s="4">
        <v>811209</v>
      </c>
      <c r="J154" s="4">
        <v>0</v>
      </c>
      <c r="L154" s="4">
        <v>40937</v>
      </c>
      <c r="N154" s="4">
        <v>0</v>
      </c>
      <c r="P154" s="4">
        <v>0</v>
      </c>
      <c r="R154" s="4">
        <v>0</v>
      </c>
      <c r="T154" s="4">
        <v>43467</v>
      </c>
      <c r="V154" s="4">
        <v>45451</v>
      </c>
      <c r="X154" s="4">
        <v>41430</v>
      </c>
      <c r="Z154" s="4">
        <v>0</v>
      </c>
      <c r="AB154" s="4">
        <v>0</v>
      </c>
      <c r="AD154" s="4">
        <v>0</v>
      </c>
      <c r="AF154" s="4">
        <v>0</v>
      </c>
      <c r="AH154" s="4">
        <f t="shared" si="7"/>
        <v>982494</v>
      </c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</row>
    <row r="155" spans="1:66" s="4" customFormat="1">
      <c r="A155" s="4">
        <v>149</v>
      </c>
      <c r="B155" s="4" t="s">
        <v>11</v>
      </c>
      <c r="D155" s="4" t="s">
        <v>12</v>
      </c>
      <c r="F155" s="4">
        <v>335606</v>
      </c>
      <c r="H155" s="4">
        <v>0</v>
      </c>
      <c r="J155" s="4">
        <v>0</v>
      </c>
      <c r="L155" s="4">
        <v>532194</v>
      </c>
      <c r="N155" s="4">
        <v>0</v>
      </c>
      <c r="P155" s="4">
        <v>22631</v>
      </c>
      <c r="R155" s="4">
        <v>0</v>
      </c>
      <c r="T155" s="4">
        <v>3719</v>
      </c>
      <c r="V155" s="4">
        <v>16672</v>
      </c>
      <c r="X155" s="4">
        <v>329</v>
      </c>
      <c r="Z155" s="4">
        <v>0</v>
      </c>
      <c r="AB155" s="4">
        <v>0</v>
      </c>
      <c r="AD155" s="4">
        <v>0</v>
      </c>
      <c r="AF155" s="4">
        <v>0</v>
      </c>
      <c r="AH155" s="4">
        <f t="shared" si="7"/>
        <v>911151</v>
      </c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</row>
    <row r="156" spans="1:66" s="4" customFormat="1">
      <c r="A156" s="4">
        <v>145</v>
      </c>
      <c r="B156" s="4" t="s">
        <v>180</v>
      </c>
      <c r="D156" s="4" t="s">
        <v>56</v>
      </c>
      <c r="F156" s="4">
        <v>4056447</v>
      </c>
      <c r="H156" s="4">
        <v>127341</v>
      </c>
      <c r="J156" s="4">
        <v>0</v>
      </c>
      <c r="L156" s="4">
        <v>4656062</v>
      </c>
      <c r="N156" s="4">
        <v>0</v>
      </c>
      <c r="P156" s="4">
        <v>0</v>
      </c>
      <c r="R156" s="4">
        <v>0</v>
      </c>
      <c r="T156" s="4">
        <f>44697+351</f>
        <v>45048</v>
      </c>
      <c r="V156" s="4">
        <v>91295</v>
      </c>
      <c r="X156" s="4">
        <v>21788</v>
      </c>
      <c r="Z156" s="4">
        <v>0</v>
      </c>
      <c r="AB156" s="4">
        <v>0</v>
      </c>
      <c r="AD156" s="4">
        <v>0</v>
      </c>
      <c r="AF156" s="4">
        <v>2841472</v>
      </c>
      <c r="AH156" s="4">
        <f t="shared" si="7"/>
        <v>11839453</v>
      </c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</row>
    <row r="157" spans="1:66" s="4" customFormat="1">
      <c r="A157" s="4">
        <v>7</v>
      </c>
      <c r="B157" s="4" t="s">
        <v>181</v>
      </c>
      <c r="D157" s="4" t="s">
        <v>82</v>
      </c>
      <c r="F157" s="4">
        <v>1413</v>
      </c>
      <c r="H157" s="4">
        <v>561542</v>
      </c>
      <c r="J157" s="4">
        <v>0</v>
      </c>
      <c r="L157" s="4">
        <v>0</v>
      </c>
      <c r="N157" s="4">
        <v>0</v>
      </c>
      <c r="P157" s="4">
        <v>16613</v>
      </c>
      <c r="R157" s="4">
        <v>341</v>
      </c>
      <c r="T157" s="4">
        <v>43218</v>
      </c>
      <c r="V157" s="4">
        <v>1665</v>
      </c>
      <c r="X157" s="4">
        <v>8657</v>
      </c>
      <c r="Z157" s="4">
        <v>0</v>
      </c>
      <c r="AB157" s="4">
        <v>16547</v>
      </c>
      <c r="AD157" s="4">
        <v>0</v>
      </c>
      <c r="AF157" s="4">
        <v>0</v>
      </c>
      <c r="AH157" s="4">
        <f t="shared" si="7"/>
        <v>649996</v>
      </c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</row>
    <row r="158" spans="1:66" s="4" customFormat="1">
      <c r="A158" s="4">
        <v>210</v>
      </c>
      <c r="B158" s="4" t="s">
        <v>305</v>
      </c>
      <c r="D158" s="4" t="s">
        <v>25</v>
      </c>
      <c r="F158" s="1">
        <v>528743.93000000005</v>
      </c>
      <c r="G158" s="1"/>
      <c r="H158" s="1">
        <v>0</v>
      </c>
      <c r="I158" s="1"/>
      <c r="J158" s="1">
        <v>0</v>
      </c>
      <c r="K158" s="1"/>
      <c r="L158" s="1">
        <v>500</v>
      </c>
      <c r="M158" s="1"/>
      <c r="N158" s="1">
        <v>0</v>
      </c>
      <c r="O158" s="1"/>
      <c r="P158" s="1">
        <v>23496.22</v>
      </c>
      <c r="Q158" s="1"/>
      <c r="R158" s="1">
        <v>10216.290000000001</v>
      </c>
      <c r="S158" s="1"/>
      <c r="T158" s="1">
        <v>13950.42</v>
      </c>
      <c r="U158" s="1"/>
      <c r="V158" s="1">
        <v>1198.6400000000001</v>
      </c>
      <c r="W158" s="1"/>
      <c r="X158" s="1">
        <v>5805.34</v>
      </c>
      <c r="Y158" s="1"/>
      <c r="Z158" s="1">
        <v>438</v>
      </c>
      <c r="AA158" s="1"/>
      <c r="AB158" s="1">
        <v>41000</v>
      </c>
      <c r="AC158" s="1"/>
      <c r="AD158" s="1">
        <v>0</v>
      </c>
      <c r="AE158" s="1"/>
      <c r="AF158" s="1">
        <v>0</v>
      </c>
      <c r="AH158" s="4">
        <f t="shared" si="7"/>
        <v>625348.84000000008</v>
      </c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</row>
    <row r="159" spans="1:66" s="4" customFormat="1">
      <c r="A159" s="4">
        <v>125</v>
      </c>
      <c r="B159" s="4" t="s">
        <v>182</v>
      </c>
      <c r="D159" s="4" t="s">
        <v>15</v>
      </c>
      <c r="F159" s="4">
        <v>282504</v>
      </c>
      <c r="H159" s="4">
        <v>0</v>
      </c>
      <c r="J159" s="4">
        <v>0</v>
      </c>
      <c r="L159" s="4">
        <v>652926</v>
      </c>
      <c r="N159" s="4">
        <v>0</v>
      </c>
      <c r="P159" s="4">
        <v>35048</v>
      </c>
      <c r="R159" s="4">
        <v>0</v>
      </c>
      <c r="T159" s="4">
        <v>50023</v>
      </c>
      <c r="V159" s="4">
        <v>5240</v>
      </c>
      <c r="X159" s="4">
        <v>5261</v>
      </c>
      <c r="Z159" s="4">
        <v>0</v>
      </c>
      <c r="AB159" s="4">
        <v>0</v>
      </c>
      <c r="AD159" s="4">
        <v>0</v>
      </c>
      <c r="AF159" s="4">
        <v>0</v>
      </c>
      <c r="AH159" s="4">
        <f t="shared" si="7"/>
        <v>1031002</v>
      </c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</row>
    <row r="160" spans="1:66" s="4" customFormat="1">
      <c r="A160" s="4">
        <v>197</v>
      </c>
      <c r="B160" s="4" t="s">
        <v>548</v>
      </c>
      <c r="D160" s="4" t="s">
        <v>183</v>
      </c>
      <c r="F160" s="4">
        <v>3412429</v>
      </c>
      <c r="H160" s="4">
        <f>3613195+17550</f>
        <v>3630745</v>
      </c>
      <c r="J160" s="4">
        <v>0</v>
      </c>
      <c r="L160" s="4">
        <v>428630</v>
      </c>
      <c r="N160" s="4">
        <v>0</v>
      </c>
      <c r="P160" s="4">
        <v>234886</v>
      </c>
      <c r="R160" s="4">
        <v>0</v>
      </c>
      <c r="T160" s="4">
        <v>26472</v>
      </c>
      <c r="V160" s="4">
        <v>78115</v>
      </c>
      <c r="X160" s="4">
        <v>144604</v>
      </c>
      <c r="Z160" s="4">
        <v>0</v>
      </c>
      <c r="AB160" s="4">
        <v>0</v>
      </c>
      <c r="AD160" s="4">
        <v>0</v>
      </c>
      <c r="AF160" s="4">
        <v>90000</v>
      </c>
      <c r="AH160" s="4">
        <f t="shared" si="7"/>
        <v>8045881</v>
      </c>
    </row>
    <row r="161" spans="1:66" s="4" customFormat="1">
      <c r="A161" s="4">
        <v>195</v>
      </c>
      <c r="B161" s="4" t="s">
        <v>184</v>
      </c>
      <c r="D161" s="4" t="s">
        <v>101</v>
      </c>
      <c r="F161" s="1">
        <v>0</v>
      </c>
      <c r="G161" s="1"/>
      <c r="H161" s="1">
        <v>49624.4</v>
      </c>
      <c r="I161" s="1"/>
      <c r="J161" s="1">
        <v>0</v>
      </c>
      <c r="K161" s="1"/>
      <c r="L161" s="1">
        <v>0</v>
      </c>
      <c r="M161" s="1"/>
      <c r="N161" s="1">
        <v>0</v>
      </c>
      <c r="O161" s="1"/>
      <c r="P161" s="1">
        <v>5140.21</v>
      </c>
      <c r="Q161" s="1"/>
      <c r="R161" s="1">
        <v>0</v>
      </c>
      <c r="S161" s="1"/>
      <c r="T161" s="1">
        <v>0</v>
      </c>
      <c r="U161" s="1"/>
      <c r="V161" s="1">
        <v>823.98</v>
      </c>
      <c r="W161" s="1"/>
      <c r="X161" s="1">
        <v>0</v>
      </c>
      <c r="Y161" s="1"/>
      <c r="Z161" s="1">
        <v>0</v>
      </c>
      <c r="AA161" s="1"/>
      <c r="AB161" s="1">
        <v>0</v>
      </c>
      <c r="AC161" s="1"/>
      <c r="AD161" s="1">
        <v>0</v>
      </c>
      <c r="AE161" s="1"/>
      <c r="AF161" s="1">
        <v>0</v>
      </c>
      <c r="AH161" s="4">
        <f t="shared" si="7"/>
        <v>55588.590000000004</v>
      </c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</row>
    <row r="162" spans="1:66" s="4" customFormat="1">
      <c r="A162" s="4">
        <v>154</v>
      </c>
      <c r="B162" s="4" t="s">
        <v>185</v>
      </c>
      <c r="D162" s="4" t="s">
        <v>186</v>
      </c>
      <c r="F162" s="4">
        <v>1978367</v>
      </c>
      <c r="H162" s="4">
        <v>0</v>
      </c>
      <c r="J162" s="4">
        <v>0</v>
      </c>
      <c r="L162" s="4">
        <v>0</v>
      </c>
      <c r="N162" s="4">
        <v>0</v>
      </c>
      <c r="P162" s="4">
        <v>56743</v>
      </c>
      <c r="R162" s="4">
        <v>0</v>
      </c>
      <c r="T162" s="4">
        <v>15150</v>
      </c>
      <c r="V162" s="4">
        <v>27342</v>
      </c>
      <c r="X162" s="4">
        <v>65351</v>
      </c>
      <c r="Z162" s="4">
        <v>0</v>
      </c>
      <c r="AB162" s="4">
        <v>0</v>
      </c>
      <c r="AD162" s="4">
        <v>0</v>
      </c>
      <c r="AF162" s="4">
        <v>0</v>
      </c>
      <c r="AH162" s="4">
        <f t="shared" si="7"/>
        <v>2142953</v>
      </c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</row>
    <row r="163" spans="1:66" s="4" customFormat="1"/>
    <row r="164" spans="1:66" s="4" customFormat="1">
      <c r="AH164" s="27" t="s">
        <v>538</v>
      </c>
    </row>
    <row r="165" spans="1:66">
      <c r="B165" s="3" t="s">
        <v>493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66">
      <c r="B166" s="3" t="s">
        <v>565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66">
      <c r="B167" s="24" t="s">
        <v>7</v>
      </c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66"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66" s="19" customFormat="1">
      <c r="F169" s="17"/>
      <c r="G169" s="17"/>
      <c r="H169" s="17" t="s">
        <v>279</v>
      </c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66" s="19" customFormat="1">
      <c r="F170" s="17" t="s">
        <v>31</v>
      </c>
      <c r="G170" s="17"/>
      <c r="H170" s="17" t="s">
        <v>280</v>
      </c>
      <c r="I170" s="17"/>
      <c r="J170" s="17"/>
      <c r="K170" s="17"/>
      <c r="L170" s="17"/>
      <c r="M170" s="17"/>
      <c r="N170" s="17"/>
      <c r="O170" s="17"/>
      <c r="P170" s="17"/>
      <c r="Q170" s="17"/>
      <c r="R170" s="17" t="s">
        <v>29</v>
      </c>
      <c r="S170" s="17"/>
      <c r="T170" s="17" t="s">
        <v>286</v>
      </c>
      <c r="U170" s="17"/>
      <c r="V170" s="17"/>
      <c r="W170" s="17"/>
      <c r="X170" s="17"/>
      <c r="Y170" s="17"/>
      <c r="Z170" s="17" t="s">
        <v>291</v>
      </c>
      <c r="AA170" s="17"/>
      <c r="AB170" s="17"/>
      <c r="AC170" s="17"/>
      <c r="AD170" s="17"/>
      <c r="AE170" s="17"/>
      <c r="AF170" s="17" t="s">
        <v>0</v>
      </c>
      <c r="AG170" s="17"/>
      <c r="AH170" s="17"/>
    </row>
    <row r="171" spans="1:66" s="19" customFormat="1" ht="12" customHeight="1">
      <c r="F171" s="17" t="s">
        <v>0</v>
      </c>
      <c r="G171" s="17"/>
      <c r="H171" s="17" t="s">
        <v>281</v>
      </c>
      <c r="I171" s="17"/>
      <c r="J171" s="17" t="s">
        <v>503</v>
      </c>
      <c r="K171" s="17"/>
      <c r="L171" s="17" t="s">
        <v>345</v>
      </c>
      <c r="M171" s="17"/>
      <c r="N171" s="17"/>
      <c r="O171" s="17"/>
      <c r="P171" s="17" t="s">
        <v>283</v>
      </c>
      <c r="Q171" s="17"/>
      <c r="R171" s="17" t="s">
        <v>285</v>
      </c>
      <c r="S171" s="17"/>
      <c r="T171" s="17" t="s">
        <v>287</v>
      </c>
      <c r="U171" s="17"/>
      <c r="V171" s="17" t="s">
        <v>289</v>
      </c>
      <c r="W171" s="17"/>
      <c r="X171" s="17"/>
      <c r="Y171" s="17"/>
      <c r="Z171" s="17" t="s">
        <v>292</v>
      </c>
      <c r="AA171" s="17"/>
      <c r="AB171" s="17"/>
      <c r="AC171" s="17"/>
      <c r="AD171" s="17"/>
      <c r="AE171" s="17"/>
      <c r="AF171" s="17" t="s">
        <v>293</v>
      </c>
      <c r="AG171" s="17"/>
      <c r="AH171" s="17"/>
    </row>
    <row r="172" spans="1:66" s="19" customFormat="1" ht="12" customHeight="1">
      <c r="A172" s="19" t="s">
        <v>525</v>
      </c>
      <c r="B172" s="20"/>
      <c r="C172" s="28"/>
      <c r="D172" s="20" t="s">
        <v>6</v>
      </c>
      <c r="E172" s="28"/>
      <c r="F172" s="36" t="s">
        <v>278</v>
      </c>
      <c r="G172" s="33"/>
      <c r="H172" s="36" t="s">
        <v>282</v>
      </c>
      <c r="I172" s="33"/>
      <c r="J172" s="36" t="s">
        <v>504</v>
      </c>
      <c r="K172" s="33"/>
      <c r="L172" s="36" t="s">
        <v>346</v>
      </c>
      <c r="M172" s="33"/>
      <c r="N172" s="36" t="s">
        <v>505</v>
      </c>
      <c r="O172" s="33"/>
      <c r="P172" s="36" t="s">
        <v>284</v>
      </c>
      <c r="Q172" s="33"/>
      <c r="R172" s="36" t="s">
        <v>507</v>
      </c>
      <c r="S172" s="33"/>
      <c r="T172" s="36" t="s">
        <v>288</v>
      </c>
      <c r="U172" s="33"/>
      <c r="V172" s="36" t="s">
        <v>290</v>
      </c>
      <c r="W172" s="33"/>
      <c r="X172" s="36" t="s">
        <v>1</v>
      </c>
      <c r="Y172" s="33"/>
      <c r="Z172" s="36" t="s">
        <v>32</v>
      </c>
      <c r="AA172" s="33"/>
      <c r="AB172" s="36" t="s">
        <v>479</v>
      </c>
      <c r="AC172" s="33"/>
      <c r="AD172" s="36" t="s">
        <v>480</v>
      </c>
      <c r="AE172" s="33"/>
      <c r="AF172" s="36" t="s">
        <v>294</v>
      </c>
      <c r="AG172" s="33"/>
      <c r="AH172" s="23" t="s">
        <v>28</v>
      </c>
    </row>
    <row r="173" spans="1:66" s="5" customFormat="1">
      <c r="A173" s="5">
        <v>21</v>
      </c>
      <c r="B173" s="5" t="s">
        <v>401</v>
      </c>
      <c r="D173" s="5" t="s">
        <v>13</v>
      </c>
      <c r="F173" s="2">
        <v>0</v>
      </c>
      <c r="G173" s="2"/>
      <c r="H173" s="2">
        <v>940118.35</v>
      </c>
      <c r="I173" s="2"/>
      <c r="J173" s="2">
        <v>0</v>
      </c>
      <c r="K173" s="2"/>
      <c r="L173" s="2">
        <v>38700</v>
      </c>
      <c r="M173" s="2"/>
      <c r="N173" s="2">
        <v>0</v>
      </c>
      <c r="O173" s="2"/>
      <c r="P173" s="2">
        <v>35033.69</v>
      </c>
      <c r="Q173" s="2"/>
      <c r="R173" s="2">
        <v>0</v>
      </c>
      <c r="S173" s="2"/>
      <c r="T173" s="2">
        <v>22835.14</v>
      </c>
      <c r="U173" s="2"/>
      <c r="V173" s="2">
        <v>11150.24</v>
      </c>
      <c r="W173" s="2"/>
      <c r="X173" s="2">
        <v>7459.83</v>
      </c>
      <c r="Y173" s="2"/>
      <c r="Z173" s="2">
        <v>0</v>
      </c>
      <c r="AA173" s="2"/>
      <c r="AB173" s="2">
        <v>29915.78</v>
      </c>
      <c r="AC173" s="2"/>
      <c r="AD173" s="2">
        <v>0</v>
      </c>
      <c r="AE173" s="2"/>
      <c r="AF173" s="2">
        <v>0</v>
      </c>
      <c r="AH173" s="5">
        <f t="shared" ref="AH173:AH204" si="8">SUM(F173:AF173)</f>
        <v>1085213.03</v>
      </c>
    </row>
    <row r="174" spans="1:66" s="5" customFormat="1">
      <c r="A174" s="4">
        <v>198</v>
      </c>
      <c r="B174" s="4" t="s">
        <v>187</v>
      </c>
      <c r="C174" s="4"/>
      <c r="D174" s="4" t="s">
        <v>183</v>
      </c>
      <c r="E174" s="4"/>
      <c r="F174" s="1">
        <v>0</v>
      </c>
      <c r="G174" s="1"/>
      <c r="H174" s="1">
        <v>452691.49</v>
      </c>
      <c r="I174" s="1"/>
      <c r="J174" s="1">
        <v>0</v>
      </c>
      <c r="K174" s="1"/>
      <c r="L174" s="1">
        <v>3900</v>
      </c>
      <c r="M174" s="1"/>
      <c r="N174" s="1">
        <v>0</v>
      </c>
      <c r="O174" s="1"/>
      <c r="P174" s="1">
        <v>24978.59</v>
      </c>
      <c r="Q174" s="1"/>
      <c r="R174" s="1">
        <v>0</v>
      </c>
      <c r="S174" s="1"/>
      <c r="T174" s="1">
        <v>13781.62</v>
      </c>
      <c r="U174" s="1"/>
      <c r="V174" s="1">
        <v>49148.05</v>
      </c>
      <c r="W174" s="1"/>
      <c r="X174" s="1">
        <v>2254.9899999999998</v>
      </c>
      <c r="Y174" s="1"/>
      <c r="Z174" s="1">
        <v>0</v>
      </c>
      <c r="AA174" s="1"/>
      <c r="AB174" s="1">
        <v>0</v>
      </c>
      <c r="AC174" s="1"/>
      <c r="AD174" s="1">
        <v>0</v>
      </c>
      <c r="AE174" s="1"/>
      <c r="AF174" s="1">
        <v>1608.88</v>
      </c>
      <c r="AG174" s="4"/>
      <c r="AH174" s="4">
        <f t="shared" si="8"/>
        <v>548363.62</v>
      </c>
    </row>
    <row r="175" spans="1:66" s="4" customFormat="1">
      <c r="A175" s="4">
        <v>242</v>
      </c>
      <c r="B175" s="4" t="s">
        <v>188</v>
      </c>
      <c r="D175" s="4" t="s">
        <v>53</v>
      </c>
      <c r="F175" s="1">
        <v>161.74</v>
      </c>
      <c r="G175" s="1"/>
      <c r="H175" s="1">
        <v>539158.04</v>
      </c>
      <c r="I175" s="1"/>
      <c r="J175" s="1">
        <v>0</v>
      </c>
      <c r="K175" s="1"/>
      <c r="L175" s="1">
        <v>2238</v>
      </c>
      <c r="M175" s="1"/>
      <c r="N175" s="1">
        <v>0</v>
      </c>
      <c r="O175" s="1"/>
      <c r="P175" s="1">
        <v>20344.900000000001</v>
      </c>
      <c r="Q175" s="1"/>
      <c r="R175" s="1">
        <v>0</v>
      </c>
      <c r="S175" s="1"/>
      <c r="T175" s="1">
        <v>3373.37</v>
      </c>
      <c r="U175" s="1"/>
      <c r="V175" s="1">
        <v>10544.47</v>
      </c>
      <c r="W175" s="1"/>
      <c r="X175" s="1">
        <v>1499.23</v>
      </c>
      <c r="Y175" s="1"/>
      <c r="Z175" s="1">
        <v>0</v>
      </c>
      <c r="AA175" s="1"/>
      <c r="AB175" s="1">
        <v>0</v>
      </c>
      <c r="AC175" s="1"/>
      <c r="AD175" s="1">
        <v>0</v>
      </c>
      <c r="AE175" s="1"/>
      <c r="AF175" s="1">
        <v>0</v>
      </c>
      <c r="AH175" s="4">
        <f t="shared" si="8"/>
        <v>577319.75</v>
      </c>
    </row>
    <row r="176" spans="1:66" s="4" customFormat="1">
      <c r="A176" s="4">
        <v>99</v>
      </c>
      <c r="B176" s="4" t="s">
        <v>189</v>
      </c>
      <c r="D176" s="4" t="s">
        <v>60</v>
      </c>
      <c r="F176" s="1">
        <v>0</v>
      </c>
      <c r="G176" s="1"/>
      <c r="H176" s="1">
        <v>450425.49</v>
      </c>
      <c r="I176" s="1"/>
      <c r="J176" s="1">
        <v>0</v>
      </c>
      <c r="K176" s="1"/>
      <c r="L176" s="1">
        <v>0</v>
      </c>
      <c r="M176" s="1"/>
      <c r="N176" s="1">
        <v>0</v>
      </c>
      <c r="O176" s="1"/>
      <c r="P176" s="1">
        <v>21780.36</v>
      </c>
      <c r="Q176" s="1"/>
      <c r="R176" s="1">
        <v>0</v>
      </c>
      <c r="S176" s="1"/>
      <c r="T176" s="1">
        <v>21087.43</v>
      </c>
      <c r="U176" s="1"/>
      <c r="V176" s="1">
        <v>497294.82</v>
      </c>
      <c r="W176" s="1"/>
      <c r="X176" s="1">
        <v>8069.19</v>
      </c>
      <c r="Y176" s="1"/>
      <c r="Z176" s="1">
        <v>0</v>
      </c>
      <c r="AA176" s="1"/>
      <c r="AB176" s="1">
        <v>0</v>
      </c>
      <c r="AC176" s="1"/>
      <c r="AD176" s="1">
        <v>0</v>
      </c>
      <c r="AE176" s="1"/>
      <c r="AF176" s="1">
        <v>1225</v>
      </c>
      <c r="AH176" s="4">
        <f t="shared" si="8"/>
        <v>999882.28999999992</v>
      </c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</row>
    <row r="177" spans="1:66" s="4" customFormat="1">
      <c r="A177" s="4">
        <v>237</v>
      </c>
      <c r="B177" s="4" t="s">
        <v>190</v>
      </c>
      <c r="D177" s="4" t="s">
        <v>191</v>
      </c>
      <c r="F177" s="4">
        <v>546473</v>
      </c>
      <c r="H177" s="4">
        <v>608753</v>
      </c>
      <c r="J177" s="4">
        <v>0</v>
      </c>
      <c r="L177" s="4">
        <v>260482</v>
      </c>
      <c r="N177" s="4">
        <v>0</v>
      </c>
      <c r="P177" s="4">
        <v>66350</v>
      </c>
      <c r="R177" s="4">
        <v>0</v>
      </c>
      <c r="T177" s="4">
        <v>18201</v>
      </c>
      <c r="V177" s="4">
        <v>2314</v>
      </c>
      <c r="X177" s="4">
        <v>0</v>
      </c>
      <c r="Z177" s="4">
        <v>0</v>
      </c>
      <c r="AB177" s="4">
        <v>0</v>
      </c>
      <c r="AD177" s="4">
        <v>0</v>
      </c>
      <c r="AF177" s="4">
        <v>0</v>
      </c>
      <c r="AH177" s="4">
        <f t="shared" si="8"/>
        <v>1502573</v>
      </c>
    </row>
    <row r="178" spans="1:66" s="4" customFormat="1">
      <c r="A178" s="4">
        <v>243</v>
      </c>
      <c r="B178" s="4" t="s">
        <v>192</v>
      </c>
      <c r="D178" s="4" t="s">
        <v>53</v>
      </c>
      <c r="F178" s="1">
        <v>0</v>
      </c>
      <c r="G178" s="1"/>
      <c r="H178" s="1">
        <v>1040611.92</v>
      </c>
      <c r="I178" s="1"/>
      <c r="J178" s="1">
        <v>0</v>
      </c>
      <c r="K178" s="1"/>
      <c r="L178" s="1">
        <v>0</v>
      </c>
      <c r="M178" s="1"/>
      <c r="N178" s="1">
        <v>0</v>
      </c>
      <c r="O178" s="1"/>
      <c r="P178" s="1">
        <v>54460.13</v>
      </c>
      <c r="Q178" s="1"/>
      <c r="R178" s="1">
        <v>0</v>
      </c>
      <c r="S178" s="1"/>
      <c r="T178" s="1">
        <v>133970.75</v>
      </c>
      <c r="U178" s="1"/>
      <c r="V178" s="1">
        <v>14290.52</v>
      </c>
      <c r="W178" s="1"/>
      <c r="X178" s="1">
        <v>27532.41</v>
      </c>
      <c r="Y178" s="1"/>
      <c r="Z178" s="1">
        <v>0</v>
      </c>
      <c r="AA178" s="1"/>
      <c r="AB178" s="1">
        <v>0</v>
      </c>
      <c r="AC178" s="1"/>
      <c r="AD178" s="1">
        <v>0</v>
      </c>
      <c r="AE178" s="1"/>
      <c r="AF178" s="1">
        <v>0</v>
      </c>
      <c r="AH178" s="4">
        <f t="shared" si="8"/>
        <v>1270865.73</v>
      </c>
    </row>
    <row r="179" spans="1:66" s="4" customFormat="1">
      <c r="A179" s="4">
        <v>211</v>
      </c>
      <c r="B179" s="4" t="s">
        <v>430</v>
      </c>
      <c r="D179" s="4" t="s">
        <v>25</v>
      </c>
      <c r="F179" s="1">
        <v>744851.2</v>
      </c>
      <c r="G179" s="1"/>
      <c r="H179" s="1">
        <v>1286889.77</v>
      </c>
      <c r="I179" s="1"/>
      <c r="J179" s="1">
        <v>0</v>
      </c>
      <c r="K179" s="1"/>
      <c r="L179" s="1">
        <v>119210.71</v>
      </c>
      <c r="M179" s="1"/>
      <c r="N179" s="1">
        <v>0</v>
      </c>
      <c r="O179" s="1"/>
      <c r="P179" s="1">
        <v>49647.38</v>
      </c>
      <c r="Q179" s="1"/>
      <c r="R179" s="1">
        <v>0</v>
      </c>
      <c r="S179" s="1"/>
      <c r="T179" s="1">
        <v>71219.899999999994</v>
      </c>
      <c r="U179" s="1"/>
      <c r="V179" s="1">
        <v>1834.41</v>
      </c>
      <c r="W179" s="1"/>
      <c r="X179" s="1">
        <v>29460.38</v>
      </c>
      <c r="Y179" s="1"/>
      <c r="Z179" s="1">
        <v>5817.43</v>
      </c>
      <c r="AA179" s="1"/>
      <c r="AB179" s="1">
        <v>31000</v>
      </c>
      <c r="AC179" s="1"/>
      <c r="AD179" s="1">
        <v>0</v>
      </c>
      <c r="AE179" s="1"/>
      <c r="AF179" s="1">
        <v>0</v>
      </c>
      <c r="AH179" s="4">
        <f t="shared" si="8"/>
        <v>2339931.1800000002</v>
      </c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</row>
    <row r="180" spans="1:66" s="4" customFormat="1">
      <c r="A180" s="4">
        <v>94</v>
      </c>
      <c r="B180" s="4" t="s">
        <v>337</v>
      </c>
      <c r="D180" s="4" t="s">
        <v>137</v>
      </c>
      <c r="F180" s="1">
        <v>0</v>
      </c>
      <c r="G180" s="1"/>
      <c r="H180" s="1">
        <v>253885.92</v>
      </c>
      <c r="I180" s="1"/>
      <c r="J180" s="1">
        <v>0</v>
      </c>
      <c r="K180" s="1"/>
      <c r="L180" s="1">
        <v>0</v>
      </c>
      <c r="M180" s="1"/>
      <c r="N180" s="1">
        <v>0</v>
      </c>
      <c r="O180" s="1"/>
      <c r="P180" s="1">
        <v>9435.0499999999993</v>
      </c>
      <c r="Q180" s="1"/>
      <c r="R180" s="1">
        <v>0</v>
      </c>
      <c r="S180" s="1"/>
      <c r="T180" s="1">
        <v>120029.08</v>
      </c>
      <c r="U180" s="1"/>
      <c r="V180" s="1">
        <v>13007.53</v>
      </c>
      <c r="W180" s="1"/>
      <c r="X180" s="1">
        <v>344.47</v>
      </c>
      <c r="Y180" s="1"/>
      <c r="Z180" s="1">
        <v>0</v>
      </c>
      <c r="AA180" s="1"/>
      <c r="AB180" s="1">
        <v>0</v>
      </c>
      <c r="AC180" s="1"/>
      <c r="AD180" s="1">
        <v>0</v>
      </c>
      <c r="AE180" s="1"/>
      <c r="AF180" s="1">
        <v>0</v>
      </c>
      <c r="AH180" s="4">
        <f t="shared" si="8"/>
        <v>396702.05000000005</v>
      </c>
    </row>
    <row r="181" spans="1:66" s="4" customFormat="1">
      <c r="A181" s="4">
        <v>227</v>
      </c>
      <c r="B181" s="4" t="s">
        <v>411</v>
      </c>
      <c r="D181" s="4" t="s">
        <v>55</v>
      </c>
      <c r="F181" s="4">
        <v>0</v>
      </c>
      <c r="H181" s="4">
        <f>871644+206</f>
        <v>871850</v>
      </c>
      <c r="J181" s="4">
        <v>0</v>
      </c>
      <c r="L181" s="4">
        <v>1000</v>
      </c>
      <c r="N181" s="4">
        <v>0</v>
      </c>
      <c r="P181" s="4">
        <v>25186</v>
      </c>
      <c r="R181" s="4">
        <v>48786</v>
      </c>
      <c r="T181" s="4">
        <v>67687</v>
      </c>
      <c r="V181" s="4">
        <v>8675</v>
      </c>
      <c r="X181" s="4">
        <v>15299</v>
      </c>
      <c r="Z181" s="4">
        <v>0</v>
      </c>
      <c r="AB181" s="4">
        <v>18357</v>
      </c>
      <c r="AD181" s="4">
        <v>0</v>
      </c>
      <c r="AF181" s="4">
        <v>0</v>
      </c>
      <c r="AH181" s="4">
        <f t="shared" si="8"/>
        <v>1056840</v>
      </c>
    </row>
    <row r="182" spans="1:66" s="4" customFormat="1">
      <c r="A182" s="4">
        <v>29</v>
      </c>
      <c r="B182" s="4" t="s">
        <v>194</v>
      </c>
      <c r="D182" s="4" t="s">
        <v>61</v>
      </c>
      <c r="F182" s="1">
        <v>0</v>
      </c>
      <c r="G182" s="1"/>
      <c r="H182" s="1">
        <v>252044.54</v>
      </c>
      <c r="I182" s="1"/>
      <c r="J182" s="1">
        <v>0</v>
      </c>
      <c r="K182" s="1"/>
      <c r="L182" s="1">
        <v>0</v>
      </c>
      <c r="M182" s="1"/>
      <c r="N182" s="1">
        <v>0</v>
      </c>
      <c r="O182" s="1"/>
      <c r="P182" s="1">
        <v>7483.63</v>
      </c>
      <c r="Q182" s="1"/>
      <c r="R182" s="1">
        <v>0</v>
      </c>
      <c r="S182" s="1"/>
      <c r="T182" s="1">
        <v>2468.85</v>
      </c>
      <c r="U182" s="1"/>
      <c r="V182" s="1">
        <v>1738.71</v>
      </c>
      <c r="W182" s="1"/>
      <c r="X182" s="1">
        <v>1179.3599999999999</v>
      </c>
      <c r="Y182" s="1"/>
      <c r="Z182" s="1">
        <v>0</v>
      </c>
      <c r="AA182" s="1"/>
      <c r="AB182" s="1">
        <v>0</v>
      </c>
      <c r="AC182" s="1"/>
      <c r="AD182" s="1">
        <v>0</v>
      </c>
      <c r="AE182" s="1"/>
      <c r="AF182" s="1">
        <v>0</v>
      </c>
      <c r="AH182" s="4">
        <f t="shared" si="8"/>
        <v>264915.09000000003</v>
      </c>
    </row>
    <row r="183" spans="1:66" s="4" customFormat="1">
      <c r="A183" s="4">
        <v>156</v>
      </c>
      <c r="B183" s="4" t="s">
        <v>549</v>
      </c>
      <c r="D183" s="4" t="s">
        <v>20</v>
      </c>
      <c r="F183" s="4">
        <v>9128894</v>
      </c>
      <c r="H183" s="4">
        <v>3151354</v>
      </c>
      <c r="J183" s="4">
        <v>0</v>
      </c>
      <c r="L183" s="4">
        <v>0</v>
      </c>
      <c r="N183" s="4">
        <v>0</v>
      </c>
      <c r="P183" s="4">
        <v>188654</v>
      </c>
      <c r="R183" s="4">
        <v>0</v>
      </c>
      <c r="T183" s="4">
        <v>23755</v>
      </c>
      <c r="V183" s="4">
        <v>45582</v>
      </c>
      <c r="X183" s="4">
        <v>37949</v>
      </c>
      <c r="Z183" s="4">
        <v>0</v>
      </c>
      <c r="AB183" s="4">
        <v>0</v>
      </c>
      <c r="AD183" s="4">
        <v>0</v>
      </c>
      <c r="AF183" s="4">
        <v>0</v>
      </c>
      <c r="AH183" s="4">
        <f t="shared" si="8"/>
        <v>12576188</v>
      </c>
    </row>
    <row r="184" spans="1:66" s="4" customFormat="1">
      <c r="A184" s="4">
        <v>157</v>
      </c>
      <c r="B184" s="4" t="s">
        <v>460</v>
      </c>
      <c r="D184" s="4" t="s">
        <v>404</v>
      </c>
      <c r="F184" s="1">
        <v>0</v>
      </c>
      <c r="G184" s="1"/>
      <c r="H184" s="1">
        <v>706830.62</v>
      </c>
      <c r="I184" s="1"/>
      <c r="J184" s="1">
        <v>0</v>
      </c>
      <c r="K184" s="1"/>
      <c r="L184" s="1">
        <v>0</v>
      </c>
      <c r="M184" s="1"/>
      <c r="N184" s="1">
        <v>0</v>
      </c>
      <c r="O184" s="1"/>
      <c r="P184" s="1">
        <v>18421.759999999998</v>
      </c>
      <c r="Q184" s="1"/>
      <c r="R184" s="1">
        <v>0</v>
      </c>
      <c r="S184" s="1"/>
      <c r="T184" s="1">
        <v>8491.9599999999991</v>
      </c>
      <c r="U184" s="1"/>
      <c r="V184" s="1">
        <v>16912.650000000001</v>
      </c>
      <c r="W184" s="1"/>
      <c r="X184" s="1">
        <v>21394.76</v>
      </c>
      <c r="Y184" s="1"/>
      <c r="Z184" s="1">
        <v>0</v>
      </c>
      <c r="AA184" s="1"/>
      <c r="AB184" s="1">
        <v>50000</v>
      </c>
      <c r="AC184" s="1"/>
      <c r="AD184" s="1">
        <v>0</v>
      </c>
      <c r="AE184" s="1"/>
      <c r="AF184" s="1">
        <v>0</v>
      </c>
      <c r="AH184" s="4">
        <f t="shared" si="8"/>
        <v>822051.75</v>
      </c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</row>
    <row r="185" spans="1:66" s="4" customFormat="1">
      <c r="A185" s="4">
        <v>126</v>
      </c>
      <c r="B185" s="4" t="s">
        <v>14</v>
      </c>
      <c r="D185" s="4" t="s">
        <v>15</v>
      </c>
      <c r="F185" s="4">
        <v>2267092</v>
      </c>
      <c r="H185" s="4">
        <v>1573568</v>
      </c>
      <c r="J185" s="4">
        <v>0</v>
      </c>
      <c r="L185" s="4">
        <v>0</v>
      </c>
      <c r="N185" s="4">
        <v>0</v>
      </c>
      <c r="P185" s="4">
        <v>94732</v>
      </c>
      <c r="R185" s="4">
        <v>10800</v>
      </c>
      <c r="T185" s="4">
        <v>11109</v>
      </c>
      <c r="V185" s="4">
        <v>3401</v>
      </c>
      <c r="X185" s="4">
        <v>6863</v>
      </c>
      <c r="Z185" s="4">
        <v>0</v>
      </c>
      <c r="AB185" s="4">
        <v>96615</v>
      </c>
      <c r="AD185" s="4">
        <v>0</v>
      </c>
      <c r="AF185" s="4">
        <v>225000</v>
      </c>
      <c r="AH185" s="4">
        <f t="shared" si="8"/>
        <v>4289180</v>
      </c>
    </row>
    <row r="186" spans="1:66" s="4" customFormat="1">
      <c r="A186" s="4">
        <v>160</v>
      </c>
      <c r="B186" s="4" t="s">
        <v>550</v>
      </c>
      <c r="D186" s="4" t="s">
        <v>49</v>
      </c>
      <c r="F186" s="1">
        <v>0</v>
      </c>
      <c r="G186" s="1"/>
      <c r="H186" s="1">
        <v>778948.37</v>
      </c>
      <c r="I186" s="1"/>
      <c r="J186" s="1">
        <v>0</v>
      </c>
      <c r="K186" s="1"/>
      <c r="L186" s="1">
        <v>0</v>
      </c>
      <c r="M186" s="1"/>
      <c r="N186" s="1">
        <v>0</v>
      </c>
      <c r="O186" s="1"/>
      <c r="P186" s="1">
        <v>14376.98</v>
      </c>
      <c r="Q186" s="1"/>
      <c r="R186" s="1">
        <v>0</v>
      </c>
      <c r="S186" s="1"/>
      <c r="T186" s="1">
        <v>17921</v>
      </c>
      <c r="U186" s="1"/>
      <c r="V186" s="1">
        <v>3241.88</v>
      </c>
      <c r="W186" s="1"/>
      <c r="X186" s="1">
        <v>7820.47</v>
      </c>
      <c r="Y186" s="1"/>
      <c r="Z186" s="1">
        <v>0</v>
      </c>
      <c r="AA186" s="1"/>
      <c r="AB186" s="1">
        <v>0</v>
      </c>
      <c r="AC186" s="1"/>
      <c r="AD186" s="1">
        <v>0</v>
      </c>
      <c r="AE186" s="1"/>
      <c r="AF186" s="1">
        <v>0</v>
      </c>
      <c r="AH186" s="4">
        <f t="shared" si="8"/>
        <v>822308.7</v>
      </c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</row>
    <row r="187" spans="1:66" s="4" customFormat="1">
      <c r="A187" s="4">
        <v>26</v>
      </c>
      <c r="B187" s="4" t="s">
        <v>195</v>
      </c>
      <c r="D187" s="4" t="s">
        <v>10</v>
      </c>
      <c r="F187" s="4">
        <v>4498183</v>
      </c>
      <c r="H187" s="4">
        <v>0</v>
      </c>
      <c r="J187" s="4">
        <v>0</v>
      </c>
      <c r="L187" s="4">
        <v>0</v>
      </c>
      <c r="N187" s="4">
        <v>0</v>
      </c>
      <c r="P187" s="4">
        <v>250130</v>
      </c>
      <c r="R187" s="4">
        <v>15970</v>
      </c>
      <c r="T187" s="4">
        <v>36944</v>
      </c>
      <c r="V187" s="4">
        <v>62439</v>
      </c>
      <c r="X187" s="4">
        <v>20018</v>
      </c>
      <c r="Z187" s="4">
        <v>0</v>
      </c>
      <c r="AB187" s="4">
        <v>2000000</v>
      </c>
      <c r="AD187" s="4">
        <v>0</v>
      </c>
      <c r="AF187" s="4">
        <v>0</v>
      </c>
      <c r="AH187" s="4">
        <f t="shared" si="8"/>
        <v>6883684</v>
      </c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</row>
    <row r="188" spans="1:66" s="4" customFormat="1">
      <c r="A188" s="4">
        <v>67</v>
      </c>
      <c r="B188" s="4" t="s">
        <v>196</v>
      </c>
      <c r="D188" s="4" t="s">
        <v>165</v>
      </c>
      <c r="F188" s="1">
        <v>337106.65</v>
      </c>
      <c r="G188" s="1"/>
      <c r="H188" s="1">
        <v>339298.55</v>
      </c>
      <c r="I188" s="1"/>
      <c r="J188" s="1">
        <v>0</v>
      </c>
      <c r="K188" s="1"/>
      <c r="L188" s="1">
        <v>44940.69</v>
      </c>
      <c r="M188" s="1"/>
      <c r="N188" s="1">
        <v>0</v>
      </c>
      <c r="O188" s="1"/>
      <c r="P188" s="1">
        <v>18193.509999999998</v>
      </c>
      <c r="Q188" s="1"/>
      <c r="R188" s="1">
        <v>0</v>
      </c>
      <c r="S188" s="1"/>
      <c r="T188" s="1">
        <v>4126.13</v>
      </c>
      <c r="U188" s="1"/>
      <c r="V188" s="1">
        <v>81001.45</v>
      </c>
      <c r="W188" s="1"/>
      <c r="X188" s="1">
        <v>960</v>
      </c>
      <c r="Y188" s="1"/>
      <c r="Z188" s="1">
        <v>183</v>
      </c>
      <c r="AA188" s="1"/>
      <c r="AB188" s="1">
        <v>0</v>
      </c>
      <c r="AC188" s="1"/>
      <c r="AD188" s="1">
        <v>0</v>
      </c>
      <c r="AE188" s="1"/>
      <c r="AF188" s="1">
        <v>15.45</v>
      </c>
      <c r="AH188" s="4">
        <f t="shared" si="8"/>
        <v>825825.42999999982</v>
      </c>
    </row>
    <row r="189" spans="1:66" s="4" customFormat="1">
      <c r="A189" s="4">
        <v>165</v>
      </c>
      <c r="B189" s="4" t="s">
        <v>197</v>
      </c>
      <c r="D189" s="4" t="s">
        <v>52</v>
      </c>
      <c r="F189" s="1">
        <v>0</v>
      </c>
      <c r="G189" s="1"/>
      <c r="H189" s="1">
        <v>344399.4</v>
      </c>
      <c r="I189" s="1"/>
      <c r="J189" s="1">
        <v>0</v>
      </c>
      <c r="K189" s="1"/>
      <c r="L189" s="1">
        <v>0</v>
      </c>
      <c r="M189" s="1"/>
      <c r="N189" s="1">
        <v>0</v>
      </c>
      <c r="O189" s="1"/>
      <c r="P189" s="1">
        <v>10057.98</v>
      </c>
      <c r="Q189" s="1"/>
      <c r="R189" s="1">
        <v>0</v>
      </c>
      <c r="S189" s="1"/>
      <c r="T189" s="1">
        <v>4425.99</v>
      </c>
      <c r="U189" s="1"/>
      <c r="V189" s="1">
        <v>10706.74</v>
      </c>
      <c r="W189" s="1"/>
      <c r="X189" s="1">
        <v>236.17</v>
      </c>
      <c r="Y189" s="1"/>
      <c r="Z189" s="1">
        <v>0</v>
      </c>
      <c r="AA189" s="1"/>
      <c r="AB189" s="1">
        <v>0</v>
      </c>
      <c r="AC189" s="1"/>
      <c r="AD189" s="1">
        <v>0</v>
      </c>
      <c r="AE189" s="1"/>
      <c r="AF189" s="1">
        <v>0</v>
      </c>
      <c r="AH189" s="4">
        <f t="shared" si="8"/>
        <v>369826.27999999997</v>
      </c>
    </row>
    <row r="190" spans="1:66" s="4" customFormat="1">
      <c r="A190" s="4">
        <v>212</v>
      </c>
      <c r="B190" s="4" t="s">
        <v>198</v>
      </c>
      <c r="D190" s="4" t="s">
        <v>25</v>
      </c>
      <c r="F190" s="1">
        <v>30.2</v>
      </c>
      <c r="G190" s="1"/>
      <c r="H190" s="1">
        <v>685638.32</v>
      </c>
      <c r="I190" s="1"/>
      <c r="J190" s="1">
        <v>0</v>
      </c>
      <c r="K190" s="1"/>
      <c r="L190" s="1">
        <v>0</v>
      </c>
      <c r="M190" s="1"/>
      <c r="N190" s="1">
        <v>0</v>
      </c>
      <c r="O190" s="1"/>
      <c r="P190" s="1">
        <v>23621.03</v>
      </c>
      <c r="Q190" s="1"/>
      <c r="R190" s="1">
        <v>0</v>
      </c>
      <c r="S190" s="1"/>
      <c r="T190" s="1">
        <v>6330.25</v>
      </c>
      <c r="U190" s="1"/>
      <c r="V190" s="1">
        <v>415.87</v>
      </c>
      <c r="W190" s="1"/>
      <c r="X190" s="1">
        <v>1865.08</v>
      </c>
      <c r="Y190" s="1"/>
      <c r="Z190" s="1">
        <v>0</v>
      </c>
      <c r="AA190" s="1"/>
      <c r="AB190" s="1">
        <v>0</v>
      </c>
      <c r="AC190" s="1"/>
      <c r="AD190" s="1">
        <v>0</v>
      </c>
      <c r="AE190" s="1"/>
      <c r="AF190" s="1">
        <v>0</v>
      </c>
      <c r="AH190" s="4">
        <f t="shared" si="8"/>
        <v>717900.74999999988</v>
      </c>
    </row>
    <row r="191" spans="1:66" s="4" customFormat="1">
      <c r="A191" s="4">
        <v>259</v>
      </c>
      <c r="B191" s="4" t="s">
        <v>306</v>
      </c>
      <c r="D191" s="4" t="s">
        <v>62</v>
      </c>
      <c r="F191" s="1">
        <v>0</v>
      </c>
      <c r="G191" s="1"/>
      <c r="H191" s="1">
        <v>210618.78</v>
      </c>
      <c r="I191" s="1"/>
      <c r="J191" s="1">
        <v>0</v>
      </c>
      <c r="K191" s="1"/>
      <c r="L191" s="1">
        <v>0</v>
      </c>
      <c r="M191" s="1"/>
      <c r="N191" s="1">
        <v>0</v>
      </c>
      <c r="O191" s="1"/>
      <c r="P191" s="1">
        <v>7947.8</v>
      </c>
      <c r="Q191" s="1"/>
      <c r="R191" s="1">
        <v>0</v>
      </c>
      <c r="S191" s="1"/>
      <c r="T191" s="1">
        <v>76421.119999999995</v>
      </c>
      <c r="U191" s="1"/>
      <c r="V191" s="1">
        <v>2527.2399999999998</v>
      </c>
      <c r="W191" s="1"/>
      <c r="X191" s="1">
        <v>8516.33</v>
      </c>
      <c r="Y191" s="1"/>
      <c r="Z191" s="1">
        <v>0</v>
      </c>
      <c r="AA191" s="1"/>
      <c r="AB191" s="1">
        <v>0</v>
      </c>
      <c r="AC191" s="1"/>
      <c r="AD191" s="1">
        <v>0</v>
      </c>
      <c r="AE191" s="1"/>
      <c r="AF191" s="1">
        <v>0</v>
      </c>
      <c r="AH191" s="4">
        <f t="shared" si="8"/>
        <v>306031.26999999996</v>
      </c>
    </row>
    <row r="192" spans="1:66" s="4" customFormat="1">
      <c r="A192" s="4">
        <v>168</v>
      </c>
      <c r="B192" s="4" t="s">
        <v>478</v>
      </c>
      <c r="D192" s="4" t="s">
        <v>63</v>
      </c>
      <c r="F192" s="1">
        <v>0</v>
      </c>
      <c r="G192" s="1"/>
      <c r="H192" s="1">
        <v>459539.07</v>
      </c>
      <c r="I192" s="1"/>
      <c r="J192" s="1">
        <v>0</v>
      </c>
      <c r="K192" s="1"/>
      <c r="L192" s="1">
        <v>0</v>
      </c>
      <c r="M192" s="1"/>
      <c r="N192" s="1">
        <v>0</v>
      </c>
      <c r="O192" s="1"/>
      <c r="P192" s="1">
        <v>16710.02</v>
      </c>
      <c r="Q192" s="1"/>
      <c r="R192" s="1">
        <v>0</v>
      </c>
      <c r="S192" s="1"/>
      <c r="T192" s="1">
        <v>217.95</v>
      </c>
      <c r="U192" s="1"/>
      <c r="V192" s="1">
        <v>184.61</v>
      </c>
      <c r="W192" s="1"/>
      <c r="X192" s="1">
        <v>3309.29</v>
      </c>
      <c r="Y192" s="1"/>
      <c r="Z192" s="1">
        <v>0</v>
      </c>
      <c r="AA192" s="1"/>
      <c r="AB192" s="1">
        <v>0</v>
      </c>
      <c r="AC192" s="1"/>
      <c r="AD192" s="1">
        <v>0</v>
      </c>
      <c r="AE192" s="1"/>
      <c r="AF192" s="1">
        <v>0</v>
      </c>
      <c r="AH192" s="4">
        <f t="shared" si="8"/>
        <v>479960.94</v>
      </c>
    </row>
    <row r="193" spans="1:66" s="4" customFormat="1">
      <c r="A193" s="4">
        <v>111</v>
      </c>
      <c r="B193" s="4" t="s">
        <v>200</v>
      </c>
      <c r="D193" s="4" t="s">
        <v>88</v>
      </c>
      <c r="F193" s="4">
        <v>98741</v>
      </c>
      <c r="H193" s="4">
        <v>0</v>
      </c>
      <c r="J193" s="4">
        <v>0</v>
      </c>
      <c r="L193" s="4">
        <v>0</v>
      </c>
      <c r="N193" s="4">
        <v>0</v>
      </c>
      <c r="P193" s="4">
        <v>3504</v>
      </c>
      <c r="R193" s="4">
        <v>0</v>
      </c>
      <c r="T193" s="4">
        <v>28234</v>
      </c>
      <c r="V193" s="4">
        <v>4875</v>
      </c>
      <c r="X193" s="4">
        <v>179</v>
      </c>
      <c r="Z193" s="4">
        <v>0</v>
      </c>
      <c r="AB193" s="4">
        <v>0</v>
      </c>
      <c r="AD193" s="4">
        <v>0</v>
      </c>
      <c r="AF193" s="4">
        <v>0</v>
      </c>
      <c r="AH193" s="4">
        <f t="shared" si="8"/>
        <v>135533</v>
      </c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</row>
    <row r="194" spans="1:66" s="4" customFormat="1">
      <c r="A194" s="4">
        <v>248</v>
      </c>
      <c r="B194" s="4" t="s">
        <v>201</v>
      </c>
      <c r="D194" s="4" t="s">
        <v>202</v>
      </c>
      <c r="F194" s="4">
        <v>219444</v>
      </c>
      <c r="H194" s="4">
        <v>0</v>
      </c>
      <c r="J194" s="4">
        <v>0</v>
      </c>
      <c r="L194" s="4">
        <v>9456</v>
      </c>
      <c r="N194" s="4">
        <v>0</v>
      </c>
      <c r="P194" s="4">
        <v>0</v>
      </c>
      <c r="R194" s="4">
        <v>0</v>
      </c>
      <c r="T194" s="4">
        <v>7916</v>
      </c>
      <c r="V194" s="4">
        <v>9631</v>
      </c>
      <c r="X194" s="4">
        <f>3304+100</f>
        <v>3404</v>
      </c>
      <c r="Z194" s="4">
        <v>0</v>
      </c>
      <c r="AB194" s="4">
        <v>0</v>
      </c>
      <c r="AD194" s="4">
        <v>0</v>
      </c>
      <c r="AF194" s="4">
        <v>0</v>
      </c>
      <c r="AH194" s="4">
        <f t="shared" si="8"/>
        <v>249851</v>
      </c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</row>
    <row r="195" spans="1:66" s="4" customFormat="1">
      <c r="A195" s="4">
        <v>127</v>
      </c>
      <c r="B195" s="4" t="s">
        <v>203</v>
      </c>
      <c r="D195" s="4" t="s">
        <v>15</v>
      </c>
      <c r="F195" s="4">
        <v>1764075</v>
      </c>
      <c r="H195" s="4">
        <v>1355049</v>
      </c>
      <c r="J195" s="4">
        <v>0</v>
      </c>
      <c r="L195" s="4">
        <v>362523</v>
      </c>
      <c r="N195" s="4">
        <v>0</v>
      </c>
      <c r="P195" s="4">
        <v>92801</v>
      </c>
      <c r="R195" s="4">
        <v>13950</v>
      </c>
      <c r="T195" s="4">
        <v>12085</v>
      </c>
      <c r="V195" s="4">
        <v>184146</v>
      </c>
      <c r="X195" s="4">
        <v>1884</v>
      </c>
      <c r="Z195" s="4">
        <v>0</v>
      </c>
      <c r="AB195" s="4">
        <v>0</v>
      </c>
      <c r="AD195" s="4">
        <v>0</v>
      </c>
      <c r="AF195" s="4">
        <v>0</v>
      </c>
      <c r="AH195" s="4">
        <f t="shared" si="8"/>
        <v>3786513</v>
      </c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</row>
    <row r="196" spans="1:66" s="4" customFormat="1">
      <c r="A196" s="4">
        <v>175</v>
      </c>
      <c r="B196" s="4" t="s">
        <v>204</v>
      </c>
      <c r="D196" s="4" t="s">
        <v>67</v>
      </c>
      <c r="F196" s="4">
        <v>0</v>
      </c>
      <c r="H196" s="4">
        <v>228638</v>
      </c>
      <c r="J196" s="4">
        <v>0</v>
      </c>
      <c r="L196" s="4">
        <v>4500</v>
      </c>
      <c r="N196" s="4">
        <v>0</v>
      </c>
      <c r="P196" s="4">
        <v>13213</v>
      </c>
      <c r="R196" s="4">
        <v>6550</v>
      </c>
      <c r="T196" s="4">
        <v>103651</v>
      </c>
      <c r="V196" s="4">
        <v>1571</v>
      </c>
      <c r="X196" s="4">
        <v>31603</v>
      </c>
      <c r="Z196" s="4">
        <v>0</v>
      </c>
      <c r="AB196" s="4">
        <v>0</v>
      </c>
      <c r="AD196" s="4">
        <v>0</v>
      </c>
      <c r="AF196" s="4">
        <v>0</v>
      </c>
      <c r="AH196" s="4">
        <f t="shared" si="8"/>
        <v>389726</v>
      </c>
    </row>
    <row r="197" spans="1:66" s="4" customFormat="1">
      <c r="A197" s="4">
        <v>150</v>
      </c>
      <c r="B197" s="4" t="s">
        <v>205</v>
      </c>
      <c r="D197" s="4" t="s">
        <v>12</v>
      </c>
      <c r="F197" s="1">
        <v>0</v>
      </c>
      <c r="G197" s="1"/>
      <c r="H197" s="1">
        <v>188575.64</v>
      </c>
      <c r="I197" s="1"/>
      <c r="J197" s="1">
        <v>0</v>
      </c>
      <c r="K197" s="1"/>
      <c r="L197" s="1">
        <v>1750</v>
      </c>
      <c r="M197" s="1"/>
      <c r="N197" s="1">
        <v>0</v>
      </c>
      <c r="O197" s="1"/>
      <c r="P197" s="1">
        <v>3950.91</v>
      </c>
      <c r="Q197" s="1"/>
      <c r="R197" s="1">
        <v>0</v>
      </c>
      <c r="S197" s="1"/>
      <c r="T197" s="1">
        <v>2292.3200000000002</v>
      </c>
      <c r="U197" s="1"/>
      <c r="V197" s="1">
        <v>7727.82</v>
      </c>
      <c r="W197" s="1"/>
      <c r="X197" s="1">
        <v>39.270000000000003</v>
      </c>
      <c r="Y197" s="1"/>
      <c r="Z197" s="1">
        <v>0</v>
      </c>
      <c r="AA197" s="1"/>
      <c r="AB197" s="1">
        <v>0</v>
      </c>
      <c r="AC197" s="1"/>
      <c r="AD197" s="1">
        <v>0</v>
      </c>
      <c r="AE197" s="1"/>
      <c r="AF197" s="1">
        <v>0</v>
      </c>
      <c r="AH197" s="4">
        <f t="shared" si="8"/>
        <v>204335.96000000002</v>
      </c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</row>
    <row r="198" spans="1:66" s="4" customFormat="1">
      <c r="A198" s="4">
        <v>122</v>
      </c>
      <c r="B198" s="4" t="s">
        <v>402</v>
      </c>
      <c r="D198" s="4" t="s">
        <v>16</v>
      </c>
      <c r="F198" s="4">
        <v>270833</v>
      </c>
      <c r="H198" s="4">
        <v>0</v>
      </c>
      <c r="J198" s="4">
        <v>0</v>
      </c>
      <c r="L198" s="4">
        <v>1367655</v>
      </c>
      <c r="N198" s="4">
        <v>0</v>
      </c>
      <c r="P198" s="4">
        <v>0</v>
      </c>
      <c r="R198" s="4">
        <v>37522</v>
      </c>
      <c r="T198" s="4">
        <v>38534</v>
      </c>
      <c r="V198" s="4">
        <v>6254</v>
      </c>
      <c r="X198" s="4">
        <v>8455</v>
      </c>
      <c r="Z198" s="4">
        <v>0</v>
      </c>
      <c r="AB198" s="4">
        <v>0</v>
      </c>
      <c r="AD198" s="4">
        <v>0</v>
      </c>
      <c r="AF198" s="4">
        <v>0</v>
      </c>
      <c r="AH198" s="4">
        <f t="shared" si="8"/>
        <v>1729253</v>
      </c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</row>
    <row r="199" spans="1:66" s="4" customFormat="1">
      <c r="A199" s="4">
        <v>178</v>
      </c>
      <c r="B199" s="4" t="s">
        <v>551</v>
      </c>
      <c r="D199" s="4" t="s">
        <v>207</v>
      </c>
      <c r="F199" s="4">
        <v>0</v>
      </c>
      <c r="H199" s="4">
        <v>0</v>
      </c>
      <c r="J199" s="4">
        <v>0</v>
      </c>
      <c r="L199" s="4">
        <v>2545825</v>
      </c>
      <c r="N199" s="4">
        <v>13193</v>
      </c>
      <c r="P199" s="4">
        <v>97399</v>
      </c>
      <c r="R199" s="4">
        <v>0</v>
      </c>
      <c r="T199" s="4">
        <v>47155</v>
      </c>
      <c r="V199" s="4">
        <v>81432</v>
      </c>
      <c r="X199" s="4">
        <v>11034</v>
      </c>
      <c r="Z199" s="4">
        <v>0</v>
      </c>
      <c r="AB199" s="4">
        <v>184975</v>
      </c>
      <c r="AD199" s="4">
        <v>0</v>
      </c>
      <c r="AF199" s="4">
        <v>0</v>
      </c>
      <c r="AH199" s="4">
        <f t="shared" si="8"/>
        <v>2981013</v>
      </c>
    </row>
    <row r="200" spans="1:66" s="4" customFormat="1">
      <c r="A200" s="4">
        <v>105</v>
      </c>
      <c r="B200" s="4" t="s">
        <v>307</v>
      </c>
      <c r="D200" s="4" t="s">
        <v>59</v>
      </c>
      <c r="F200" s="4">
        <v>219764</v>
      </c>
      <c r="H200" s="4">
        <v>443849</v>
      </c>
      <c r="J200" s="4">
        <v>0</v>
      </c>
      <c r="L200" s="4">
        <v>0</v>
      </c>
      <c r="N200" s="4">
        <v>0</v>
      </c>
      <c r="P200" s="4">
        <v>14276</v>
      </c>
      <c r="R200" s="4">
        <v>0</v>
      </c>
      <c r="T200" s="4">
        <f>14173+39122</f>
        <v>53295</v>
      </c>
      <c r="V200" s="4">
        <f>17199+279</f>
        <v>17478</v>
      </c>
      <c r="X200" s="4">
        <v>4413</v>
      </c>
      <c r="Z200" s="4">
        <v>0</v>
      </c>
      <c r="AB200" s="4">
        <v>0</v>
      </c>
      <c r="AD200" s="4">
        <v>0</v>
      </c>
      <c r="AF200" s="4">
        <v>0</v>
      </c>
      <c r="AH200" s="4">
        <f t="shared" si="8"/>
        <v>753075</v>
      </c>
    </row>
    <row r="201" spans="1:66" s="4" customFormat="1">
      <c r="A201" s="4">
        <v>16</v>
      </c>
      <c r="B201" s="4" t="s">
        <v>431</v>
      </c>
      <c r="D201" s="4" t="s">
        <v>208</v>
      </c>
      <c r="F201" s="1">
        <v>0</v>
      </c>
      <c r="G201" s="1"/>
      <c r="H201" s="1">
        <v>1786416.66</v>
      </c>
      <c r="I201" s="1"/>
      <c r="J201" s="1">
        <v>0</v>
      </c>
      <c r="K201" s="1"/>
      <c r="L201" s="1">
        <v>7616.61</v>
      </c>
      <c r="M201" s="1"/>
      <c r="N201" s="1">
        <v>0</v>
      </c>
      <c r="O201" s="1"/>
      <c r="P201" s="1">
        <v>35251.410000000003</v>
      </c>
      <c r="Q201" s="1"/>
      <c r="R201" s="1">
        <v>0</v>
      </c>
      <c r="S201" s="1"/>
      <c r="T201" s="1">
        <v>49898.31</v>
      </c>
      <c r="U201" s="1"/>
      <c r="V201" s="1">
        <v>3529.88</v>
      </c>
      <c r="W201" s="1"/>
      <c r="X201" s="1">
        <v>379552.4</v>
      </c>
      <c r="Y201" s="1"/>
      <c r="Z201" s="1">
        <v>4000</v>
      </c>
      <c r="AA201" s="1"/>
      <c r="AB201" s="1">
        <v>0</v>
      </c>
      <c r="AC201" s="1"/>
      <c r="AD201" s="1">
        <v>0</v>
      </c>
      <c r="AE201" s="1"/>
      <c r="AF201" s="1">
        <v>0</v>
      </c>
      <c r="AH201" s="4">
        <f t="shared" si="8"/>
        <v>2266265.27</v>
      </c>
    </row>
    <row r="202" spans="1:66" s="4" customFormat="1" hidden="1">
      <c r="A202" s="4">
        <v>228</v>
      </c>
      <c r="B202" s="4" t="s">
        <v>412</v>
      </c>
      <c r="D202" s="4" t="s">
        <v>55</v>
      </c>
      <c r="AH202" s="4">
        <f t="shared" si="8"/>
        <v>0</v>
      </c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</row>
    <row r="203" spans="1:66" s="4" customFormat="1">
      <c r="A203" s="4">
        <v>33</v>
      </c>
      <c r="B203" s="4" t="s">
        <v>432</v>
      </c>
      <c r="D203" s="4" t="s">
        <v>113</v>
      </c>
      <c r="F203" s="1">
        <v>0</v>
      </c>
      <c r="G203" s="1"/>
      <c r="H203" s="1">
        <v>476212.82</v>
      </c>
      <c r="I203" s="1"/>
      <c r="J203" s="1">
        <v>0</v>
      </c>
      <c r="K203" s="1"/>
      <c r="L203" s="1">
        <v>0</v>
      </c>
      <c r="M203" s="1"/>
      <c r="N203" s="1">
        <v>0</v>
      </c>
      <c r="O203" s="1"/>
      <c r="P203" s="1">
        <v>15798.68</v>
      </c>
      <c r="Q203" s="1"/>
      <c r="R203" s="1">
        <v>0</v>
      </c>
      <c r="S203" s="1"/>
      <c r="T203" s="1">
        <v>5715</v>
      </c>
      <c r="U203" s="1"/>
      <c r="V203" s="1">
        <v>244.37</v>
      </c>
      <c r="W203" s="1"/>
      <c r="X203" s="1">
        <v>7261.14</v>
      </c>
      <c r="Y203" s="1"/>
      <c r="Z203" s="1">
        <v>0</v>
      </c>
      <c r="AA203" s="1"/>
      <c r="AB203" s="1">
        <v>0</v>
      </c>
      <c r="AC203" s="1"/>
      <c r="AD203" s="1">
        <v>0</v>
      </c>
      <c r="AE203" s="1"/>
      <c r="AF203" s="1">
        <v>0</v>
      </c>
      <c r="AH203" s="4">
        <f t="shared" si="8"/>
        <v>505232.01</v>
      </c>
    </row>
    <row r="204" spans="1:66" s="4" customFormat="1">
      <c r="A204" s="4">
        <v>112</v>
      </c>
      <c r="B204" s="4" t="s">
        <v>338</v>
      </c>
      <c r="D204" s="4" t="s">
        <v>88</v>
      </c>
      <c r="F204" s="4">
        <v>212840</v>
      </c>
      <c r="H204" s="4">
        <v>0</v>
      </c>
      <c r="J204" s="4">
        <v>0</v>
      </c>
      <c r="L204" s="4">
        <v>0</v>
      </c>
      <c r="N204" s="4">
        <v>0</v>
      </c>
      <c r="P204" s="4">
        <v>9782</v>
      </c>
      <c r="R204" s="4">
        <v>0</v>
      </c>
      <c r="T204" s="4">
        <v>3555</v>
      </c>
      <c r="V204" s="4">
        <v>4904</v>
      </c>
      <c r="X204" s="4">
        <v>11170</v>
      </c>
      <c r="Z204" s="4">
        <v>0</v>
      </c>
      <c r="AB204" s="4">
        <v>26709</v>
      </c>
      <c r="AD204" s="4">
        <v>0</v>
      </c>
      <c r="AF204" s="4">
        <v>0</v>
      </c>
      <c r="AH204" s="4">
        <f t="shared" si="8"/>
        <v>268960</v>
      </c>
    </row>
    <row r="205" spans="1:66" s="4" customFormat="1">
      <c r="A205" s="4">
        <v>60</v>
      </c>
      <c r="B205" s="4" t="s">
        <v>209</v>
      </c>
      <c r="D205" s="4" t="s">
        <v>80</v>
      </c>
      <c r="F205" s="1">
        <v>0</v>
      </c>
      <c r="G205" s="1"/>
      <c r="H205" s="1">
        <v>262618.5</v>
      </c>
      <c r="I205" s="1"/>
      <c r="J205" s="1">
        <v>0</v>
      </c>
      <c r="K205" s="1"/>
      <c r="L205" s="1">
        <v>0</v>
      </c>
      <c r="M205" s="1"/>
      <c r="N205" s="1">
        <v>0</v>
      </c>
      <c r="O205" s="1"/>
      <c r="P205" s="1">
        <v>5622.11</v>
      </c>
      <c r="Q205" s="1"/>
      <c r="R205" s="1">
        <v>0</v>
      </c>
      <c r="S205" s="1"/>
      <c r="T205" s="1">
        <v>8299.94</v>
      </c>
      <c r="U205" s="1"/>
      <c r="V205" s="1">
        <v>1512.53</v>
      </c>
      <c r="W205" s="1"/>
      <c r="X205" s="1">
        <v>1636.88</v>
      </c>
      <c r="Y205" s="1"/>
      <c r="Z205" s="1">
        <v>0</v>
      </c>
      <c r="AA205" s="1"/>
      <c r="AB205" s="1">
        <v>0</v>
      </c>
      <c r="AC205" s="1"/>
      <c r="AD205" s="1">
        <v>0</v>
      </c>
      <c r="AE205" s="1"/>
      <c r="AF205" s="1">
        <v>0</v>
      </c>
      <c r="AH205" s="4">
        <f t="shared" ref="AH205:AH240" si="9">SUM(F205:AF205)</f>
        <v>279689.96000000002</v>
      </c>
    </row>
    <row r="206" spans="1:66" s="4" customFormat="1">
      <c r="A206" s="4">
        <v>186</v>
      </c>
      <c r="B206" s="4" t="s">
        <v>433</v>
      </c>
      <c r="D206" s="4" t="s">
        <v>65</v>
      </c>
      <c r="F206" s="1">
        <v>0</v>
      </c>
      <c r="G206" s="1"/>
      <c r="H206" s="1">
        <v>103159.25</v>
      </c>
      <c r="I206" s="1"/>
      <c r="J206" s="1">
        <v>0</v>
      </c>
      <c r="K206" s="1"/>
      <c r="L206" s="1">
        <v>0</v>
      </c>
      <c r="M206" s="1"/>
      <c r="N206" s="1">
        <v>0</v>
      </c>
      <c r="O206" s="1"/>
      <c r="P206" s="1">
        <v>2448.89</v>
      </c>
      <c r="Q206" s="1"/>
      <c r="R206" s="1">
        <v>0</v>
      </c>
      <c r="S206" s="1"/>
      <c r="T206" s="1">
        <v>290.20999999999998</v>
      </c>
      <c r="U206" s="1"/>
      <c r="V206" s="1">
        <v>0</v>
      </c>
      <c r="W206" s="1"/>
      <c r="X206" s="1">
        <v>5235.04</v>
      </c>
      <c r="Y206" s="1"/>
      <c r="Z206" s="1">
        <v>0</v>
      </c>
      <c r="AA206" s="1"/>
      <c r="AB206" s="1">
        <v>0</v>
      </c>
      <c r="AC206" s="1"/>
      <c r="AD206" s="1">
        <v>0</v>
      </c>
      <c r="AE206" s="1"/>
      <c r="AF206" s="1">
        <v>0</v>
      </c>
      <c r="AH206" s="4">
        <f t="shared" si="9"/>
        <v>111133.39</v>
      </c>
    </row>
    <row r="207" spans="1:66" s="4" customFormat="1">
      <c r="A207" s="4">
        <v>235</v>
      </c>
      <c r="B207" s="4" t="s">
        <v>210</v>
      </c>
      <c r="D207" s="4" t="s">
        <v>26</v>
      </c>
      <c r="F207" s="1">
        <v>40927.360000000001</v>
      </c>
      <c r="G207" s="1"/>
      <c r="H207" s="1">
        <v>243575.26</v>
      </c>
      <c r="I207" s="1"/>
      <c r="J207" s="1">
        <v>0</v>
      </c>
      <c r="K207" s="1"/>
      <c r="L207" s="1">
        <v>11938.89</v>
      </c>
      <c r="M207" s="1"/>
      <c r="N207" s="1">
        <v>0</v>
      </c>
      <c r="O207" s="1"/>
      <c r="P207" s="1">
        <v>10244.379999999999</v>
      </c>
      <c r="Q207" s="1"/>
      <c r="R207" s="1">
        <v>0</v>
      </c>
      <c r="S207" s="1"/>
      <c r="T207" s="1">
        <v>3968.93</v>
      </c>
      <c r="U207" s="1"/>
      <c r="V207" s="1">
        <v>67.849999999999994</v>
      </c>
      <c r="W207" s="1"/>
      <c r="X207" s="1">
        <v>12719.87</v>
      </c>
      <c r="Y207" s="1"/>
      <c r="Z207" s="1">
        <v>90.11</v>
      </c>
      <c r="AA207" s="1"/>
      <c r="AB207" s="1">
        <v>26729.16</v>
      </c>
      <c r="AC207" s="1"/>
      <c r="AD207" s="1">
        <v>0</v>
      </c>
      <c r="AE207" s="1"/>
      <c r="AF207" s="1">
        <v>0</v>
      </c>
      <c r="AH207" s="4">
        <f t="shared" si="9"/>
        <v>350261.80999999994</v>
      </c>
    </row>
    <row r="208" spans="1:66" s="4" customFormat="1">
      <c r="A208" s="4">
        <v>229</v>
      </c>
      <c r="B208" s="4" t="s">
        <v>211</v>
      </c>
      <c r="D208" s="4" t="s">
        <v>55</v>
      </c>
      <c r="F208" s="4">
        <v>107586</v>
      </c>
      <c r="H208" s="4">
        <v>513867</v>
      </c>
      <c r="J208" s="4">
        <v>0</v>
      </c>
      <c r="L208" s="4">
        <v>16145</v>
      </c>
      <c r="N208" s="4">
        <v>0</v>
      </c>
      <c r="P208" s="4">
        <v>11327</v>
      </c>
      <c r="R208" s="4">
        <v>0</v>
      </c>
      <c r="T208" s="4">
        <v>4574</v>
      </c>
      <c r="V208" s="4">
        <v>11099</v>
      </c>
      <c r="X208" s="4">
        <v>258</v>
      </c>
      <c r="Z208" s="4">
        <v>0</v>
      </c>
      <c r="AB208" s="4">
        <v>0</v>
      </c>
      <c r="AD208" s="4">
        <v>0</v>
      </c>
      <c r="AF208" s="4">
        <v>0</v>
      </c>
      <c r="AH208" s="4">
        <f t="shared" si="9"/>
        <v>664856</v>
      </c>
    </row>
    <row r="209" spans="1:66" s="4" customFormat="1">
      <c r="A209" s="4">
        <v>85</v>
      </c>
      <c r="B209" s="4" t="s">
        <v>214</v>
      </c>
      <c r="D209" s="4" t="s">
        <v>41</v>
      </c>
      <c r="F209" s="1">
        <v>0</v>
      </c>
      <c r="G209" s="1"/>
      <c r="H209" s="1">
        <v>117237.83</v>
      </c>
      <c r="I209" s="1"/>
      <c r="J209" s="1">
        <v>0</v>
      </c>
      <c r="K209" s="1"/>
      <c r="L209" s="1">
        <v>0</v>
      </c>
      <c r="M209" s="1"/>
      <c r="N209" s="1">
        <v>0</v>
      </c>
      <c r="O209" s="1"/>
      <c r="P209" s="1">
        <v>4566.88</v>
      </c>
      <c r="Q209" s="1"/>
      <c r="R209" s="1">
        <v>0</v>
      </c>
      <c r="S209" s="1"/>
      <c r="T209" s="1">
        <v>1343.56</v>
      </c>
      <c r="U209" s="1"/>
      <c r="V209" s="1">
        <v>224.94</v>
      </c>
      <c r="W209" s="1"/>
      <c r="X209" s="1">
        <v>89.75</v>
      </c>
      <c r="Y209" s="1"/>
      <c r="Z209" s="1">
        <v>468.35</v>
      </c>
      <c r="AA209" s="1"/>
      <c r="AB209" s="1">
        <v>0</v>
      </c>
      <c r="AC209" s="1"/>
      <c r="AD209" s="1">
        <v>0</v>
      </c>
      <c r="AE209" s="1"/>
      <c r="AF209" s="1">
        <v>0</v>
      </c>
      <c r="AH209" s="4">
        <f t="shared" si="9"/>
        <v>123931.31000000001</v>
      </c>
    </row>
    <row r="210" spans="1:66" s="4" customFormat="1">
      <c r="A210" s="4">
        <v>250</v>
      </c>
      <c r="B210" s="4" t="s">
        <v>215</v>
      </c>
      <c r="D210" s="4" t="s">
        <v>64</v>
      </c>
      <c r="F210" s="1">
        <v>0</v>
      </c>
      <c r="G210" s="1"/>
      <c r="H210" s="1">
        <v>314873</v>
      </c>
      <c r="I210" s="1"/>
      <c r="J210" s="1">
        <v>0</v>
      </c>
      <c r="K210" s="1"/>
      <c r="L210" s="1">
        <v>0</v>
      </c>
      <c r="M210" s="1"/>
      <c r="N210" s="1">
        <v>0</v>
      </c>
      <c r="O210" s="1"/>
      <c r="P210" s="1">
        <v>9565.19</v>
      </c>
      <c r="Q210" s="1"/>
      <c r="R210" s="1">
        <v>0</v>
      </c>
      <c r="S210" s="1"/>
      <c r="T210" s="1">
        <v>9267.35</v>
      </c>
      <c r="U210" s="1"/>
      <c r="V210" s="1">
        <v>3719.12</v>
      </c>
      <c r="W210" s="1"/>
      <c r="X210" s="1">
        <v>2343.27</v>
      </c>
      <c r="Y210" s="1"/>
      <c r="Z210" s="1">
        <v>135</v>
      </c>
      <c r="AA210" s="1"/>
      <c r="AB210" s="1">
        <v>0</v>
      </c>
      <c r="AC210" s="1"/>
      <c r="AD210" s="1">
        <v>0</v>
      </c>
      <c r="AE210" s="1"/>
      <c r="AF210" s="1">
        <v>0</v>
      </c>
      <c r="AH210" s="4">
        <f t="shared" si="9"/>
        <v>339902.93</v>
      </c>
    </row>
    <row r="211" spans="1:66" s="4" customFormat="1">
      <c r="A211" s="4">
        <v>213</v>
      </c>
      <c r="B211" s="4" t="s">
        <v>216</v>
      </c>
      <c r="D211" s="4" t="s">
        <v>25</v>
      </c>
      <c r="F211" s="4">
        <v>169051</v>
      </c>
      <c r="H211" s="4">
        <v>0</v>
      </c>
      <c r="J211" s="4">
        <v>0</v>
      </c>
      <c r="L211" s="4">
        <v>1291109</v>
      </c>
      <c r="N211" s="4">
        <v>0</v>
      </c>
      <c r="P211" s="4">
        <v>69881</v>
      </c>
      <c r="R211" s="4">
        <v>0</v>
      </c>
      <c r="T211" s="4">
        <v>93954</v>
      </c>
      <c r="V211" s="4">
        <v>8743</v>
      </c>
      <c r="X211" s="4">
        <v>2586</v>
      </c>
      <c r="Z211" s="4">
        <v>0</v>
      </c>
      <c r="AB211" s="4">
        <v>0</v>
      </c>
      <c r="AD211" s="4">
        <v>0</v>
      </c>
      <c r="AF211" s="4">
        <v>0</v>
      </c>
      <c r="AH211" s="4">
        <f t="shared" si="9"/>
        <v>1635324</v>
      </c>
    </row>
    <row r="212" spans="1:66" s="4" customFormat="1">
      <c r="B212" s="3" t="s">
        <v>567</v>
      </c>
      <c r="C212" s="3"/>
      <c r="D212" s="3" t="s">
        <v>55</v>
      </c>
      <c r="F212" s="4">
        <v>0</v>
      </c>
      <c r="H212" s="4">
        <f>309952+216820+382295</f>
        <v>909067</v>
      </c>
      <c r="J212" s="4">
        <v>0</v>
      </c>
      <c r="L212" s="4">
        <v>0</v>
      </c>
      <c r="N212" s="4">
        <v>0</v>
      </c>
      <c r="P212" s="4">
        <v>350135</v>
      </c>
      <c r="R212" s="4">
        <v>0</v>
      </c>
      <c r="T212" s="4">
        <v>0</v>
      </c>
      <c r="V212" s="4">
        <v>21995</v>
      </c>
      <c r="X212" s="4">
        <v>2182366</v>
      </c>
      <c r="Z212" s="4">
        <v>0</v>
      </c>
      <c r="AB212" s="4">
        <v>0</v>
      </c>
      <c r="AD212" s="4">
        <v>0</v>
      </c>
      <c r="AF212" s="4">
        <v>0</v>
      </c>
      <c r="AH212" s="4">
        <f t="shared" si="9"/>
        <v>3463563</v>
      </c>
    </row>
    <row r="213" spans="1:66" s="4" customFormat="1">
      <c r="A213" s="4">
        <v>251</v>
      </c>
      <c r="B213" s="4" t="s">
        <v>414</v>
      </c>
      <c r="D213" s="4" t="s">
        <v>64</v>
      </c>
      <c r="F213" s="4">
        <v>0</v>
      </c>
      <c r="H213" s="4">
        <v>0</v>
      </c>
      <c r="J213" s="4">
        <v>0</v>
      </c>
      <c r="L213" s="4">
        <v>216370</v>
      </c>
      <c r="N213" s="4">
        <v>0</v>
      </c>
      <c r="P213" s="4">
        <v>0</v>
      </c>
      <c r="R213" s="4">
        <v>99625</v>
      </c>
      <c r="T213" s="4">
        <v>0</v>
      </c>
      <c r="V213" s="4">
        <v>2274</v>
      </c>
      <c r="X213" s="4">
        <v>0</v>
      </c>
      <c r="Z213" s="4">
        <v>0</v>
      </c>
      <c r="AB213" s="4">
        <v>9633</v>
      </c>
      <c r="AD213" s="4">
        <v>0</v>
      </c>
      <c r="AF213" s="4">
        <v>0</v>
      </c>
      <c r="AH213" s="4">
        <f t="shared" si="9"/>
        <v>327902</v>
      </c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</row>
    <row r="214" spans="1:66" s="4" customFormat="1">
      <c r="A214" s="4">
        <v>113</v>
      </c>
      <c r="B214" s="4" t="s">
        <v>217</v>
      </c>
      <c r="D214" s="4" t="s">
        <v>88</v>
      </c>
      <c r="F214" s="1">
        <v>135352.75</v>
      </c>
      <c r="G214" s="1"/>
      <c r="H214" s="1">
        <v>577890.47</v>
      </c>
      <c r="I214" s="1"/>
      <c r="J214" s="1">
        <v>0</v>
      </c>
      <c r="K214" s="1"/>
      <c r="L214" s="1">
        <v>37562.949999999997</v>
      </c>
      <c r="M214" s="1"/>
      <c r="N214" s="1">
        <v>0</v>
      </c>
      <c r="O214" s="1"/>
      <c r="P214" s="1">
        <v>26440.41</v>
      </c>
      <c r="Q214" s="1"/>
      <c r="R214" s="1">
        <v>0</v>
      </c>
      <c r="S214" s="1"/>
      <c r="T214" s="1">
        <v>39809</v>
      </c>
      <c r="U214" s="1"/>
      <c r="V214" s="1">
        <v>7728.24</v>
      </c>
      <c r="W214" s="1"/>
      <c r="X214" s="1">
        <v>30751.41</v>
      </c>
      <c r="Y214" s="1"/>
      <c r="Z214" s="1">
        <v>0</v>
      </c>
      <c r="AA214" s="1"/>
      <c r="AB214" s="1">
        <v>0</v>
      </c>
      <c r="AC214" s="1"/>
      <c r="AD214" s="1">
        <v>0</v>
      </c>
      <c r="AE214" s="1"/>
      <c r="AF214" s="1">
        <v>0</v>
      </c>
      <c r="AH214" s="4">
        <f t="shared" si="9"/>
        <v>855535.23</v>
      </c>
    </row>
    <row r="215" spans="1:66" s="4" customFormat="1">
      <c r="A215" s="4">
        <v>183</v>
      </c>
      <c r="B215" s="4" t="s">
        <v>218</v>
      </c>
      <c r="D215" s="4" t="s">
        <v>156</v>
      </c>
      <c r="F215" s="4">
        <v>253366</v>
      </c>
      <c r="H215" s="4">
        <v>0</v>
      </c>
      <c r="J215" s="4">
        <v>0</v>
      </c>
      <c r="L215" s="4">
        <v>1000</v>
      </c>
      <c r="N215" s="4">
        <v>0</v>
      </c>
      <c r="P215" s="4">
        <v>12668</v>
      </c>
      <c r="R215" s="4">
        <v>0</v>
      </c>
      <c r="T215" s="4">
        <v>125</v>
      </c>
      <c r="V215" s="4">
        <v>972</v>
      </c>
      <c r="X215" s="4">
        <v>4739</v>
      </c>
      <c r="Z215" s="4">
        <v>0</v>
      </c>
      <c r="AB215" s="4">
        <v>0</v>
      </c>
      <c r="AD215" s="4">
        <v>0</v>
      </c>
      <c r="AF215" s="4">
        <v>0</v>
      </c>
      <c r="AH215" s="4">
        <f t="shared" si="9"/>
        <v>272870</v>
      </c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</row>
    <row r="216" spans="1:66" s="4" customFormat="1">
      <c r="A216" s="4">
        <v>116</v>
      </c>
      <c r="B216" s="4" t="s">
        <v>219</v>
      </c>
      <c r="D216" s="4" t="s">
        <v>168</v>
      </c>
      <c r="F216" s="4">
        <v>0</v>
      </c>
      <c r="H216" s="4">
        <v>212729</v>
      </c>
      <c r="J216" s="4">
        <v>0</v>
      </c>
      <c r="L216" s="4">
        <v>0</v>
      </c>
      <c r="N216" s="4">
        <v>0</v>
      </c>
      <c r="P216" s="4">
        <v>9608</v>
      </c>
      <c r="R216" s="4">
        <v>0</v>
      </c>
      <c r="T216" s="4">
        <v>4060</v>
      </c>
      <c r="V216" s="4">
        <v>13581</v>
      </c>
      <c r="X216" s="4">
        <v>438</v>
      </c>
      <c r="Z216" s="4">
        <v>0</v>
      </c>
      <c r="AB216" s="4">
        <v>0</v>
      </c>
      <c r="AD216" s="4">
        <v>0</v>
      </c>
      <c r="AF216" s="4">
        <v>0</v>
      </c>
      <c r="AH216" s="4">
        <f t="shared" si="9"/>
        <v>240416</v>
      </c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</row>
    <row r="217" spans="1:66" s="4" customFormat="1">
      <c r="A217" s="4">
        <v>146</v>
      </c>
      <c r="B217" s="4" t="s">
        <v>434</v>
      </c>
      <c r="D217" s="4" t="s">
        <v>56</v>
      </c>
      <c r="F217" s="1">
        <v>528307.49</v>
      </c>
      <c r="G217" s="1"/>
      <c r="H217" s="1">
        <v>365466.27</v>
      </c>
      <c r="I217" s="1"/>
      <c r="J217" s="1">
        <v>0</v>
      </c>
      <c r="K217" s="1"/>
      <c r="L217" s="1">
        <v>103508.91</v>
      </c>
      <c r="M217" s="1"/>
      <c r="N217" s="1">
        <v>0</v>
      </c>
      <c r="O217" s="1"/>
      <c r="P217" s="1">
        <v>35643.21</v>
      </c>
      <c r="Q217" s="1"/>
      <c r="R217" s="1">
        <v>0</v>
      </c>
      <c r="S217" s="1"/>
      <c r="T217" s="1">
        <v>32394.73</v>
      </c>
      <c r="U217" s="1"/>
      <c r="V217" s="1">
        <v>1309.95</v>
      </c>
      <c r="W217" s="1"/>
      <c r="X217" s="1">
        <v>1586.77</v>
      </c>
      <c r="Y217" s="1"/>
      <c r="Z217" s="1">
        <v>0</v>
      </c>
      <c r="AA217" s="1"/>
      <c r="AB217" s="1">
        <v>100000</v>
      </c>
      <c r="AC217" s="1"/>
      <c r="AD217" s="1">
        <v>0</v>
      </c>
      <c r="AE217" s="1"/>
      <c r="AF217" s="1">
        <v>0</v>
      </c>
      <c r="AH217" s="4">
        <f t="shared" si="9"/>
        <v>1168217.33</v>
      </c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</row>
    <row r="218" spans="1:66" s="17" customFormat="1">
      <c r="A218" s="4">
        <v>246</v>
      </c>
      <c r="B218" s="4" t="s">
        <v>222</v>
      </c>
      <c r="C218" s="4"/>
      <c r="D218" s="4" t="s">
        <v>223</v>
      </c>
      <c r="E218" s="4"/>
      <c r="F218" s="4">
        <v>124852</v>
      </c>
      <c r="G218" s="4"/>
      <c r="H218" s="4">
        <v>33079</v>
      </c>
      <c r="I218" s="4"/>
      <c r="J218" s="4">
        <v>0</v>
      </c>
      <c r="K218" s="4"/>
      <c r="L218" s="4">
        <v>544661</v>
      </c>
      <c r="M218" s="4"/>
      <c r="N218" s="4">
        <v>0</v>
      </c>
      <c r="O218" s="4"/>
      <c r="P218" s="4">
        <v>41094</v>
      </c>
      <c r="Q218" s="4"/>
      <c r="R218" s="4">
        <v>0</v>
      </c>
      <c r="S218" s="4"/>
      <c r="T218" s="4">
        <v>35254</v>
      </c>
      <c r="U218" s="4"/>
      <c r="V218" s="4">
        <v>25017</v>
      </c>
      <c r="W218" s="4"/>
      <c r="X218" s="4">
        <v>988</v>
      </c>
      <c r="Y218" s="4"/>
      <c r="Z218" s="4">
        <v>0</v>
      </c>
      <c r="AA218" s="4"/>
      <c r="AB218" s="4">
        <v>0</v>
      </c>
      <c r="AC218" s="4"/>
      <c r="AD218" s="4">
        <v>0</v>
      </c>
      <c r="AE218" s="4"/>
      <c r="AF218" s="4">
        <v>0</v>
      </c>
      <c r="AG218" s="4"/>
      <c r="AH218" s="4">
        <f t="shared" si="9"/>
        <v>804945</v>
      </c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</row>
    <row r="219" spans="1:66" s="4" customFormat="1">
      <c r="A219" s="4">
        <v>136</v>
      </c>
      <c r="B219" s="4" t="s">
        <v>224</v>
      </c>
      <c r="D219" s="4" t="s">
        <v>40</v>
      </c>
      <c r="F219" s="1">
        <v>251833.97</v>
      </c>
      <c r="G219" s="1"/>
      <c r="H219" s="1">
        <v>497408.64</v>
      </c>
      <c r="I219" s="1"/>
      <c r="J219" s="1">
        <v>0</v>
      </c>
      <c r="K219" s="1"/>
      <c r="L219" s="1">
        <v>34595.550000000003</v>
      </c>
      <c r="M219" s="1"/>
      <c r="N219" s="1">
        <v>0</v>
      </c>
      <c r="O219" s="1"/>
      <c r="P219" s="1">
        <v>25085.86</v>
      </c>
      <c r="Q219" s="1"/>
      <c r="R219" s="1">
        <v>0</v>
      </c>
      <c r="S219" s="1"/>
      <c r="T219" s="1">
        <v>1615</v>
      </c>
      <c r="U219" s="1"/>
      <c r="V219" s="1">
        <v>22688.58</v>
      </c>
      <c r="W219" s="1"/>
      <c r="X219" s="1">
        <v>272.11</v>
      </c>
      <c r="Y219" s="1"/>
      <c r="Z219" s="1">
        <v>0</v>
      </c>
      <c r="AA219" s="1"/>
      <c r="AB219" s="1">
        <v>0</v>
      </c>
      <c r="AC219" s="1"/>
      <c r="AD219" s="1">
        <v>0</v>
      </c>
      <c r="AE219" s="1"/>
      <c r="AF219" s="1">
        <v>0</v>
      </c>
      <c r="AH219" s="4">
        <f t="shared" si="9"/>
        <v>833499.71</v>
      </c>
    </row>
    <row r="220" spans="1:66" s="4" customFormat="1">
      <c r="A220" s="4">
        <v>106</v>
      </c>
      <c r="B220" s="4" t="s">
        <v>435</v>
      </c>
      <c r="D220" s="4" t="s">
        <v>59</v>
      </c>
      <c r="F220" s="1">
        <v>25295.43</v>
      </c>
      <c r="G220" s="1"/>
      <c r="H220" s="1">
        <v>188723.29</v>
      </c>
      <c r="I220" s="1"/>
      <c r="J220" s="1">
        <v>0</v>
      </c>
      <c r="K220" s="1"/>
      <c r="L220" s="1">
        <v>0</v>
      </c>
      <c r="M220" s="1"/>
      <c r="N220" s="1">
        <v>0</v>
      </c>
      <c r="O220" s="1"/>
      <c r="P220" s="1">
        <v>3941.69</v>
      </c>
      <c r="Q220" s="1"/>
      <c r="R220" s="1">
        <v>0</v>
      </c>
      <c r="S220" s="1"/>
      <c r="T220" s="1">
        <v>2200.85</v>
      </c>
      <c r="U220" s="1"/>
      <c r="V220" s="1">
        <v>7560.96</v>
      </c>
      <c r="W220" s="1"/>
      <c r="X220" s="1">
        <v>2792.64</v>
      </c>
      <c r="Y220" s="1"/>
      <c r="Z220" s="1">
        <v>163.80000000000001</v>
      </c>
      <c r="AA220" s="1"/>
      <c r="AB220" s="1">
        <v>0</v>
      </c>
      <c r="AC220" s="1"/>
      <c r="AD220" s="1">
        <v>0</v>
      </c>
      <c r="AE220" s="1"/>
      <c r="AF220" s="1">
        <v>0</v>
      </c>
      <c r="AH220" s="4">
        <f t="shared" si="9"/>
        <v>230678.66</v>
      </c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</row>
    <row r="221" spans="1:66" s="4" customFormat="1">
      <c r="A221" s="4">
        <v>184</v>
      </c>
      <c r="B221" s="4" t="s">
        <v>226</v>
      </c>
      <c r="D221" s="4" t="s">
        <v>227</v>
      </c>
      <c r="F221" s="4">
        <v>608578</v>
      </c>
      <c r="H221" s="4">
        <v>0</v>
      </c>
      <c r="J221" s="4">
        <v>0</v>
      </c>
      <c r="L221" s="4">
        <v>0</v>
      </c>
      <c r="N221" s="4">
        <v>0</v>
      </c>
      <c r="P221" s="4">
        <v>35359</v>
      </c>
      <c r="R221" s="4">
        <v>0</v>
      </c>
      <c r="T221" s="4">
        <v>8294</v>
      </c>
      <c r="V221" s="4">
        <v>25343</v>
      </c>
      <c r="X221" s="4">
        <v>12249</v>
      </c>
      <c r="Z221" s="4">
        <v>0</v>
      </c>
      <c r="AB221" s="4">
        <v>0</v>
      </c>
      <c r="AD221" s="4">
        <v>0</v>
      </c>
      <c r="AF221" s="4">
        <v>0</v>
      </c>
      <c r="AH221" s="4">
        <f t="shared" si="9"/>
        <v>689823</v>
      </c>
    </row>
    <row r="222" spans="1:66" s="4" customFormat="1">
      <c r="A222" s="4">
        <v>252</v>
      </c>
      <c r="B222" s="4" t="s">
        <v>229</v>
      </c>
      <c r="D222" s="4" t="s">
        <v>64</v>
      </c>
      <c r="F222" s="1">
        <v>173571.79</v>
      </c>
      <c r="G222" s="1"/>
      <c r="H222" s="1">
        <v>311128.43</v>
      </c>
      <c r="I222" s="1"/>
      <c r="J222" s="1">
        <v>0</v>
      </c>
      <c r="K222" s="1"/>
      <c r="L222" s="1">
        <v>0</v>
      </c>
      <c r="M222" s="1"/>
      <c r="N222" s="1">
        <v>0</v>
      </c>
      <c r="O222" s="1"/>
      <c r="P222" s="1">
        <v>10925.74</v>
      </c>
      <c r="Q222" s="1"/>
      <c r="R222" s="1">
        <v>0</v>
      </c>
      <c r="S222" s="1"/>
      <c r="T222" s="1">
        <v>2678.93</v>
      </c>
      <c r="U222" s="1"/>
      <c r="V222" s="1">
        <v>9961.82</v>
      </c>
      <c r="W222" s="1"/>
      <c r="X222" s="1">
        <v>1125.69</v>
      </c>
      <c r="Y222" s="1"/>
      <c r="Z222" s="1">
        <v>0</v>
      </c>
      <c r="AA222" s="1"/>
      <c r="AB222" s="1">
        <v>0</v>
      </c>
      <c r="AC222" s="1"/>
      <c r="AD222" s="1">
        <v>149406.94</v>
      </c>
      <c r="AE222" s="1"/>
      <c r="AF222" s="1">
        <v>0</v>
      </c>
      <c r="AH222" s="4">
        <f t="shared" si="9"/>
        <v>658799.34</v>
      </c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</row>
    <row r="223" spans="1:66" s="4" customFormat="1">
      <c r="A223" s="4">
        <v>219</v>
      </c>
      <c r="B223" s="4" t="s">
        <v>230</v>
      </c>
      <c r="D223" s="4" t="s">
        <v>22</v>
      </c>
      <c r="F223" s="1">
        <v>114239.38</v>
      </c>
      <c r="G223" s="1"/>
      <c r="H223" s="1">
        <v>313109.31</v>
      </c>
      <c r="I223" s="1"/>
      <c r="J223" s="1">
        <v>0</v>
      </c>
      <c r="K223" s="1"/>
      <c r="L223" s="1">
        <v>9960.2099999999991</v>
      </c>
      <c r="M223" s="1"/>
      <c r="N223" s="1">
        <v>0</v>
      </c>
      <c r="O223" s="1"/>
      <c r="P223" s="1">
        <v>5917.56</v>
      </c>
      <c r="Q223" s="1"/>
      <c r="R223" s="1">
        <v>0</v>
      </c>
      <c r="S223" s="1"/>
      <c r="T223" s="1">
        <v>0</v>
      </c>
      <c r="U223" s="1"/>
      <c r="V223" s="1">
        <v>114.82</v>
      </c>
      <c r="W223" s="1"/>
      <c r="X223" s="1">
        <v>6972.14</v>
      </c>
      <c r="Y223" s="1"/>
      <c r="Z223" s="1">
        <v>0</v>
      </c>
      <c r="AA223" s="1"/>
      <c r="AB223" s="1">
        <v>0</v>
      </c>
      <c r="AC223" s="1"/>
      <c r="AD223" s="1">
        <v>0</v>
      </c>
      <c r="AE223" s="1"/>
      <c r="AF223" s="1">
        <v>0</v>
      </c>
      <c r="AH223" s="4">
        <f t="shared" si="9"/>
        <v>450313.42000000004</v>
      </c>
    </row>
    <row r="224" spans="1:66" s="4" customFormat="1">
      <c r="A224" s="4">
        <v>187</v>
      </c>
      <c r="B224" s="4" t="s">
        <v>552</v>
      </c>
      <c r="D224" s="4" t="s">
        <v>65</v>
      </c>
      <c r="F224" s="1">
        <v>82716.56</v>
      </c>
      <c r="G224" s="1"/>
      <c r="H224" s="1">
        <v>886133.59</v>
      </c>
      <c r="I224" s="1"/>
      <c r="J224" s="1">
        <v>0</v>
      </c>
      <c r="K224" s="1"/>
      <c r="L224" s="1">
        <v>29992.49</v>
      </c>
      <c r="M224" s="1"/>
      <c r="N224" s="1">
        <v>0</v>
      </c>
      <c r="O224" s="1"/>
      <c r="P224" s="1">
        <v>31923.279999999999</v>
      </c>
      <c r="Q224" s="1"/>
      <c r="R224" s="1">
        <v>0</v>
      </c>
      <c r="S224" s="1"/>
      <c r="T224" s="1">
        <v>4899.5600000000004</v>
      </c>
      <c r="U224" s="1"/>
      <c r="V224" s="1">
        <v>439.45</v>
      </c>
      <c r="W224" s="1"/>
      <c r="X224" s="1">
        <v>50948.25</v>
      </c>
      <c r="Y224" s="1"/>
      <c r="Z224" s="1">
        <v>350</v>
      </c>
      <c r="AA224" s="1"/>
      <c r="AB224" s="1">
        <v>0</v>
      </c>
      <c r="AC224" s="1"/>
      <c r="AD224" s="1">
        <v>0</v>
      </c>
      <c r="AE224" s="1"/>
      <c r="AF224" s="1">
        <v>0</v>
      </c>
      <c r="AH224" s="4">
        <f t="shared" si="9"/>
        <v>1087403.18</v>
      </c>
    </row>
    <row r="225" spans="1:66" s="4" customFormat="1">
      <c r="A225" s="4">
        <v>176</v>
      </c>
      <c r="B225" s="4" t="s">
        <v>231</v>
      </c>
      <c r="D225" s="4" t="s">
        <v>67</v>
      </c>
      <c r="F225" s="18">
        <v>0</v>
      </c>
      <c r="H225" s="4">
        <v>211050</v>
      </c>
      <c r="J225" s="18">
        <v>0</v>
      </c>
      <c r="L225" s="4">
        <v>3313</v>
      </c>
      <c r="N225" s="18">
        <v>0</v>
      </c>
      <c r="P225" s="18">
        <v>0</v>
      </c>
      <c r="R225" s="4">
        <v>380</v>
      </c>
      <c r="T225" s="4">
        <v>169</v>
      </c>
      <c r="V225" s="4">
        <v>3558</v>
      </c>
      <c r="X225" s="18">
        <v>0</v>
      </c>
      <c r="Z225" s="18">
        <v>0</v>
      </c>
      <c r="AB225" s="18">
        <v>0</v>
      </c>
      <c r="AD225" s="18">
        <v>0</v>
      </c>
      <c r="AF225" s="18">
        <v>0</v>
      </c>
      <c r="AH225" s="4">
        <f t="shared" si="9"/>
        <v>218470</v>
      </c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</row>
    <row r="226" spans="1:66" s="4" customFormat="1">
      <c r="A226" s="4">
        <v>128</v>
      </c>
      <c r="B226" s="4" t="s">
        <v>232</v>
      </c>
      <c r="D226" s="4" t="s">
        <v>15</v>
      </c>
      <c r="F226" s="1">
        <v>518906.05</v>
      </c>
      <c r="G226" s="1"/>
      <c r="H226" s="1">
        <v>324786.27</v>
      </c>
      <c r="I226" s="1"/>
      <c r="J226" s="1">
        <v>0</v>
      </c>
      <c r="K226" s="1"/>
      <c r="L226" s="1">
        <v>26176.07</v>
      </c>
      <c r="M226" s="1"/>
      <c r="N226" s="1">
        <v>0</v>
      </c>
      <c r="O226" s="1"/>
      <c r="P226" s="1">
        <v>24106.22</v>
      </c>
      <c r="Q226" s="1"/>
      <c r="R226" s="1">
        <v>0</v>
      </c>
      <c r="S226" s="1"/>
      <c r="T226" s="1">
        <v>3000</v>
      </c>
      <c r="U226" s="1"/>
      <c r="V226" s="1">
        <v>7848.3</v>
      </c>
      <c r="W226" s="1"/>
      <c r="X226" s="1">
        <v>26066.47</v>
      </c>
      <c r="Y226" s="1"/>
      <c r="Z226" s="1">
        <v>40</v>
      </c>
      <c r="AA226" s="1"/>
      <c r="AB226" s="1">
        <v>0</v>
      </c>
      <c r="AC226" s="1"/>
      <c r="AD226" s="1">
        <v>0</v>
      </c>
      <c r="AE226" s="1"/>
      <c r="AF226" s="1">
        <v>0</v>
      </c>
      <c r="AH226" s="4">
        <f t="shared" si="9"/>
        <v>930929.38</v>
      </c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</row>
    <row r="227" spans="1:66" s="4" customFormat="1">
      <c r="A227" s="4">
        <v>188</v>
      </c>
      <c r="B227" s="4" t="s">
        <v>233</v>
      </c>
      <c r="D227" s="4" t="s">
        <v>234</v>
      </c>
      <c r="F227" s="4">
        <v>1501639</v>
      </c>
      <c r="H227" s="4">
        <v>0</v>
      </c>
      <c r="J227" s="4">
        <v>0</v>
      </c>
      <c r="L227" s="4">
        <v>0</v>
      </c>
      <c r="N227" s="4">
        <v>0</v>
      </c>
      <c r="P227" s="4">
        <v>64946</v>
      </c>
      <c r="R227" s="4">
        <v>0</v>
      </c>
      <c r="T227" s="4">
        <v>103367</v>
      </c>
      <c r="V227" s="4">
        <v>88556</v>
      </c>
      <c r="X227" s="4">
        <v>7212</v>
      </c>
      <c r="Z227" s="4">
        <v>0</v>
      </c>
      <c r="AB227" s="4">
        <v>0</v>
      </c>
      <c r="AD227" s="4">
        <v>0</v>
      </c>
      <c r="AF227" s="4">
        <v>0</v>
      </c>
      <c r="AH227" s="4">
        <f t="shared" si="9"/>
        <v>1765720</v>
      </c>
    </row>
    <row r="228" spans="1:66" s="4" customFormat="1">
      <c r="A228" s="4">
        <v>72</v>
      </c>
      <c r="B228" s="4" t="s">
        <v>309</v>
      </c>
      <c r="D228" s="4" t="s">
        <v>66</v>
      </c>
      <c r="F228" s="1">
        <v>0</v>
      </c>
      <c r="G228" s="1"/>
      <c r="H228" s="1">
        <v>858757.68</v>
      </c>
      <c r="I228" s="1"/>
      <c r="J228" s="1">
        <v>0</v>
      </c>
      <c r="K228" s="1"/>
      <c r="L228" s="1">
        <v>0</v>
      </c>
      <c r="M228" s="1"/>
      <c r="N228" s="1">
        <v>0</v>
      </c>
      <c r="O228" s="1"/>
      <c r="P228" s="1">
        <v>37434.959999999999</v>
      </c>
      <c r="Q228" s="1"/>
      <c r="R228" s="1">
        <v>0</v>
      </c>
      <c r="S228" s="1"/>
      <c r="T228" s="1">
        <v>15112</v>
      </c>
      <c r="U228" s="1"/>
      <c r="V228" s="1">
        <v>2289.7199999999998</v>
      </c>
      <c r="W228" s="1"/>
      <c r="X228" s="1">
        <v>3741.32</v>
      </c>
      <c r="Y228" s="1"/>
      <c r="Z228" s="1">
        <v>0</v>
      </c>
      <c r="AA228" s="1"/>
      <c r="AB228" s="1">
        <v>0</v>
      </c>
      <c r="AC228" s="1"/>
      <c r="AD228" s="1">
        <v>0</v>
      </c>
      <c r="AE228" s="1"/>
      <c r="AF228" s="1">
        <v>0</v>
      </c>
      <c r="AH228" s="4">
        <f t="shared" si="9"/>
        <v>917335.67999999993</v>
      </c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</row>
    <row r="229" spans="1:66" s="4" customFormat="1" hidden="1">
      <c r="A229" s="4">
        <v>163</v>
      </c>
      <c r="B229" s="4" t="s">
        <v>532</v>
      </c>
      <c r="D229" s="4" t="s">
        <v>52</v>
      </c>
      <c r="AH229" s="4">
        <f t="shared" si="9"/>
        <v>0</v>
      </c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</row>
    <row r="230" spans="1:66" s="4" customFormat="1">
      <c r="A230" s="4">
        <v>151</v>
      </c>
      <c r="B230" s="4" t="s">
        <v>235</v>
      </c>
      <c r="D230" s="4" t="s">
        <v>12</v>
      </c>
      <c r="F230" s="1">
        <v>174571.58</v>
      </c>
      <c r="G230" s="1"/>
      <c r="H230" s="1">
        <v>350465.02</v>
      </c>
      <c r="I230" s="1"/>
      <c r="J230" s="1">
        <v>0</v>
      </c>
      <c r="K230" s="1"/>
      <c r="L230" s="1">
        <v>21930.29</v>
      </c>
      <c r="M230" s="1"/>
      <c r="N230" s="1">
        <v>0</v>
      </c>
      <c r="O230" s="1"/>
      <c r="P230" s="1">
        <v>21699.68</v>
      </c>
      <c r="Q230" s="1"/>
      <c r="R230" s="1">
        <v>0</v>
      </c>
      <c r="S230" s="1"/>
      <c r="T230" s="1">
        <v>9009.73</v>
      </c>
      <c r="U230" s="1"/>
      <c r="V230" s="1">
        <v>2594.25</v>
      </c>
      <c r="W230" s="1"/>
      <c r="X230" s="1">
        <v>1529.8</v>
      </c>
      <c r="Y230" s="1"/>
      <c r="Z230" s="1">
        <v>0</v>
      </c>
      <c r="AA230" s="1"/>
      <c r="AB230" s="1">
        <v>0</v>
      </c>
      <c r="AC230" s="1"/>
      <c r="AD230" s="1">
        <v>0</v>
      </c>
      <c r="AE230" s="1"/>
      <c r="AF230" s="1">
        <v>0</v>
      </c>
      <c r="AH230" s="4">
        <f t="shared" si="9"/>
        <v>581800.35000000009</v>
      </c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</row>
    <row r="231" spans="1:66" s="4" customFormat="1">
      <c r="A231" s="4">
        <v>192</v>
      </c>
      <c r="B231" s="4" t="s">
        <v>553</v>
      </c>
      <c r="D231" s="4" t="s">
        <v>171</v>
      </c>
      <c r="F231" s="4">
        <v>0</v>
      </c>
      <c r="H231" s="4">
        <v>2070881</v>
      </c>
      <c r="J231" s="4">
        <v>0</v>
      </c>
      <c r="L231" s="4">
        <v>9712</v>
      </c>
      <c r="N231" s="4">
        <v>0</v>
      </c>
      <c r="P231" s="4">
        <v>44798</v>
      </c>
      <c r="R231" s="4">
        <v>38730</v>
      </c>
      <c r="T231" s="4">
        <v>18395</v>
      </c>
      <c r="V231" s="4">
        <v>15694</v>
      </c>
      <c r="X231" s="4">
        <v>32149</v>
      </c>
      <c r="Z231" s="4">
        <v>0</v>
      </c>
      <c r="AB231" s="4">
        <v>108903</v>
      </c>
      <c r="AD231" s="4">
        <v>0</v>
      </c>
      <c r="AF231" s="4">
        <v>0</v>
      </c>
      <c r="AH231" s="4">
        <f t="shared" si="9"/>
        <v>2339262</v>
      </c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</row>
    <row r="232" spans="1:66" s="4" customFormat="1">
      <c r="B232" s="4" t="s">
        <v>568</v>
      </c>
      <c r="D232" s="4" t="s">
        <v>156</v>
      </c>
      <c r="F232" s="4">
        <v>633415</v>
      </c>
      <c r="H232" s="4">
        <v>0</v>
      </c>
      <c r="J232" s="4">
        <v>0</v>
      </c>
      <c r="L232" s="4">
        <v>0</v>
      </c>
      <c r="N232" s="4">
        <v>0</v>
      </c>
      <c r="P232" s="4">
        <v>16609</v>
      </c>
      <c r="R232" s="4">
        <v>0</v>
      </c>
      <c r="T232" s="4">
        <v>10214</v>
      </c>
      <c r="V232" s="4">
        <f>723+4+93</f>
        <v>820</v>
      </c>
      <c r="X232" s="4">
        <v>5094</v>
      </c>
      <c r="Z232" s="4">
        <v>0</v>
      </c>
      <c r="AB232" s="4">
        <v>0</v>
      </c>
      <c r="AD232" s="4">
        <v>0</v>
      </c>
      <c r="AF232" s="4">
        <v>0</v>
      </c>
      <c r="AH232" s="4">
        <f t="shared" si="9"/>
        <v>666152</v>
      </c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</row>
    <row r="233" spans="1:66" s="4" customFormat="1">
      <c r="A233" s="4">
        <v>55</v>
      </c>
      <c r="B233" s="4" t="s">
        <v>416</v>
      </c>
      <c r="D233" s="4" t="s">
        <v>19</v>
      </c>
      <c r="F233" s="4">
        <v>4090217</v>
      </c>
      <c r="H233" s="4">
        <v>1130660</v>
      </c>
      <c r="J233" s="4">
        <v>0</v>
      </c>
      <c r="L233" s="4">
        <v>0</v>
      </c>
      <c r="N233" s="4">
        <v>0</v>
      </c>
      <c r="P233" s="4">
        <v>89029</v>
      </c>
      <c r="R233" s="4">
        <v>0</v>
      </c>
      <c r="T233" s="4">
        <v>76639</v>
      </c>
      <c r="V233" s="4">
        <v>45621</v>
      </c>
      <c r="X233" s="4">
        <v>35316</v>
      </c>
      <c r="Z233" s="4">
        <v>0</v>
      </c>
      <c r="AB233" s="4">
        <v>106367</v>
      </c>
      <c r="AD233" s="4">
        <v>0</v>
      </c>
      <c r="AF233" s="4">
        <v>0</v>
      </c>
      <c r="AH233" s="4">
        <f t="shared" si="9"/>
        <v>5573849</v>
      </c>
    </row>
    <row r="234" spans="1:66" s="4" customFormat="1">
      <c r="A234" s="4">
        <v>202</v>
      </c>
      <c r="B234" s="4" t="s">
        <v>23</v>
      </c>
      <c r="D234" s="4" t="s">
        <v>24</v>
      </c>
      <c r="F234" s="4">
        <v>0</v>
      </c>
      <c r="H234" s="4">
        <v>2426309</v>
      </c>
      <c r="J234" s="4">
        <v>0</v>
      </c>
      <c r="L234" s="4">
        <v>0</v>
      </c>
      <c r="N234" s="4">
        <v>0</v>
      </c>
      <c r="P234" s="4">
        <v>67825</v>
      </c>
      <c r="R234" s="4">
        <v>0</v>
      </c>
      <c r="T234" s="4">
        <v>31819</v>
      </c>
      <c r="V234" s="4">
        <v>3322</v>
      </c>
      <c r="X234" s="4">
        <v>8844</v>
      </c>
      <c r="Z234" s="4">
        <v>0</v>
      </c>
      <c r="AB234" s="4">
        <v>0</v>
      </c>
      <c r="AD234" s="4">
        <v>0</v>
      </c>
      <c r="AF234" s="4">
        <v>0</v>
      </c>
      <c r="AH234" s="4">
        <f t="shared" si="9"/>
        <v>2538119</v>
      </c>
    </row>
    <row r="235" spans="1:66" s="4" customFormat="1">
      <c r="A235" s="4">
        <v>196</v>
      </c>
      <c r="B235" s="4" t="s">
        <v>554</v>
      </c>
      <c r="D235" s="4" t="s">
        <v>101</v>
      </c>
      <c r="F235" s="4">
        <v>1089406</v>
      </c>
      <c r="H235" s="4">
        <v>0</v>
      </c>
      <c r="J235" s="4">
        <v>0</v>
      </c>
      <c r="L235" s="4">
        <v>0</v>
      </c>
      <c r="N235" s="4">
        <v>0</v>
      </c>
      <c r="P235" s="4">
        <v>11596</v>
      </c>
      <c r="R235" s="4">
        <v>180</v>
      </c>
      <c r="T235" s="4">
        <v>26702</v>
      </c>
      <c r="V235" s="4">
        <v>757</v>
      </c>
      <c r="X235" s="4">
        <v>20752</v>
      </c>
      <c r="Z235" s="4">
        <v>0</v>
      </c>
      <c r="AB235" s="4">
        <v>0</v>
      </c>
      <c r="AD235" s="4">
        <v>0</v>
      </c>
      <c r="AF235" s="4">
        <v>0</v>
      </c>
      <c r="AH235" s="4">
        <f t="shared" si="9"/>
        <v>1149393</v>
      </c>
    </row>
    <row r="236" spans="1:66" s="4" customFormat="1">
      <c r="B236" s="4" t="s">
        <v>569</v>
      </c>
      <c r="C236" s="13"/>
      <c r="D236" s="13" t="s">
        <v>527</v>
      </c>
      <c r="F236" s="4">
        <v>0</v>
      </c>
      <c r="H236" s="4">
        <v>0</v>
      </c>
      <c r="J236" s="4">
        <v>0</v>
      </c>
      <c r="L236" s="4">
        <v>38844386</v>
      </c>
      <c r="N236" s="4">
        <v>0</v>
      </c>
      <c r="P236" s="4">
        <v>1986173</v>
      </c>
      <c r="R236" s="4">
        <v>0</v>
      </c>
      <c r="T236" s="4">
        <v>147387</v>
      </c>
      <c r="V236" s="4">
        <v>201158</v>
      </c>
      <c r="X236" s="4">
        <v>658480</v>
      </c>
      <c r="Z236" s="4">
        <v>0</v>
      </c>
      <c r="AB236" s="4">
        <v>6680238</v>
      </c>
      <c r="AD236" s="4">
        <v>0</v>
      </c>
      <c r="AF236" s="4">
        <v>0</v>
      </c>
      <c r="AH236" s="4">
        <f t="shared" si="9"/>
        <v>48517822</v>
      </c>
    </row>
    <row r="237" spans="1:66" s="4" customFormat="1">
      <c r="A237" s="4">
        <v>102</v>
      </c>
      <c r="B237" s="4" t="s">
        <v>236</v>
      </c>
      <c r="D237" s="4" t="s">
        <v>45</v>
      </c>
      <c r="F237" s="1">
        <v>0</v>
      </c>
      <c r="G237" s="1"/>
      <c r="H237" s="1">
        <v>454192.66</v>
      </c>
      <c r="I237" s="1"/>
      <c r="J237" s="1">
        <v>0</v>
      </c>
      <c r="K237" s="1"/>
      <c r="L237" s="1">
        <v>0</v>
      </c>
      <c r="M237" s="1"/>
      <c r="N237" s="1">
        <v>0</v>
      </c>
      <c r="O237" s="1"/>
      <c r="P237" s="1">
        <v>22564.53</v>
      </c>
      <c r="Q237" s="1"/>
      <c r="R237" s="1">
        <v>0</v>
      </c>
      <c r="S237" s="1"/>
      <c r="T237" s="1">
        <v>7272.29</v>
      </c>
      <c r="U237" s="1"/>
      <c r="V237" s="1">
        <v>2632.94</v>
      </c>
      <c r="W237" s="1"/>
      <c r="X237" s="1">
        <v>8148.75</v>
      </c>
      <c r="Y237" s="1"/>
      <c r="Z237" s="1">
        <v>0</v>
      </c>
      <c r="AA237" s="1"/>
      <c r="AB237" s="1">
        <v>0</v>
      </c>
      <c r="AC237" s="1"/>
      <c r="AD237" s="1">
        <v>0</v>
      </c>
      <c r="AE237" s="1"/>
      <c r="AF237" s="1">
        <v>0</v>
      </c>
      <c r="AH237" s="4">
        <f t="shared" si="9"/>
        <v>494811.16999999993</v>
      </c>
    </row>
    <row r="238" spans="1:66" s="4" customFormat="1">
      <c r="A238" s="22">
        <v>197.1</v>
      </c>
      <c r="B238" s="3" t="s">
        <v>530</v>
      </c>
      <c r="C238" s="3"/>
      <c r="D238" s="3" t="s">
        <v>531</v>
      </c>
      <c r="E238" s="3"/>
      <c r="F238" s="1">
        <v>0</v>
      </c>
      <c r="G238" s="1"/>
      <c r="H238" s="1">
        <v>1033149.2</v>
      </c>
      <c r="I238" s="1"/>
      <c r="J238" s="1">
        <v>0</v>
      </c>
      <c r="K238" s="1"/>
      <c r="L238" s="1">
        <v>1978.28</v>
      </c>
      <c r="M238" s="1"/>
      <c r="N238" s="1">
        <v>0</v>
      </c>
      <c r="O238" s="1"/>
      <c r="P238" s="1">
        <v>17218.169999999998</v>
      </c>
      <c r="Q238" s="1"/>
      <c r="R238" s="1">
        <v>0</v>
      </c>
      <c r="S238" s="1"/>
      <c r="T238" s="1">
        <v>14239.42</v>
      </c>
      <c r="U238" s="1"/>
      <c r="V238" s="1">
        <v>45716.800000000003</v>
      </c>
      <c r="W238" s="1"/>
      <c r="X238" s="1">
        <v>2759499.03</v>
      </c>
      <c r="Y238" s="1"/>
      <c r="Z238" s="1">
        <v>0</v>
      </c>
      <c r="AA238" s="1"/>
      <c r="AB238" s="1">
        <v>0</v>
      </c>
      <c r="AC238" s="1"/>
      <c r="AD238" s="1">
        <v>3000</v>
      </c>
      <c r="AE238" s="1"/>
      <c r="AF238" s="1">
        <v>0</v>
      </c>
      <c r="AH238" s="4">
        <f t="shared" si="9"/>
        <v>3874800.8999999994</v>
      </c>
    </row>
    <row r="239" spans="1:66" s="4" customFormat="1">
      <c r="A239" s="4">
        <v>193</v>
      </c>
      <c r="B239" s="4" t="s">
        <v>237</v>
      </c>
      <c r="D239" s="4" t="s">
        <v>171</v>
      </c>
      <c r="F239" s="1">
        <v>468940.42</v>
      </c>
      <c r="G239" s="1"/>
      <c r="H239" s="1">
        <v>872813.93</v>
      </c>
      <c r="I239" s="1"/>
      <c r="J239" s="1">
        <v>0</v>
      </c>
      <c r="K239" s="1"/>
      <c r="L239" s="1">
        <v>59648.639999999999</v>
      </c>
      <c r="M239" s="1"/>
      <c r="N239" s="1">
        <v>0</v>
      </c>
      <c r="O239" s="1"/>
      <c r="P239" s="1">
        <v>32386.37</v>
      </c>
      <c r="Q239" s="1"/>
      <c r="R239" s="1">
        <v>65.02</v>
      </c>
      <c r="S239" s="1"/>
      <c r="T239" s="1">
        <v>19881.87</v>
      </c>
      <c r="U239" s="1"/>
      <c r="V239" s="1">
        <v>23092.6</v>
      </c>
      <c r="W239" s="1"/>
      <c r="X239" s="1">
        <v>14064.92</v>
      </c>
      <c r="Y239" s="1"/>
      <c r="Z239" s="1">
        <v>0</v>
      </c>
      <c r="AA239" s="1"/>
      <c r="AB239" s="1">
        <v>0</v>
      </c>
      <c r="AC239" s="1"/>
      <c r="AD239" s="1">
        <v>0</v>
      </c>
      <c r="AE239" s="1"/>
      <c r="AF239" s="1">
        <v>4607.18</v>
      </c>
      <c r="AH239" s="4">
        <f t="shared" si="9"/>
        <v>1495500.9500000002</v>
      </c>
    </row>
    <row r="240" spans="1:66" s="4" customFormat="1">
      <c r="A240" s="4">
        <v>153</v>
      </c>
      <c r="B240" s="4" t="s">
        <v>238</v>
      </c>
      <c r="D240" s="4" t="s">
        <v>213</v>
      </c>
      <c r="F240" s="4">
        <v>3090708</v>
      </c>
      <c r="H240" s="4">
        <v>8040209</v>
      </c>
      <c r="J240" s="4">
        <v>0</v>
      </c>
      <c r="L240" s="4">
        <v>748623</v>
      </c>
      <c r="N240" s="4">
        <v>0</v>
      </c>
      <c r="P240" s="4">
        <v>247350</v>
      </c>
      <c r="R240" s="4">
        <v>0</v>
      </c>
      <c r="T240" s="4">
        <v>128268</v>
      </c>
      <c r="V240" s="4">
        <v>44430</v>
      </c>
      <c r="X240" s="4">
        <v>102015</v>
      </c>
      <c r="Z240" s="4">
        <v>54650</v>
      </c>
      <c r="AB240" s="4">
        <v>32970</v>
      </c>
      <c r="AD240" s="4">
        <v>0</v>
      </c>
      <c r="AF240" s="4">
        <v>0</v>
      </c>
      <c r="AH240" s="4">
        <f t="shared" si="9"/>
        <v>12489223</v>
      </c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</row>
    <row r="241" spans="1:66" s="4" customFormat="1"/>
    <row r="242" spans="1:66" s="4" customFormat="1">
      <c r="AH242" s="27" t="s">
        <v>538</v>
      </c>
    </row>
    <row r="243" spans="1:66">
      <c r="B243" s="3" t="s">
        <v>493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</row>
    <row r="244" spans="1:66">
      <c r="B244" s="3" t="s">
        <v>565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</row>
    <row r="245" spans="1:66">
      <c r="B245" s="24" t="s">
        <v>7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</row>
    <row r="246" spans="1:66"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</row>
    <row r="247" spans="1:66" s="19" customFormat="1">
      <c r="F247" s="17"/>
      <c r="G247" s="17"/>
      <c r="H247" s="17" t="s">
        <v>279</v>
      </c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1:66" s="19" customFormat="1">
      <c r="F248" s="17" t="s">
        <v>31</v>
      </c>
      <c r="G248" s="17"/>
      <c r="H248" s="17" t="s">
        <v>280</v>
      </c>
      <c r="I248" s="17"/>
      <c r="J248" s="17"/>
      <c r="K248" s="17"/>
      <c r="L248" s="17"/>
      <c r="M248" s="17"/>
      <c r="N248" s="17"/>
      <c r="O248" s="17"/>
      <c r="P248" s="17"/>
      <c r="Q248" s="17"/>
      <c r="R248" s="17" t="s">
        <v>29</v>
      </c>
      <c r="S248" s="17"/>
      <c r="T248" s="17" t="s">
        <v>286</v>
      </c>
      <c r="U248" s="17"/>
      <c r="V248" s="17"/>
      <c r="W248" s="17"/>
      <c r="X248" s="17"/>
      <c r="Y248" s="17"/>
      <c r="Z248" s="17" t="s">
        <v>291</v>
      </c>
      <c r="AA248" s="17"/>
      <c r="AB248" s="17"/>
      <c r="AC248" s="17"/>
      <c r="AD248" s="17"/>
      <c r="AE248" s="17"/>
      <c r="AF248" s="17" t="s">
        <v>0</v>
      </c>
      <c r="AG248" s="17"/>
      <c r="AH248" s="17"/>
    </row>
    <row r="249" spans="1:66" s="19" customFormat="1" ht="12" customHeight="1">
      <c r="F249" s="17" t="s">
        <v>0</v>
      </c>
      <c r="G249" s="17"/>
      <c r="H249" s="17" t="s">
        <v>281</v>
      </c>
      <c r="I249" s="17"/>
      <c r="J249" s="17" t="s">
        <v>503</v>
      </c>
      <c r="K249" s="17"/>
      <c r="L249" s="17" t="s">
        <v>345</v>
      </c>
      <c r="M249" s="17"/>
      <c r="N249" s="17"/>
      <c r="O249" s="17"/>
      <c r="P249" s="17" t="s">
        <v>283</v>
      </c>
      <c r="Q249" s="17"/>
      <c r="R249" s="17" t="s">
        <v>285</v>
      </c>
      <c r="S249" s="17"/>
      <c r="T249" s="17" t="s">
        <v>287</v>
      </c>
      <c r="U249" s="17"/>
      <c r="V249" s="17" t="s">
        <v>289</v>
      </c>
      <c r="W249" s="17"/>
      <c r="X249" s="17"/>
      <c r="Y249" s="17"/>
      <c r="Z249" s="17" t="s">
        <v>292</v>
      </c>
      <c r="AA249" s="17"/>
      <c r="AB249" s="17"/>
      <c r="AC249" s="17"/>
      <c r="AD249" s="17"/>
      <c r="AE249" s="17"/>
      <c r="AF249" s="17" t="s">
        <v>293</v>
      </c>
      <c r="AG249" s="17"/>
      <c r="AH249" s="17"/>
    </row>
    <row r="250" spans="1:66" s="19" customFormat="1" ht="12" customHeight="1">
      <c r="A250" s="19" t="s">
        <v>525</v>
      </c>
      <c r="B250" s="20"/>
      <c r="C250" s="28"/>
      <c r="D250" s="20" t="s">
        <v>6</v>
      </c>
      <c r="E250" s="28"/>
      <c r="F250" s="36" t="s">
        <v>278</v>
      </c>
      <c r="G250" s="33"/>
      <c r="H250" s="36" t="s">
        <v>282</v>
      </c>
      <c r="I250" s="33"/>
      <c r="J250" s="36" t="s">
        <v>504</v>
      </c>
      <c r="K250" s="33"/>
      <c r="L250" s="36" t="s">
        <v>346</v>
      </c>
      <c r="M250" s="33"/>
      <c r="N250" s="36" t="s">
        <v>505</v>
      </c>
      <c r="O250" s="33"/>
      <c r="P250" s="36" t="s">
        <v>284</v>
      </c>
      <c r="Q250" s="33"/>
      <c r="R250" s="36" t="s">
        <v>507</v>
      </c>
      <c r="S250" s="33"/>
      <c r="T250" s="36" t="s">
        <v>288</v>
      </c>
      <c r="U250" s="33"/>
      <c r="V250" s="36" t="s">
        <v>290</v>
      </c>
      <c r="W250" s="33"/>
      <c r="X250" s="36" t="s">
        <v>1</v>
      </c>
      <c r="Y250" s="33"/>
      <c r="Z250" s="36" t="s">
        <v>32</v>
      </c>
      <c r="AA250" s="33"/>
      <c r="AB250" s="36" t="s">
        <v>479</v>
      </c>
      <c r="AC250" s="33"/>
      <c r="AD250" s="36" t="s">
        <v>480</v>
      </c>
      <c r="AE250" s="33"/>
      <c r="AF250" s="36" t="s">
        <v>294</v>
      </c>
      <c r="AG250" s="33"/>
      <c r="AH250" s="23" t="s">
        <v>28</v>
      </c>
    </row>
    <row r="251" spans="1:66" s="5" customFormat="1">
      <c r="A251" s="5">
        <v>238</v>
      </c>
      <c r="B251" s="5" t="s">
        <v>239</v>
      </c>
      <c r="D251" s="5" t="s">
        <v>191</v>
      </c>
      <c r="F251" s="5">
        <v>0</v>
      </c>
      <c r="H251" s="5">
        <v>315247</v>
      </c>
      <c r="J251" s="5">
        <v>0</v>
      </c>
      <c r="L251" s="5">
        <v>0</v>
      </c>
      <c r="N251" s="5">
        <v>0</v>
      </c>
      <c r="P251" s="5">
        <v>5650</v>
      </c>
      <c r="R251" s="5">
        <v>0</v>
      </c>
      <c r="T251" s="5">
        <v>716</v>
      </c>
      <c r="V251" s="5">
        <v>970</v>
      </c>
      <c r="X251" s="5">
        <v>317</v>
      </c>
      <c r="Z251" s="5">
        <v>0</v>
      </c>
      <c r="AB251" s="5">
        <v>0</v>
      </c>
      <c r="AD251" s="5">
        <v>0</v>
      </c>
      <c r="AF251" s="5">
        <v>0</v>
      </c>
      <c r="AH251" s="5">
        <f t="shared" ref="AH251:AH282" si="10">SUM(F251:AF251)</f>
        <v>322900</v>
      </c>
    </row>
    <row r="252" spans="1:66" s="4" customFormat="1">
      <c r="A252" s="4">
        <v>100</v>
      </c>
      <c r="B252" s="4" t="s">
        <v>311</v>
      </c>
      <c r="D252" s="4" t="s">
        <v>60</v>
      </c>
      <c r="F252" s="1">
        <v>15274.33</v>
      </c>
      <c r="G252" s="1"/>
      <c r="H252" s="1">
        <v>88487.7</v>
      </c>
      <c r="I252" s="1"/>
      <c r="J252" s="1">
        <v>0</v>
      </c>
      <c r="K252" s="1"/>
      <c r="L252" s="1">
        <v>2478.15</v>
      </c>
      <c r="M252" s="1"/>
      <c r="N252" s="1">
        <v>0</v>
      </c>
      <c r="O252" s="1"/>
      <c r="P252" s="1">
        <v>2418.0100000000002</v>
      </c>
      <c r="Q252" s="1"/>
      <c r="R252" s="1">
        <v>0</v>
      </c>
      <c r="S252" s="1"/>
      <c r="T252" s="1">
        <v>2935.43</v>
      </c>
      <c r="U252" s="1"/>
      <c r="V252" s="1">
        <v>767.2</v>
      </c>
      <c r="W252" s="1"/>
      <c r="X252" s="1">
        <v>1320.2</v>
      </c>
      <c r="Y252" s="1"/>
      <c r="Z252" s="1">
        <v>0</v>
      </c>
      <c r="AA252" s="1"/>
      <c r="AB252" s="1">
        <v>0</v>
      </c>
      <c r="AC252" s="1"/>
      <c r="AD252" s="1">
        <v>0</v>
      </c>
      <c r="AE252" s="1"/>
      <c r="AF252" s="1">
        <v>0</v>
      </c>
      <c r="AH252" s="4">
        <f t="shared" si="10"/>
        <v>113681.01999999997</v>
      </c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</row>
    <row r="253" spans="1:66" s="4" customFormat="1">
      <c r="A253" s="4">
        <v>68</v>
      </c>
      <c r="B253" s="4" t="s">
        <v>437</v>
      </c>
      <c r="D253" s="4" t="s">
        <v>165</v>
      </c>
      <c r="F253" s="1">
        <v>530442.57999999996</v>
      </c>
      <c r="G253" s="1"/>
      <c r="H253" s="1">
        <v>508755.8</v>
      </c>
      <c r="I253" s="1"/>
      <c r="J253" s="1">
        <v>0</v>
      </c>
      <c r="K253" s="1"/>
      <c r="L253" s="1">
        <v>1950</v>
      </c>
      <c r="M253" s="1"/>
      <c r="N253" s="1">
        <v>0</v>
      </c>
      <c r="O253" s="1"/>
      <c r="P253" s="1">
        <v>33715.65</v>
      </c>
      <c r="Q253" s="1"/>
      <c r="R253" s="1">
        <v>0</v>
      </c>
      <c r="S253" s="1"/>
      <c r="T253" s="1">
        <v>34842.69</v>
      </c>
      <c r="U253" s="1"/>
      <c r="V253" s="1">
        <v>177859.83</v>
      </c>
      <c r="W253" s="1"/>
      <c r="X253" s="1">
        <v>8535.24</v>
      </c>
      <c r="Y253" s="1"/>
      <c r="Z253" s="1">
        <v>0</v>
      </c>
      <c r="AA253" s="1"/>
      <c r="AB253" s="1">
        <v>1585392.28</v>
      </c>
      <c r="AC253" s="1"/>
      <c r="AD253" s="1">
        <v>0</v>
      </c>
      <c r="AE253" s="1"/>
      <c r="AF253" s="1">
        <v>0</v>
      </c>
      <c r="AH253" s="4">
        <f t="shared" si="10"/>
        <v>2881494.07</v>
      </c>
    </row>
    <row r="254" spans="1:66" s="4" customFormat="1">
      <c r="A254" s="4">
        <v>15</v>
      </c>
      <c r="B254" s="4" t="s">
        <v>241</v>
      </c>
      <c r="D254" s="4" t="s">
        <v>42</v>
      </c>
      <c r="F254" s="1">
        <v>0</v>
      </c>
      <c r="G254" s="1"/>
      <c r="H254" s="1">
        <v>133279.72</v>
      </c>
      <c r="I254" s="1"/>
      <c r="J254" s="1">
        <v>0</v>
      </c>
      <c r="K254" s="1"/>
      <c r="L254" s="1">
        <v>22037.59</v>
      </c>
      <c r="M254" s="1"/>
      <c r="N254" s="1">
        <v>0</v>
      </c>
      <c r="O254" s="1"/>
      <c r="P254" s="1">
        <v>9343.69</v>
      </c>
      <c r="Q254" s="1"/>
      <c r="R254" s="1">
        <v>0</v>
      </c>
      <c r="S254" s="1"/>
      <c r="T254" s="1">
        <v>7736.89</v>
      </c>
      <c r="U254" s="1"/>
      <c r="V254" s="1">
        <v>1990.87</v>
      </c>
      <c r="W254" s="1"/>
      <c r="X254" s="1">
        <v>269.69</v>
      </c>
      <c r="Y254" s="1"/>
      <c r="Z254" s="1">
        <v>0</v>
      </c>
      <c r="AA254" s="1"/>
      <c r="AB254" s="1">
        <v>0</v>
      </c>
      <c r="AC254" s="1"/>
      <c r="AD254" s="1">
        <v>0</v>
      </c>
      <c r="AE254" s="1"/>
      <c r="AF254" s="1">
        <v>0</v>
      </c>
      <c r="AH254" s="4">
        <f t="shared" si="10"/>
        <v>174658.45</v>
      </c>
    </row>
    <row r="255" spans="1:66" s="4" customFormat="1">
      <c r="A255" s="4">
        <v>161</v>
      </c>
      <c r="B255" s="4" t="s">
        <v>340</v>
      </c>
      <c r="D255" s="4" t="s">
        <v>49</v>
      </c>
      <c r="F255" s="1">
        <v>0</v>
      </c>
      <c r="G255" s="1"/>
      <c r="H255" s="1">
        <v>152766.96</v>
      </c>
      <c r="I255" s="1"/>
      <c r="J255" s="1">
        <v>0</v>
      </c>
      <c r="K255" s="1"/>
      <c r="L255" s="1">
        <v>1500</v>
      </c>
      <c r="M255" s="1"/>
      <c r="N255" s="1">
        <v>0</v>
      </c>
      <c r="O255" s="1"/>
      <c r="P255" s="1">
        <v>2036.5</v>
      </c>
      <c r="Q255" s="1"/>
      <c r="R255" s="1">
        <v>0</v>
      </c>
      <c r="S255" s="1"/>
      <c r="T255" s="1">
        <v>8616.7999999999993</v>
      </c>
      <c r="U255" s="1"/>
      <c r="V255" s="1">
        <v>1552.17</v>
      </c>
      <c r="W255" s="1"/>
      <c r="X255" s="1">
        <v>819.91</v>
      </c>
      <c r="Y255" s="1"/>
      <c r="Z255" s="1">
        <v>0</v>
      </c>
      <c r="AA255" s="1"/>
      <c r="AB255" s="1">
        <v>0</v>
      </c>
      <c r="AC255" s="1"/>
      <c r="AD255" s="1">
        <v>8396.64</v>
      </c>
      <c r="AE255" s="1"/>
      <c r="AF255" s="1">
        <v>0</v>
      </c>
      <c r="AH255" s="4">
        <f t="shared" si="10"/>
        <v>175688.97999999998</v>
      </c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</row>
    <row r="256" spans="1:66" s="4" customFormat="1">
      <c r="A256" s="4">
        <v>56</v>
      </c>
      <c r="B256" s="4" t="s">
        <v>242</v>
      </c>
      <c r="D256" s="4" t="s">
        <v>19</v>
      </c>
      <c r="F256" s="4">
        <v>3188758</v>
      </c>
      <c r="H256" s="4">
        <v>659846</v>
      </c>
      <c r="J256" s="4">
        <v>521969</v>
      </c>
      <c r="L256" s="4">
        <v>56804</v>
      </c>
      <c r="N256" s="4">
        <v>0</v>
      </c>
      <c r="P256" s="4">
        <v>0</v>
      </c>
      <c r="R256" s="4">
        <v>0</v>
      </c>
      <c r="T256" s="4">
        <v>25794</v>
      </c>
      <c r="V256" s="4">
        <v>17214</v>
      </c>
      <c r="X256" s="4">
        <v>6813</v>
      </c>
      <c r="Z256" s="4">
        <v>0</v>
      </c>
      <c r="AB256" s="4">
        <v>190000</v>
      </c>
      <c r="AD256" s="4">
        <v>0</v>
      </c>
      <c r="AF256" s="4">
        <v>0</v>
      </c>
      <c r="AH256" s="4">
        <f t="shared" si="10"/>
        <v>4667198</v>
      </c>
    </row>
    <row r="257" spans="1:66" s="4" customFormat="1">
      <c r="A257" s="4">
        <v>214</v>
      </c>
      <c r="B257" s="4" t="s">
        <v>243</v>
      </c>
      <c r="D257" s="4" t="s">
        <v>25</v>
      </c>
      <c r="F257" s="4">
        <v>1371020</v>
      </c>
      <c r="H257" s="4">
        <v>0</v>
      </c>
      <c r="J257" s="4">
        <v>0</v>
      </c>
      <c r="L257" s="4">
        <v>0</v>
      </c>
      <c r="N257" s="4">
        <v>0</v>
      </c>
      <c r="P257" s="4">
        <v>27388</v>
      </c>
      <c r="R257" s="4">
        <v>0</v>
      </c>
      <c r="T257" s="4">
        <v>21613</v>
      </c>
      <c r="V257" s="4">
        <v>5172</v>
      </c>
      <c r="X257" s="4">
        <f>14482+99022</f>
        <v>113504</v>
      </c>
      <c r="Z257" s="4">
        <v>0</v>
      </c>
      <c r="AB257" s="4">
        <v>0</v>
      </c>
      <c r="AD257" s="4">
        <v>0</v>
      </c>
      <c r="AF257" s="4">
        <v>0</v>
      </c>
      <c r="AH257" s="4">
        <f t="shared" si="10"/>
        <v>1538697</v>
      </c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</row>
    <row r="258" spans="1:66" s="4" customFormat="1">
      <c r="A258" s="4">
        <v>253</v>
      </c>
      <c r="B258" s="4" t="s">
        <v>244</v>
      </c>
      <c r="D258" s="4" t="s">
        <v>64</v>
      </c>
      <c r="F258" s="4">
        <v>409733</v>
      </c>
      <c r="H258" s="4">
        <v>502170</v>
      </c>
      <c r="J258" s="4">
        <v>0</v>
      </c>
      <c r="L258" s="4">
        <v>26166</v>
      </c>
      <c r="N258" s="4">
        <v>0</v>
      </c>
      <c r="P258" s="4">
        <v>22152</v>
      </c>
      <c r="R258" s="4">
        <v>0</v>
      </c>
      <c r="T258" s="4">
        <v>70</v>
      </c>
      <c r="V258" s="4">
        <v>6791</v>
      </c>
      <c r="X258" s="4">
        <v>9005</v>
      </c>
      <c r="Z258" s="4">
        <v>0</v>
      </c>
      <c r="AB258" s="4">
        <v>0</v>
      </c>
      <c r="AD258" s="4">
        <v>0</v>
      </c>
      <c r="AF258" s="4">
        <v>0</v>
      </c>
      <c r="AH258" s="4">
        <f t="shared" si="10"/>
        <v>976087</v>
      </c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</row>
    <row r="259" spans="1:66" s="4" customFormat="1">
      <c r="A259" s="4">
        <v>36</v>
      </c>
      <c r="B259" s="4" t="s">
        <v>245</v>
      </c>
      <c r="D259" s="4" t="s">
        <v>68</v>
      </c>
      <c r="F259" s="1">
        <v>0</v>
      </c>
      <c r="G259" s="1"/>
      <c r="H259" s="1">
        <v>201581.83</v>
      </c>
      <c r="I259" s="1"/>
      <c r="J259" s="1">
        <v>0</v>
      </c>
      <c r="K259" s="1"/>
      <c r="L259" s="1">
        <v>0</v>
      </c>
      <c r="M259" s="1"/>
      <c r="N259" s="1">
        <v>0</v>
      </c>
      <c r="O259" s="1"/>
      <c r="P259" s="1">
        <v>2644.29</v>
      </c>
      <c r="Q259" s="1"/>
      <c r="R259" s="1">
        <v>0</v>
      </c>
      <c r="S259" s="1"/>
      <c r="T259" s="1">
        <v>520</v>
      </c>
      <c r="U259" s="1"/>
      <c r="V259" s="1">
        <v>11425.11</v>
      </c>
      <c r="W259" s="1"/>
      <c r="X259" s="1">
        <v>676.23</v>
      </c>
      <c r="Y259" s="1"/>
      <c r="Z259" s="1">
        <v>556.33000000000004</v>
      </c>
      <c r="AA259" s="1"/>
      <c r="AB259" s="1">
        <v>0</v>
      </c>
      <c r="AC259" s="1"/>
      <c r="AD259" s="1">
        <v>0</v>
      </c>
      <c r="AE259" s="1"/>
      <c r="AF259" s="1">
        <v>0</v>
      </c>
      <c r="AH259" s="4">
        <f t="shared" si="10"/>
        <v>217403.78999999998</v>
      </c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</row>
    <row r="260" spans="1:66" s="4" customFormat="1">
      <c r="A260" s="4">
        <v>30</v>
      </c>
      <c r="B260" s="4" t="s">
        <v>344</v>
      </c>
      <c r="D260" s="4" t="s">
        <v>61</v>
      </c>
      <c r="F260" s="1">
        <v>98862.399999999994</v>
      </c>
      <c r="G260" s="1"/>
      <c r="H260" s="1">
        <v>252094.54</v>
      </c>
      <c r="I260" s="1"/>
      <c r="J260" s="1">
        <v>0</v>
      </c>
      <c r="K260" s="1"/>
      <c r="L260" s="1">
        <v>15476.88</v>
      </c>
      <c r="M260" s="1"/>
      <c r="N260" s="1">
        <v>0</v>
      </c>
      <c r="O260" s="1"/>
      <c r="P260" s="1">
        <v>9028.5499999999993</v>
      </c>
      <c r="Q260" s="1"/>
      <c r="R260" s="1">
        <v>0</v>
      </c>
      <c r="S260" s="1"/>
      <c r="T260" s="1">
        <v>7245.3</v>
      </c>
      <c r="U260" s="1"/>
      <c r="V260" s="1">
        <v>6952.4</v>
      </c>
      <c r="W260" s="1"/>
      <c r="X260" s="1">
        <v>10205.200000000001</v>
      </c>
      <c r="Y260" s="1"/>
      <c r="Z260" s="1">
        <v>0</v>
      </c>
      <c r="AA260" s="1"/>
      <c r="AB260" s="1">
        <v>10000</v>
      </c>
      <c r="AC260" s="1"/>
      <c r="AD260" s="1">
        <v>0</v>
      </c>
      <c r="AE260" s="1"/>
      <c r="AF260" s="1">
        <v>0</v>
      </c>
      <c r="AH260" s="4">
        <f t="shared" si="10"/>
        <v>409865.27</v>
      </c>
    </row>
    <row r="261" spans="1:66" s="4" customFormat="1">
      <c r="A261" s="4">
        <v>43</v>
      </c>
      <c r="B261" s="4" t="s">
        <v>246</v>
      </c>
      <c r="D261" s="4" t="s">
        <v>50</v>
      </c>
      <c r="F261" s="4">
        <v>0</v>
      </c>
      <c r="H261" s="4">
        <v>716854</v>
      </c>
      <c r="J261" s="4">
        <v>0</v>
      </c>
      <c r="L261" s="4">
        <v>14735</v>
      </c>
      <c r="N261" s="4">
        <v>0</v>
      </c>
      <c r="P261" s="4">
        <v>30564</v>
      </c>
      <c r="R261" s="4">
        <v>0</v>
      </c>
      <c r="T261" s="4">
        <v>16443</v>
      </c>
      <c r="V261" s="4">
        <v>9901</v>
      </c>
      <c r="X261" s="4">
        <v>714</v>
      </c>
      <c r="Z261" s="4">
        <v>0</v>
      </c>
      <c r="AB261" s="4">
        <v>4912</v>
      </c>
      <c r="AD261" s="4">
        <v>0</v>
      </c>
      <c r="AF261" s="4">
        <v>0</v>
      </c>
      <c r="AH261" s="4">
        <f t="shared" si="10"/>
        <v>794123</v>
      </c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</row>
    <row r="262" spans="1:66" s="4" customFormat="1">
      <c r="A262" s="4">
        <v>244</v>
      </c>
      <c r="B262" s="4" t="s">
        <v>247</v>
      </c>
      <c r="D262" s="4" t="s">
        <v>53</v>
      </c>
      <c r="F262" s="4">
        <v>562825</v>
      </c>
      <c r="H262" s="4">
        <v>0</v>
      </c>
      <c r="J262" s="4">
        <v>0</v>
      </c>
      <c r="L262" s="4">
        <v>9037</v>
      </c>
      <c r="N262" s="4">
        <v>0</v>
      </c>
      <c r="P262" s="4">
        <v>0</v>
      </c>
      <c r="R262" s="4">
        <v>0</v>
      </c>
      <c r="T262" s="4">
        <v>5966</v>
      </c>
      <c r="V262" s="4">
        <v>879</v>
      </c>
      <c r="X262" s="4">
        <f>36+944</f>
        <v>980</v>
      </c>
      <c r="Z262" s="4">
        <v>0</v>
      </c>
      <c r="AB262" s="4">
        <v>0</v>
      </c>
      <c r="AD262" s="4">
        <v>0</v>
      </c>
      <c r="AF262" s="4">
        <v>0</v>
      </c>
      <c r="AH262" s="4">
        <f t="shared" si="10"/>
        <v>579687</v>
      </c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</row>
    <row r="263" spans="1:66" s="4" customFormat="1">
      <c r="A263" s="4">
        <v>69</v>
      </c>
      <c r="B263" s="4" t="s">
        <v>312</v>
      </c>
      <c r="D263" s="4" t="s">
        <v>165</v>
      </c>
      <c r="F263" s="4">
        <v>1313688</v>
      </c>
      <c r="H263" s="4">
        <v>1488588</v>
      </c>
      <c r="J263" s="4">
        <v>0</v>
      </c>
      <c r="L263" s="4">
        <v>247578</v>
      </c>
      <c r="N263" s="4">
        <v>0</v>
      </c>
      <c r="P263" s="4">
        <v>72883</v>
      </c>
      <c r="R263" s="4">
        <v>1000</v>
      </c>
      <c r="T263" s="4">
        <v>187065</v>
      </c>
      <c r="V263" s="4">
        <v>64658</v>
      </c>
      <c r="X263" s="4">
        <v>54646</v>
      </c>
      <c r="Z263" s="4">
        <v>0</v>
      </c>
      <c r="AB263" s="4">
        <v>1411</v>
      </c>
      <c r="AD263" s="4">
        <v>0</v>
      </c>
      <c r="AF263" s="4">
        <v>0</v>
      </c>
      <c r="AH263" s="4">
        <f t="shared" si="10"/>
        <v>3431517</v>
      </c>
    </row>
    <row r="264" spans="1:66" s="4" customFormat="1">
      <c r="A264" s="4">
        <v>177</v>
      </c>
      <c r="B264" s="4" t="s">
        <v>248</v>
      </c>
      <c r="D264" s="4" t="s">
        <v>67</v>
      </c>
      <c r="F264" s="1">
        <v>0</v>
      </c>
      <c r="G264" s="1"/>
      <c r="H264" s="1">
        <v>219843.85</v>
      </c>
      <c r="I264" s="1"/>
      <c r="J264" s="1">
        <v>0</v>
      </c>
      <c r="K264" s="1"/>
      <c r="L264" s="1">
        <v>4500</v>
      </c>
      <c r="M264" s="1"/>
      <c r="N264" s="1">
        <v>0</v>
      </c>
      <c r="O264" s="1"/>
      <c r="P264" s="1">
        <v>10847.03</v>
      </c>
      <c r="Q264" s="1"/>
      <c r="R264" s="1">
        <v>0</v>
      </c>
      <c r="S264" s="1"/>
      <c r="T264" s="1">
        <v>5960</v>
      </c>
      <c r="U264" s="1"/>
      <c r="V264" s="1">
        <v>3961.47</v>
      </c>
      <c r="W264" s="1"/>
      <c r="X264" s="1">
        <v>0</v>
      </c>
      <c r="Y264" s="1"/>
      <c r="Z264" s="1">
        <v>0</v>
      </c>
      <c r="AA264" s="1"/>
      <c r="AB264" s="1">
        <v>75000</v>
      </c>
      <c r="AC264" s="1"/>
      <c r="AD264" s="1">
        <v>0</v>
      </c>
      <c r="AE264" s="1"/>
      <c r="AF264" s="1">
        <v>0</v>
      </c>
      <c r="AH264" s="4">
        <f t="shared" si="10"/>
        <v>320112.34999999998</v>
      </c>
    </row>
    <row r="265" spans="1:66" s="4" customFormat="1">
      <c r="A265" s="4">
        <v>206</v>
      </c>
      <c r="B265" s="4" t="s">
        <v>249</v>
      </c>
      <c r="D265" s="4" t="s">
        <v>44</v>
      </c>
      <c r="F265" s="1">
        <v>0</v>
      </c>
      <c r="G265" s="1"/>
      <c r="H265" s="1">
        <v>137984.16</v>
      </c>
      <c r="I265" s="1"/>
      <c r="J265" s="1">
        <v>0</v>
      </c>
      <c r="K265" s="1"/>
      <c r="L265" s="1">
        <v>0</v>
      </c>
      <c r="M265" s="1"/>
      <c r="N265" s="1">
        <v>0</v>
      </c>
      <c r="O265" s="1"/>
      <c r="P265" s="1">
        <v>1429.08</v>
      </c>
      <c r="Q265" s="1"/>
      <c r="R265" s="1">
        <v>0</v>
      </c>
      <c r="S265" s="1"/>
      <c r="T265" s="1">
        <v>78462.78</v>
      </c>
      <c r="U265" s="1"/>
      <c r="V265" s="1">
        <v>305.13</v>
      </c>
      <c r="W265" s="1"/>
      <c r="X265" s="1">
        <v>2009.34</v>
      </c>
      <c r="Y265" s="1"/>
      <c r="Z265" s="1">
        <v>0</v>
      </c>
      <c r="AA265" s="1"/>
      <c r="AB265" s="1">
        <v>8928.09</v>
      </c>
      <c r="AC265" s="1"/>
      <c r="AD265" s="1">
        <v>0</v>
      </c>
      <c r="AE265" s="1"/>
      <c r="AF265" s="1">
        <v>0</v>
      </c>
      <c r="AH265" s="4">
        <f t="shared" si="10"/>
        <v>229118.58</v>
      </c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</row>
    <row r="266" spans="1:66" s="4" customFormat="1">
      <c r="A266" s="4">
        <v>57</v>
      </c>
      <c r="B266" s="4" t="s">
        <v>250</v>
      </c>
      <c r="D266" s="4" t="s">
        <v>19</v>
      </c>
      <c r="F266" s="4">
        <v>3274291</v>
      </c>
      <c r="H266" s="4">
        <v>1495799</v>
      </c>
      <c r="J266" s="4">
        <v>0</v>
      </c>
      <c r="L266" s="4">
        <v>508284</v>
      </c>
      <c r="N266" s="4">
        <v>0</v>
      </c>
      <c r="P266" s="4">
        <v>0</v>
      </c>
      <c r="R266" s="4">
        <v>141380</v>
      </c>
      <c r="T266" s="4">
        <v>6028</v>
      </c>
      <c r="V266" s="4">
        <v>3806</v>
      </c>
      <c r="X266" s="4">
        <v>138258</v>
      </c>
      <c r="Z266" s="4">
        <v>0</v>
      </c>
      <c r="AB266" s="4">
        <v>157795</v>
      </c>
      <c r="AD266" s="4">
        <v>10000</v>
      </c>
      <c r="AF266" s="4">
        <v>0</v>
      </c>
      <c r="AH266" s="4">
        <f t="shared" si="10"/>
        <v>5735641</v>
      </c>
    </row>
    <row r="267" spans="1:66" s="4" customFormat="1">
      <c r="A267" s="4">
        <v>118</v>
      </c>
      <c r="B267" s="4" t="s">
        <v>417</v>
      </c>
      <c r="D267" s="4" t="s">
        <v>168</v>
      </c>
      <c r="F267" s="4">
        <v>0</v>
      </c>
      <c r="H267" s="4">
        <v>0</v>
      </c>
      <c r="J267" s="4">
        <v>0</v>
      </c>
      <c r="L267" s="4">
        <v>297759</v>
      </c>
      <c r="N267" s="4">
        <v>0</v>
      </c>
      <c r="P267" s="4">
        <v>12463</v>
      </c>
      <c r="R267" s="4">
        <v>0</v>
      </c>
      <c r="T267" s="4">
        <v>14290</v>
      </c>
      <c r="V267" s="4">
        <v>1236</v>
      </c>
      <c r="X267" s="4">
        <v>3670</v>
      </c>
      <c r="Z267" s="4">
        <v>0</v>
      </c>
      <c r="AB267" s="4">
        <v>0</v>
      </c>
      <c r="AD267" s="4">
        <v>0</v>
      </c>
      <c r="AF267" s="4">
        <v>0</v>
      </c>
      <c r="AH267" s="4">
        <f t="shared" si="10"/>
        <v>329418</v>
      </c>
    </row>
    <row r="268" spans="1:66" s="4" customFormat="1">
      <c r="A268" s="4">
        <v>79</v>
      </c>
      <c r="B268" s="4" t="s">
        <v>252</v>
      </c>
      <c r="D268" s="4" t="s">
        <v>91</v>
      </c>
      <c r="F268" s="4">
        <v>3335914</v>
      </c>
      <c r="H268" s="4">
        <v>0</v>
      </c>
      <c r="J268" s="4">
        <v>0</v>
      </c>
      <c r="L268" s="4">
        <v>0</v>
      </c>
      <c r="N268" s="4">
        <v>0</v>
      </c>
      <c r="P268" s="4">
        <v>170958</v>
      </c>
      <c r="R268" s="4">
        <v>0</v>
      </c>
      <c r="T268" s="4">
        <v>38238</v>
      </c>
      <c r="V268" s="4">
        <v>2893</v>
      </c>
      <c r="X268" s="4">
        <v>68086</v>
      </c>
      <c r="Z268" s="4">
        <v>0</v>
      </c>
      <c r="AB268" s="4">
        <v>0</v>
      </c>
      <c r="AD268" s="4">
        <v>0</v>
      </c>
      <c r="AF268" s="4">
        <v>0</v>
      </c>
      <c r="AH268" s="4">
        <f t="shared" si="10"/>
        <v>3616089</v>
      </c>
    </row>
    <row r="269" spans="1:66" s="4" customFormat="1">
      <c r="A269" s="4">
        <v>22</v>
      </c>
      <c r="B269" s="4" t="s">
        <v>313</v>
      </c>
      <c r="D269" s="4" t="s">
        <v>13</v>
      </c>
      <c r="F269" s="1">
        <v>0</v>
      </c>
      <c r="G269" s="1"/>
      <c r="H269" s="1">
        <v>415401.13</v>
      </c>
      <c r="I269" s="1"/>
      <c r="J269" s="1">
        <v>0</v>
      </c>
      <c r="K269" s="1"/>
      <c r="L269" s="1">
        <v>0</v>
      </c>
      <c r="M269" s="1"/>
      <c r="N269" s="1">
        <v>0</v>
      </c>
      <c r="O269" s="1"/>
      <c r="P269" s="1">
        <v>12203.02</v>
      </c>
      <c r="Q269" s="1"/>
      <c r="R269" s="1">
        <v>0</v>
      </c>
      <c r="S269" s="1"/>
      <c r="T269" s="1">
        <v>13616.31</v>
      </c>
      <c r="U269" s="1"/>
      <c r="V269" s="1">
        <v>1695.25</v>
      </c>
      <c r="W269" s="1"/>
      <c r="X269" s="1">
        <v>8327.5400000000009</v>
      </c>
      <c r="Y269" s="1"/>
      <c r="Z269" s="1">
        <v>0</v>
      </c>
      <c r="AA269" s="1"/>
      <c r="AB269" s="1">
        <v>0</v>
      </c>
      <c r="AC269" s="1"/>
      <c r="AD269" s="1">
        <v>0</v>
      </c>
      <c r="AE269" s="1"/>
      <c r="AF269" s="1">
        <v>0</v>
      </c>
      <c r="AH269" s="4">
        <f t="shared" si="10"/>
        <v>451243.25</v>
      </c>
    </row>
    <row r="270" spans="1:66" s="4" customFormat="1">
      <c r="A270" s="4">
        <v>18</v>
      </c>
      <c r="B270" s="4" t="s">
        <v>341</v>
      </c>
      <c r="D270" s="4" t="s">
        <v>43</v>
      </c>
      <c r="F270" s="1">
        <v>0</v>
      </c>
      <c r="G270" s="1"/>
      <c r="H270" s="1">
        <v>430490.17</v>
      </c>
      <c r="I270" s="1"/>
      <c r="J270" s="1">
        <v>0</v>
      </c>
      <c r="K270" s="1"/>
      <c r="L270" s="1">
        <v>0</v>
      </c>
      <c r="M270" s="1"/>
      <c r="N270" s="1">
        <v>0</v>
      </c>
      <c r="O270" s="1"/>
      <c r="P270" s="1">
        <v>10431.129999999999</v>
      </c>
      <c r="Q270" s="1"/>
      <c r="R270" s="1">
        <v>0</v>
      </c>
      <c r="S270" s="1"/>
      <c r="T270" s="1">
        <v>25530.32</v>
      </c>
      <c r="U270" s="1"/>
      <c r="V270" s="1">
        <v>244.8</v>
      </c>
      <c r="W270" s="1"/>
      <c r="X270" s="1">
        <v>7531.23</v>
      </c>
      <c r="Y270" s="1"/>
      <c r="Z270" s="1">
        <v>0</v>
      </c>
      <c r="AA270" s="1"/>
      <c r="AB270" s="1">
        <v>0</v>
      </c>
      <c r="AC270" s="1"/>
      <c r="AD270" s="1">
        <v>0</v>
      </c>
      <c r="AE270" s="1"/>
      <c r="AF270" s="1">
        <v>93570</v>
      </c>
      <c r="AH270" s="4">
        <f t="shared" si="10"/>
        <v>567797.64999999991</v>
      </c>
    </row>
    <row r="271" spans="1:66" s="4" customFormat="1">
      <c r="A271" s="4">
        <v>215</v>
      </c>
      <c r="B271" s="4" t="s">
        <v>539</v>
      </c>
      <c r="D271" s="4" t="s">
        <v>25</v>
      </c>
      <c r="F271" s="4">
        <v>4316629</v>
      </c>
      <c r="H271" s="4">
        <v>6796324</v>
      </c>
      <c r="J271" s="4">
        <v>0</v>
      </c>
      <c r="L271" s="4">
        <v>1301980</v>
      </c>
      <c r="N271" s="4">
        <v>0</v>
      </c>
      <c r="P271" s="4">
        <v>249105</v>
      </c>
      <c r="R271" s="4">
        <v>62149</v>
      </c>
      <c r="T271" s="4">
        <v>109559</v>
      </c>
      <c r="V271" s="4">
        <v>12702</v>
      </c>
      <c r="X271" s="4">
        <v>84687</v>
      </c>
      <c r="Z271" s="4">
        <v>0</v>
      </c>
      <c r="AB271" s="4">
        <v>566</v>
      </c>
      <c r="AD271" s="4">
        <v>0</v>
      </c>
      <c r="AF271" s="4">
        <v>0</v>
      </c>
      <c r="AH271" s="4">
        <f t="shared" si="10"/>
        <v>12933701</v>
      </c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</row>
    <row r="272" spans="1:66" s="4" customFormat="1">
      <c r="A272" s="4">
        <v>120</v>
      </c>
      <c r="B272" s="4" t="s">
        <v>254</v>
      </c>
      <c r="D272" s="4" t="s">
        <v>255</v>
      </c>
      <c r="F272" s="4">
        <v>2391772</v>
      </c>
      <c r="H272" s="4">
        <v>0</v>
      </c>
      <c r="J272" s="4">
        <v>0</v>
      </c>
      <c r="L272" s="4">
        <v>39863</v>
      </c>
      <c r="N272" s="4">
        <v>0</v>
      </c>
      <c r="P272" s="4">
        <v>69043</v>
      </c>
      <c r="R272" s="4">
        <v>5000</v>
      </c>
      <c r="T272" s="4">
        <v>6192</v>
      </c>
      <c r="V272" s="4">
        <v>7745</v>
      </c>
      <c r="X272" s="4">
        <v>55686</v>
      </c>
      <c r="Z272" s="4">
        <v>0</v>
      </c>
      <c r="AB272" s="4">
        <v>82</v>
      </c>
      <c r="AD272" s="4">
        <v>0</v>
      </c>
      <c r="AF272" s="4">
        <v>0</v>
      </c>
      <c r="AH272" s="4">
        <f t="shared" si="10"/>
        <v>2575383</v>
      </c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</row>
    <row r="273" spans="1:66" s="4" customFormat="1">
      <c r="A273" s="4">
        <v>220</v>
      </c>
      <c r="B273" s="4" t="s">
        <v>256</v>
      </c>
      <c r="D273" s="4" t="s">
        <v>22</v>
      </c>
      <c r="F273" s="4">
        <v>792646</v>
      </c>
      <c r="H273" s="4">
        <v>0</v>
      </c>
      <c r="J273" s="4">
        <v>0</v>
      </c>
      <c r="L273" s="4">
        <v>1177595</v>
      </c>
      <c r="N273" s="4">
        <v>0</v>
      </c>
      <c r="P273" s="4">
        <v>82702</v>
      </c>
      <c r="R273" s="4">
        <v>0</v>
      </c>
      <c r="T273" s="4">
        <v>5363</v>
      </c>
      <c r="V273" s="4">
        <v>1681</v>
      </c>
      <c r="X273" s="4">
        <v>8053</v>
      </c>
      <c r="Z273" s="4">
        <v>0</v>
      </c>
      <c r="AB273" s="4">
        <v>0</v>
      </c>
      <c r="AD273" s="4">
        <v>0</v>
      </c>
      <c r="AF273" s="4">
        <v>0</v>
      </c>
      <c r="AH273" s="4">
        <f t="shared" si="10"/>
        <v>2068040</v>
      </c>
    </row>
    <row r="274" spans="1:66" s="4" customFormat="1">
      <c r="A274" s="4">
        <v>86</v>
      </c>
      <c r="B274" s="4" t="s">
        <v>257</v>
      </c>
      <c r="D274" s="4" t="s">
        <v>41</v>
      </c>
      <c r="F274" s="1">
        <v>105135.06</v>
      </c>
      <c r="G274" s="1"/>
      <c r="H274" s="1">
        <v>265439.42</v>
      </c>
      <c r="I274" s="1"/>
      <c r="J274" s="1">
        <v>0</v>
      </c>
      <c r="K274" s="1"/>
      <c r="L274" s="1">
        <v>0</v>
      </c>
      <c r="M274" s="1"/>
      <c r="N274" s="1">
        <v>0</v>
      </c>
      <c r="O274" s="1"/>
      <c r="P274" s="1">
        <v>14011.44</v>
      </c>
      <c r="Q274" s="1"/>
      <c r="R274" s="1">
        <v>0</v>
      </c>
      <c r="S274" s="1"/>
      <c r="T274" s="1">
        <v>13673.75</v>
      </c>
      <c r="U274" s="1"/>
      <c r="V274" s="1">
        <v>3600.09</v>
      </c>
      <c r="W274" s="1"/>
      <c r="X274" s="1">
        <v>500.89</v>
      </c>
      <c r="Y274" s="1"/>
      <c r="Z274" s="1">
        <v>0</v>
      </c>
      <c r="AA274" s="1"/>
      <c r="AB274" s="1">
        <v>0</v>
      </c>
      <c r="AC274" s="1"/>
      <c r="AD274" s="1">
        <v>0</v>
      </c>
      <c r="AE274" s="1"/>
      <c r="AF274" s="1">
        <v>0</v>
      </c>
      <c r="AH274" s="4">
        <f t="shared" si="10"/>
        <v>402360.65</v>
      </c>
    </row>
    <row r="275" spans="1:66" s="4" customFormat="1">
      <c r="A275" s="4">
        <v>119</v>
      </c>
      <c r="B275" s="4" t="s">
        <v>258</v>
      </c>
      <c r="D275" s="4" t="s">
        <v>168</v>
      </c>
      <c r="F275" s="1">
        <v>0</v>
      </c>
      <c r="G275" s="1"/>
      <c r="H275" s="1">
        <v>357771.05</v>
      </c>
      <c r="I275" s="1"/>
      <c r="J275" s="1">
        <v>0</v>
      </c>
      <c r="K275" s="1"/>
      <c r="L275" s="1">
        <v>7800</v>
      </c>
      <c r="M275" s="1"/>
      <c r="N275" s="1">
        <v>0</v>
      </c>
      <c r="O275" s="1"/>
      <c r="P275" s="1">
        <v>13696.56</v>
      </c>
      <c r="Q275" s="1"/>
      <c r="R275" s="1">
        <v>0</v>
      </c>
      <c r="S275" s="1"/>
      <c r="T275" s="1">
        <v>7790.95</v>
      </c>
      <c r="U275" s="1"/>
      <c r="V275" s="1">
        <v>43172.59</v>
      </c>
      <c r="W275" s="1"/>
      <c r="X275" s="1">
        <v>1383.93</v>
      </c>
      <c r="Y275" s="1"/>
      <c r="Z275" s="1">
        <v>0</v>
      </c>
      <c r="AA275" s="1"/>
      <c r="AB275" s="1">
        <v>15000</v>
      </c>
      <c r="AC275" s="1"/>
      <c r="AD275" s="1">
        <v>0</v>
      </c>
      <c r="AE275" s="1"/>
      <c r="AF275" s="1">
        <v>0</v>
      </c>
      <c r="AH275" s="4">
        <f t="shared" si="10"/>
        <v>446615.08</v>
      </c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</row>
    <row r="276" spans="1:66" s="4" customFormat="1" hidden="1">
      <c r="A276" s="4">
        <v>221</v>
      </c>
      <c r="B276" s="4" t="s">
        <v>259</v>
      </c>
      <c r="D276" s="4" t="s">
        <v>22</v>
      </c>
      <c r="AH276" s="4">
        <f t="shared" si="10"/>
        <v>0</v>
      </c>
    </row>
    <row r="277" spans="1:66" s="4" customFormat="1" hidden="1">
      <c r="A277" s="22">
        <v>92.1</v>
      </c>
      <c r="B277" s="4" t="s">
        <v>526</v>
      </c>
      <c r="C277" s="3"/>
      <c r="D277" s="3" t="s">
        <v>527</v>
      </c>
      <c r="E277" s="3"/>
      <c r="AH277" s="4">
        <f t="shared" si="10"/>
        <v>0</v>
      </c>
    </row>
    <row r="278" spans="1:66" s="4" customFormat="1" hidden="1">
      <c r="A278" s="4">
        <v>71</v>
      </c>
      <c r="B278" s="4" t="s">
        <v>523</v>
      </c>
      <c r="D278" s="4" t="s">
        <v>66</v>
      </c>
      <c r="AH278" s="4">
        <f t="shared" si="10"/>
        <v>0</v>
      </c>
    </row>
    <row r="279" spans="1:66" s="5" customFormat="1">
      <c r="A279" s="4">
        <v>207</v>
      </c>
      <c r="B279" s="4" t="s">
        <v>260</v>
      </c>
      <c r="C279" s="4"/>
      <c r="D279" s="4" t="s">
        <v>44</v>
      </c>
      <c r="E279" s="4"/>
      <c r="F279" s="1">
        <v>0</v>
      </c>
      <c r="G279" s="1"/>
      <c r="H279" s="1">
        <v>939948.25</v>
      </c>
      <c r="I279" s="1"/>
      <c r="J279" s="1">
        <v>0</v>
      </c>
      <c r="K279" s="1"/>
      <c r="L279" s="1">
        <v>0</v>
      </c>
      <c r="M279" s="1"/>
      <c r="N279" s="1">
        <v>0</v>
      </c>
      <c r="O279" s="1"/>
      <c r="P279" s="1">
        <v>34090.339999999997</v>
      </c>
      <c r="Q279" s="1"/>
      <c r="R279" s="1">
        <v>0</v>
      </c>
      <c r="S279" s="1"/>
      <c r="T279" s="1">
        <v>77762.39</v>
      </c>
      <c r="U279" s="1"/>
      <c r="V279" s="1">
        <v>47996.66</v>
      </c>
      <c r="W279" s="1"/>
      <c r="X279" s="1">
        <v>7653.23</v>
      </c>
      <c r="Y279" s="1"/>
      <c r="Z279" s="1">
        <v>0</v>
      </c>
      <c r="AA279" s="1"/>
      <c r="AB279" s="1">
        <v>260000</v>
      </c>
      <c r="AC279" s="1"/>
      <c r="AD279" s="1">
        <v>0</v>
      </c>
      <c r="AE279" s="1"/>
      <c r="AF279" s="1">
        <v>0</v>
      </c>
      <c r="AG279" s="4"/>
      <c r="AH279" s="4">
        <f t="shared" si="10"/>
        <v>1367450.8699999999</v>
      </c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</row>
    <row r="280" spans="1:66" s="4" customFormat="1">
      <c r="A280" s="4">
        <v>166</v>
      </c>
      <c r="B280" s="4" t="s">
        <v>418</v>
      </c>
      <c r="D280" s="4" t="s">
        <v>52</v>
      </c>
      <c r="F280" s="4">
        <v>0</v>
      </c>
      <c r="H280" s="4">
        <v>469179</v>
      </c>
      <c r="J280" s="4">
        <v>0</v>
      </c>
      <c r="L280" s="4">
        <v>0</v>
      </c>
      <c r="N280" s="4">
        <v>0</v>
      </c>
      <c r="P280" s="4">
        <v>13848</v>
      </c>
      <c r="R280" s="4">
        <v>0</v>
      </c>
      <c r="T280" s="4">
        <v>22333</v>
      </c>
      <c r="V280" s="4">
        <v>8605</v>
      </c>
      <c r="X280" s="4">
        <v>11839</v>
      </c>
      <c r="Z280" s="4">
        <v>0</v>
      </c>
      <c r="AB280" s="4">
        <v>0</v>
      </c>
      <c r="AD280" s="4">
        <v>0</v>
      </c>
      <c r="AF280" s="4">
        <v>0</v>
      </c>
      <c r="AH280" s="4">
        <f t="shared" si="10"/>
        <v>525804</v>
      </c>
    </row>
    <row r="281" spans="1:66" s="4" customFormat="1">
      <c r="A281" s="4">
        <v>147</v>
      </c>
      <c r="B281" s="4" t="s">
        <v>555</v>
      </c>
      <c r="D281" s="4" t="s">
        <v>261</v>
      </c>
      <c r="F281" s="4">
        <v>15209885</v>
      </c>
      <c r="H281" s="4">
        <v>0</v>
      </c>
      <c r="J281" s="4">
        <v>0</v>
      </c>
      <c r="L281" s="4">
        <v>18537981</v>
      </c>
      <c r="N281" s="4">
        <v>0</v>
      </c>
      <c r="P281" s="4">
        <v>880874</v>
      </c>
      <c r="R281" s="4">
        <v>69948</v>
      </c>
      <c r="T281" s="4">
        <v>35327</v>
      </c>
      <c r="V281" s="4">
        <v>77944</v>
      </c>
      <c r="X281" s="4">
        <v>238641</v>
      </c>
      <c r="Z281" s="4">
        <v>0</v>
      </c>
      <c r="AB281" s="4">
        <v>0</v>
      </c>
      <c r="AD281" s="4">
        <v>0</v>
      </c>
      <c r="AF281" s="4">
        <v>59912</v>
      </c>
      <c r="AH281" s="4">
        <f t="shared" si="10"/>
        <v>35110512</v>
      </c>
    </row>
    <row r="282" spans="1:66" s="4" customFormat="1">
      <c r="A282" s="4">
        <v>167</v>
      </c>
      <c r="B282" s="4" t="s">
        <v>556</v>
      </c>
      <c r="D282" s="4" t="s">
        <v>52</v>
      </c>
      <c r="F282" s="4">
        <v>0</v>
      </c>
      <c r="H282" s="4">
        <v>1246952</v>
      </c>
      <c r="J282" s="4">
        <v>0</v>
      </c>
      <c r="L282" s="4">
        <v>0</v>
      </c>
      <c r="N282" s="4">
        <v>0</v>
      </c>
      <c r="P282" s="4">
        <v>35880</v>
      </c>
      <c r="R282" s="4">
        <v>0</v>
      </c>
      <c r="T282" s="4">
        <v>90111</v>
      </c>
      <c r="V282" s="4">
        <v>35519</v>
      </c>
      <c r="X282" s="4">
        <v>14976</v>
      </c>
      <c r="Z282" s="4">
        <v>0</v>
      </c>
      <c r="AB282" s="4">
        <v>100000</v>
      </c>
      <c r="AD282" s="4">
        <v>0</v>
      </c>
      <c r="AF282" s="4">
        <v>0</v>
      </c>
      <c r="AH282" s="4">
        <f t="shared" si="10"/>
        <v>1523438</v>
      </c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</row>
    <row r="283" spans="1:66" s="4" customFormat="1">
      <c r="A283" s="4">
        <v>236</v>
      </c>
      <c r="B283" s="4" t="s">
        <v>557</v>
      </c>
      <c r="D283" s="4" t="s">
        <v>26</v>
      </c>
      <c r="F283" s="4">
        <v>752185</v>
      </c>
      <c r="H283" s="4">
        <v>0</v>
      </c>
      <c r="J283" s="4">
        <v>0</v>
      </c>
      <c r="L283" s="4">
        <v>1363655</v>
      </c>
      <c r="N283" s="4">
        <v>0</v>
      </c>
      <c r="P283" s="4">
        <v>0</v>
      </c>
      <c r="R283" s="4">
        <v>55783</v>
      </c>
      <c r="T283" s="4">
        <v>180036</v>
      </c>
      <c r="V283" s="4">
        <v>5283</v>
      </c>
      <c r="X283" s="4">
        <v>2593</v>
      </c>
      <c r="Z283" s="4">
        <v>0</v>
      </c>
      <c r="AB283" s="4">
        <v>0</v>
      </c>
      <c r="AD283" s="4">
        <v>0</v>
      </c>
      <c r="AF283" s="4">
        <v>0</v>
      </c>
      <c r="AH283" s="4">
        <f t="shared" ref="AH283:AH308" si="11">SUM(F283:AF283)</f>
        <v>2359535</v>
      </c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</row>
    <row r="284" spans="1:66" s="4" customFormat="1">
      <c r="A284" s="4">
        <v>222</v>
      </c>
      <c r="B284" s="4" t="s">
        <v>316</v>
      </c>
      <c r="D284" s="4" t="s">
        <v>22</v>
      </c>
      <c r="F284" s="4">
        <v>1598498</v>
      </c>
      <c r="H284" s="4">
        <v>0</v>
      </c>
      <c r="J284" s="4">
        <v>0</v>
      </c>
      <c r="L284" s="4">
        <v>1459302</v>
      </c>
      <c r="N284" s="4">
        <v>0</v>
      </c>
      <c r="P284" s="4">
        <v>61745</v>
      </c>
      <c r="R284" s="4">
        <v>0</v>
      </c>
      <c r="T284" s="4">
        <v>25023</v>
      </c>
      <c r="V284" s="4">
        <v>4081</v>
      </c>
      <c r="X284" s="4">
        <v>6072</v>
      </c>
      <c r="Z284" s="4">
        <v>0</v>
      </c>
      <c r="AB284" s="4">
        <v>421000</v>
      </c>
      <c r="AD284" s="4">
        <v>79000</v>
      </c>
      <c r="AF284" s="4">
        <v>0</v>
      </c>
      <c r="AH284" s="4">
        <f t="shared" si="11"/>
        <v>3654721</v>
      </c>
    </row>
    <row r="285" spans="1:66" s="4" customFormat="1">
      <c r="A285" s="4">
        <v>24</v>
      </c>
      <c r="B285" s="4" t="s">
        <v>263</v>
      </c>
      <c r="D285" s="4" t="s">
        <v>46</v>
      </c>
      <c r="F285" s="4">
        <v>0</v>
      </c>
      <c r="H285" s="4">
        <v>429938</v>
      </c>
      <c r="J285" s="4">
        <v>0</v>
      </c>
      <c r="L285" s="4">
        <v>0</v>
      </c>
      <c r="N285" s="4">
        <v>0</v>
      </c>
      <c r="P285" s="4">
        <v>11508</v>
      </c>
      <c r="R285" s="4">
        <v>0</v>
      </c>
      <c r="T285" s="4">
        <v>3538</v>
      </c>
      <c r="V285" s="4">
        <v>508</v>
      </c>
      <c r="X285" s="4">
        <v>9132</v>
      </c>
      <c r="Z285" s="4">
        <v>0</v>
      </c>
      <c r="AB285" s="4">
        <v>0</v>
      </c>
      <c r="AD285" s="4">
        <v>0</v>
      </c>
      <c r="AF285" s="4">
        <v>0</v>
      </c>
      <c r="AH285" s="4">
        <f t="shared" si="11"/>
        <v>454624</v>
      </c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</row>
    <row r="286" spans="1:66" s="4" customFormat="1">
      <c r="B286" s="4" t="s">
        <v>264</v>
      </c>
      <c r="D286" s="4" t="s">
        <v>91</v>
      </c>
      <c r="F286" s="4">
        <v>2698325</v>
      </c>
      <c r="H286" s="4">
        <v>2588425</v>
      </c>
      <c r="J286" s="4">
        <v>0</v>
      </c>
      <c r="L286" s="4">
        <v>448737</v>
      </c>
      <c r="N286" s="4">
        <v>0</v>
      </c>
      <c r="P286" s="4">
        <v>177807</v>
      </c>
      <c r="R286" s="4">
        <v>0</v>
      </c>
      <c r="T286" s="4">
        <v>22197</v>
      </c>
      <c r="V286" s="4">
        <v>17028</v>
      </c>
      <c r="X286" s="4">
        <v>31892</v>
      </c>
      <c r="Z286" s="4">
        <v>0</v>
      </c>
      <c r="AB286" s="4">
        <v>40034</v>
      </c>
      <c r="AD286" s="4">
        <v>0</v>
      </c>
      <c r="AF286" s="4">
        <v>0</v>
      </c>
      <c r="AH286" s="4">
        <f t="shared" si="11"/>
        <v>6024445</v>
      </c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</row>
    <row r="287" spans="1:66" s="4" customFormat="1">
      <c r="A287" s="4">
        <v>260</v>
      </c>
      <c r="B287" s="4" t="s">
        <v>265</v>
      </c>
      <c r="D287" s="4" t="s">
        <v>62</v>
      </c>
      <c r="F287" s="1">
        <v>0</v>
      </c>
      <c r="G287" s="1"/>
      <c r="H287" s="1">
        <v>261579.13</v>
      </c>
      <c r="I287" s="1"/>
      <c r="J287" s="1">
        <v>0</v>
      </c>
      <c r="K287" s="1"/>
      <c r="L287" s="1">
        <v>0</v>
      </c>
      <c r="M287" s="1"/>
      <c r="N287" s="1">
        <v>0</v>
      </c>
      <c r="O287" s="1"/>
      <c r="P287" s="1">
        <v>16717.11</v>
      </c>
      <c r="Q287" s="1"/>
      <c r="R287" s="1">
        <v>0</v>
      </c>
      <c r="S287" s="1"/>
      <c r="T287" s="1">
        <v>13118.08</v>
      </c>
      <c r="U287" s="1"/>
      <c r="V287" s="1">
        <v>7352.02</v>
      </c>
      <c r="W287" s="1"/>
      <c r="X287" s="1">
        <v>2194.0500000000002</v>
      </c>
      <c r="Y287" s="1"/>
      <c r="Z287" s="1">
        <v>0</v>
      </c>
      <c r="AA287" s="1"/>
      <c r="AB287" s="1">
        <v>96230</v>
      </c>
      <c r="AC287" s="1"/>
      <c r="AD287" s="1">
        <v>0</v>
      </c>
      <c r="AE287" s="1"/>
      <c r="AF287" s="1">
        <v>0</v>
      </c>
      <c r="AH287" s="4">
        <f t="shared" si="11"/>
        <v>397190.39</v>
      </c>
    </row>
    <row r="288" spans="1:66" s="4" customFormat="1">
      <c r="B288" s="4" t="s">
        <v>570</v>
      </c>
      <c r="D288" s="4" t="s">
        <v>66</v>
      </c>
      <c r="F288" s="4">
        <v>0</v>
      </c>
      <c r="H288" s="4">
        <v>286919</v>
      </c>
      <c r="J288" s="4">
        <v>0</v>
      </c>
      <c r="L288" s="4">
        <v>0</v>
      </c>
      <c r="N288" s="4">
        <v>0</v>
      </c>
      <c r="P288" s="4">
        <v>0</v>
      </c>
      <c r="R288" s="4">
        <v>0</v>
      </c>
      <c r="T288" s="4">
        <v>0</v>
      </c>
      <c r="V288" s="4">
        <v>0</v>
      </c>
      <c r="X288" s="4">
        <v>0</v>
      </c>
      <c r="Z288" s="4">
        <v>0</v>
      </c>
      <c r="AB288" s="4">
        <v>0</v>
      </c>
      <c r="AD288" s="4">
        <v>0</v>
      </c>
      <c r="AF288" s="4">
        <v>0</v>
      </c>
      <c r="AH288" s="4">
        <f t="shared" si="11"/>
        <v>286919</v>
      </c>
    </row>
    <row r="289" spans="1:66" s="4" customFormat="1">
      <c r="A289" s="4">
        <v>230</v>
      </c>
      <c r="B289" s="4" t="s">
        <v>558</v>
      </c>
      <c r="D289" s="4" t="s">
        <v>55</v>
      </c>
      <c r="F289" s="4">
        <v>1877249</v>
      </c>
      <c r="H289" s="4">
        <v>3507622</v>
      </c>
      <c r="J289" s="4">
        <v>0</v>
      </c>
      <c r="L289" s="4">
        <v>456578</v>
      </c>
      <c r="N289" s="4">
        <v>0</v>
      </c>
      <c r="P289" s="4">
        <v>143265</v>
      </c>
      <c r="R289" s="4">
        <v>280</v>
      </c>
      <c r="T289" s="4">
        <v>46367</v>
      </c>
      <c r="V289" s="4">
        <v>32795</v>
      </c>
      <c r="X289" s="4">
        <v>41430</v>
      </c>
      <c r="Z289" s="4">
        <v>0</v>
      </c>
      <c r="AB289" s="4">
        <v>674981</v>
      </c>
      <c r="AD289" s="4">
        <v>0</v>
      </c>
      <c r="AF289" s="4">
        <v>0</v>
      </c>
      <c r="AH289" s="4">
        <f t="shared" si="11"/>
        <v>6780567</v>
      </c>
    </row>
    <row r="290" spans="1:66" s="4" customFormat="1">
      <c r="A290" s="4">
        <v>245</v>
      </c>
      <c r="B290" s="4" t="s">
        <v>559</v>
      </c>
      <c r="D290" s="4" t="s">
        <v>27</v>
      </c>
      <c r="F290" s="4">
        <v>0</v>
      </c>
      <c r="H290" s="4">
        <v>0</v>
      </c>
      <c r="J290" s="4">
        <v>0</v>
      </c>
      <c r="L290" s="4">
        <v>1916331</v>
      </c>
      <c r="N290" s="4">
        <v>0</v>
      </c>
      <c r="P290" s="4">
        <v>74423</v>
      </c>
      <c r="R290" s="4">
        <v>0</v>
      </c>
      <c r="T290" s="4">
        <v>39224</v>
      </c>
      <c r="V290" s="4">
        <v>4408</v>
      </c>
      <c r="X290" s="4">
        <v>3526</v>
      </c>
      <c r="Z290" s="4">
        <v>0</v>
      </c>
      <c r="AB290" s="4">
        <v>35</v>
      </c>
      <c r="AD290" s="4">
        <v>0</v>
      </c>
      <c r="AF290" s="4">
        <v>0</v>
      </c>
      <c r="AH290" s="4">
        <f t="shared" si="11"/>
        <v>2037947</v>
      </c>
    </row>
    <row r="291" spans="1:66" s="4" customFormat="1">
      <c r="A291" s="4">
        <v>171</v>
      </c>
      <c r="B291" s="4" t="s">
        <v>266</v>
      </c>
      <c r="D291" s="4" t="s">
        <v>54</v>
      </c>
      <c r="F291" s="4">
        <v>3287819</v>
      </c>
      <c r="H291" s="4">
        <v>2131656</v>
      </c>
      <c r="J291" s="4">
        <v>621493</v>
      </c>
      <c r="L291" s="4">
        <v>299990</v>
      </c>
      <c r="N291" s="4">
        <v>0</v>
      </c>
      <c r="P291" s="4">
        <v>0</v>
      </c>
      <c r="R291" s="4">
        <v>0</v>
      </c>
      <c r="T291" s="4">
        <v>46622</v>
      </c>
      <c r="V291" s="4">
        <v>275991</v>
      </c>
      <c r="X291" s="4">
        <f>17610+6736</f>
        <v>24346</v>
      </c>
      <c r="Z291" s="4">
        <v>0</v>
      </c>
      <c r="AB291" s="4">
        <v>0</v>
      </c>
      <c r="AD291" s="4">
        <v>0</v>
      </c>
      <c r="AF291" s="4">
        <v>0</v>
      </c>
      <c r="AH291" s="4">
        <f t="shared" si="11"/>
        <v>6687917</v>
      </c>
    </row>
    <row r="292" spans="1:66" s="4" customFormat="1">
      <c r="A292" s="4">
        <v>87</v>
      </c>
      <c r="B292" s="4" t="s">
        <v>438</v>
      </c>
      <c r="D292" s="4" t="s">
        <v>41</v>
      </c>
      <c r="F292" s="1">
        <v>25725.74</v>
      </c>
      <c r="G292" s="1"/>
      <c r="H292" s="1">
        <v>306182.40999999997</v>
      </c>
      <c r="I292" s="1"/>
      <c r="J292" s="1">
        <v>0</v>
      </c>
      <c r="K292" s="1"/>
      <c r="L292" s="1">
        <v>3413.13</v>
      </c>
      <c r="M292" s="1"/>
      <c r="N292" s="1">
        <v>0</v>
      </c>
      <c r="O292" s="1"/>
      <c r="P292" s="1">
        <v>13198.84</v>
      </c>
      <c r="Q292" s="1"/>
      <c r="R292" s="1">
        <v>0</v>
      </c>
      <c r="S292" s="1"/>
      <c r="T292" s="1">
        <v>6282.88</v>
      </c>
      <c r="U292" s="1"/>
      <c r="V292" s="1">
        <v>30913.03</v>
      </c>
      <c r="W292" s="1"/>
      <c r="X292" s="1">
        <v>425.03</v>
      </c>
      <c r="Y292" s="1"/>
      <c r="Z292" s="1">
        <v>0</v>
      </c>
      <c r="AA292" s="1"/>
      <c r="AB292" s="1">
        <v>0</v>
      </c>
      <c r="AC292" s="1"/>
      <c r="AD292" s="1">
        <v>0</v>
      </c>
      <c r="AE292" s="1"/>
      <c r="AF292" s="1">
        <v>0</v>
      </c>
      <c r="AH292" s="4">
        <f t="shared" si="11"/>
        <v>386141.06000000006</v>
      </c>
    </row>
    <row r="293" spans="1:66" s="4" customFormat="1">
      <c r="A293" s="4">
        <v>247</v>
      </c>
      <c r="B293" s="4" t="s">
        <v>560</v>
      </c>
      <c r="D293" s="4" t="s">
        <v>223</v>
      </c>
      <c r="F293" s="4">
        <v>2239574</v>
      </c>
      <c r="H293" s="4">
        <v>0</v>
      </c>
      <c r="J293" s="4">
        <v>0</v>
      </c>
      <c r="L293" s="4">
        <v>3172810</v>
      </c>
      <c r="N293" s="4">
        <v>0</v>
      </c>
      <c r="P293" s="4">
        <v>156938</v>
      </c>
      <c r="R293" s="4">
        <v>0</v>
      </c>
      <c r="T293" s="4">
        <v>33852</v>
      </c>
      <c r="V293" s="4">
        <v>96527</v>
      </c>
      <c r="X293" s="4">
        <v>3026</v>
      </c>
      <c r="Z293" s="4">
        <v>0</v>
      </c>
      <c r="AB293" s="4">
        <v>205554</v>
      </c>
      <c r="AD293" s="4">
        <v>0</v>
      </c>
      <c r="AF293" s="4">
        <v>0</v>
      </c>
      <c r="AH293" s="4">
        <f t="shared" si="11"/>
        <v>5908281</v>
      </c>
    </row>
    <row r="294" spans="1:66" s="4" customFormat="1">
      <c r="A294" s="4">
        <v>254</v>
      </c>
      <c r="B294" s="4" t="s">
        <v>268</v>
      </c>
      <c r="D294" s="4" t="s">
        <v>64</v>
      </c>
      <c r="F294" s="1">
        <v>0</v>
      </c>
      <c r="G294" s="1"/>
      <c r="H294" s="1">
        <v>263919.73</v>
      </c>
      <c r="I294" s="1"/>
      <c r="J294" s="1">
        <v>0</v>
      </c>
      <c r="K294" s="1"/>
      <c r="L294" s="1">
        <v>0</v>
      </c>
      <c r="M294" s="1"/>
      <c r="N294" s="1">
        <v>0</v>
      </c>
      <c r="O294" s="1"/>
      <c r="P294" s="1">
        <v>8137.61</v>
      </c>
      <c r="Q294" s="1"/>
      <c r="R294" s="1">
        <v>0</v>
      </c>
      <c r="S294" s="1"/>
      <c r="T294" s="1">
        <v>2452.5500000000002</v>
      </c>
      <c r="U294" s="1"/>
      <c r="V294" s="1">
        <v>1895.15</v>
      </c>
      <c r="W294" s="1"/>
      <c r="X294" s="1">
        <v>823.26</v>
      </c>
      <c r="Y294" s="1"/>
      <c r="Z294" s="1">
        <v>0</v>
      </c>
      <c r="AA294" s="1"/>
      <c r="AB294" s="1">
        <v>0</v>
      </c>
      <c r="AC294" s="1"/>
      <c r="AD294" s="1">
        <v>0</v>
      </c>
      <c r="AE294" s="1"/>
      <c r="AF294" s="1">
        <v>0</v>
      </c>
      <c r="AH294" s="4">
        <f t="shared" si="11"/>
        <v>277228.3</v>
      </c>
    </row>
    <row r="295" spans="1:66" s="4" customFormat="1">
      <c r="A295" s="4">
        <v>255</v>
      </c>
      <c r="B295" s="4" t="s">
        <v>269</v>
      </c>
      <c r="D295" s="4" t="s">
        <v>64</v>
      </c>
      <c r="F295" s="1">
        <v>821826.88</v>
      </c>
      <c r="G295" s="1"/>
      <c r="H295" s="1">
        <v>907996.07</v>
      </c>
      <c r="I295" s="1"/>
      <c r="J295" s="1">
        <v>0</v>
      </c>
      <c r="K295" s="1"/>
      <c r="L295" s="1">
        <v>93991.34</v>
      </c>
      <c r="M295" s="1"/>
      <c r="N295" s="1">
        <v>0</v>
      </c>
      <c r="O295" s="1"/>
      <c r="P295" s="1">
        <v>54142.47</v>
      </c>
      <c r="Q295" s="1"/>
      <c r="R295" s="1">
        <v>0</v>
      </c>
      <c r="S295" s="1"/>
      <c r="T295" s="1">
        <v>3715.93</v>
      </c>
      <c r="U295" s="1"/>
      <c r="V295" s="1">
        <v>1943.62</v>
      </c>
      <c r="W295" s="1"/>
      <c r="X295" s="1">
        <v>17175.95</v>
      </c>
      <c r="Y295" s="1"/>
      <c r="Z295" s="1">
        <v>2128.48</v>
      </c>
      <c r="AA295" s="1"/>
      <c r="AB295" s="1">
        <v>0</v>
      </c>
      <c r="AC295" s="1"/>
      <c r="AD295" s="1">
        <v>0</v>
      </c>
      <c r="AE295" s="1"/>
      <c r="AF295" s="1">
        <v>0</v>
      </c>
      <c r="AH295" s="4">
        <f t="shared" si="11"/>
        <v>1902920.74</v>
      </c>
    </row>
    <row r="296" spans="1:66" s="4" customFormat="1">
      <c r="A296" s="4">
        <v>44</v>
      </c>
      <c r="B296" s="4" t="s">
        <v>270</v>
      </c>
      <c r="D296" s="4" t="s">
        <v>50</v>
      </c>
      <c r="F296" s="1">
        <v>0</v>
      </c>
      <c r="G296" s="1"/>
      <c r="H296" s="1">
        <v>342709.68</v>
      </c>
      <c r="I296" s="1"/>
      <c r="J296" s="1">
        <v>0</v>
      </c>
      <c r="K296" s="1"/>
      <c r="L296" s="1">
        <v>0</v>
      </c>
      <c r="M296" s="1"/>
      <c r="N296" s="1">
        <v>0</v>
      </c>
      <c r="O296" s="1"/>
      <c r="P296" s="1">
        <v>5411.17</v>
      </c>
      <c r="Q296" s="1"/>
      <c r="R296" s="1">
        <v>1932.14</v>
      </c>
      <c r="S296" s="1"/>
      <c r="T296" s="1">
        <v>4080.17</v>
      </c>
      <c r="U296" s="1"/>
      <c r="V296" s="1">
        <v>26784.73</v>
      </c>
      <c r="W296" s="1"/>
      <c r="X296" s="1">
        <v>297.91000000000003</v>
      </c>
      <c r="Y296" s="1"/>
      <c r="Z296" s="1">
        <v>0</v>
      </c>
      <c r="AA296" s="1"/>
      <c r="AB296" s="1">
        <v>0</v>
      </c>
      <c r="AC296" s="1"/>
      <c r="AD296" s="1">
        <v>0</v>
      </c>
      <c r="AE296" s="1"/>
      <c r="AF296" s="1">
        <v>0</v>
      </c>
      <c r="AH296" s="4">
        <f t="shared" si="11"/>
        <v>381215.79999999993</v>
      </c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</row>
    <row r="297" spans="1:66" s="4" customFormat="1">
      <c r="A297" s="4">
        <v>78</v>
      </c>
      <c r="B297" s="4" t="s">
        <v>522</v>
      </c>
      <c r="D297" s="4" t="s">
        <v>91</v>
      </c>
      <c r="F297" s="4">
        <v>1879500</v>
      </c>
      <c r="H297" s="4">
        <v>2595473</v>
      </c>
      <c r="J297" s="4">
        <v>0</v>
      </c>
      <c r="L297" s="4">
        <v>110348</v>
      </c>
      <c r="N297" s="4">
        <v>0</v>
      </c>
      <c r="P297" s="4">
        <v>258636</v>
      </c>
      <c r="R297" s="4">
        <v>41995</v>
      </c>
      <c r="T297" s="4">
        <v>43880</v>
      </c>
      <c r="V297" s="4">
        <v>1216</v>
      </c>
      <c r="X297" s="4">
        <v>22930</v>
      </c>
      <c r="Z297" s="4">
        <v>0</v>
      </c>
      <c r="AB297" s="4">
        <v>39496</v>
      </c>
      <c r="AD297" s="4">
        <v>0</v>
      </c>
      <c r="AF297" s="4">
        <v>1075000</v>
      </c>
      <c r="AH297" s="4">
        <f t="shared" si="11"/>
        <v>6068474</v>
      </c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</row>
    <row r="298" spans="1:66" s="4" customFormat="1">
      <c r="A298" s="4">
        <v>256</v>
      </c>
      <c r="B298" s="4" t="s">
        <v>271</v>
      </c>
      <c r="D298" s="4" t="s">
        <v>64</v>
      </c>
      <c r="F298" s="1">
        <v>0</v>
      </c>
      <c r="G298" s="1"/>
      <c r="H298" s="1">
        <v>320875.02</v>
      </c>
      <c r="I298" s="1"/>
      <c r="J298" s="1">
        <v>0</v>
      </c>
      <c r="K298" s="1"/>
      <c r="L298" s="1">
        <v>0</v>
      </c>
      <c r="M298" s="1"/>
      <c r="N298" s="1">
        <v>0</v>
      </c>
      <c r="O298" s="1"/>
      <c r="P298" s="1">
        <v>7314.42</v>
      </c>
      <c r="Q298" s="1"/>
      <c r="R298" s="1">
        <v>0</v>
      </c>
      <c r="S298" s="1"/>
      <c r="T298" s="1">
        <v>349.72</v>
      </c>
      <c r="U298" s="1"/>
      <c r="V298" s="1">
        <v>10807.12</v>
      </c>
      <c r="W298" s="1"/>
      <c r="X298" s="1">
        <v>1899.31</v>
      </c>
      <c r="Y298" s="1"/>
      <c r="Z298" s="1">
        <v>0</v>
      </c>
      <c r="AA298" s="1"/>
      <c r="AB298" s="1">
        <v>0</v>
      </c>
      <c r="AC298" s="1"/>
      <c r="AD298" s="1">
        <v>0</v>
      </c>
      <c r="AE298" s="1"/>
      <c r="AF298" s="1">
        <v>0</v>
      </c>
      <c r="AH298" s="4">
        <f t="shared" si="11"/>
        <v>341245.58999999997</v>
      </c>
    </row>
    <row r="299" spans="1:66" s="4" customFormat="1">
      <c r="A299" s="4">
        <v>129</v>
      </c>
      <c r="B299" s="4" t="s">
        <v>439</v>
      </c>
      <c r="D299" s="4" t="s">
        <v>15</v>
      </c>
      <c r="F299" s="1">
        <v>881619.03</v>
      </c>
      <c r="G299" s="1"/>
      <c r="H299" s="1">
        <v>735070.26</v>
      </c>
      <c r="I299" s="1"/>
      <c r="J299" s="1">
        <v>0</v>
      </c>
      <c r="K299" s="1"/>
      <c r="L299" s="1">
        <v>0</v>
      </c>
      <c r="M299" s="1"/>
      <c r="N299" s="1">
        <v>0</v>
      </c>
      <c r="O299" s="1"/>
      <c r="P299" s="1">
        <v>26607.33</v>
      </c>
      <c r="Q299" s="1"/>
      <c r="R299" s="1">
        <v>0</v>
      </c>
      <c r="S299" s="1"/>
      <c r="T299" s="1">
        <v>825</v>
      </c>
      <c r="U299" s="1"/>
      <c r="V299" s="1">
        <v>50393.05</v>
      </c>
      <c r="W299" s="1"/>
      <c r="X299" s="1">
        <v>18776.41</v>
      </c>
      <c r="Y299" s="1"/>
      <c r="Z299" s="1">
        <v>965.49</v>
      </c>
      <c r="AA299" s="1"/>
      <c r="AB299" s="1">
        <v>400000</v>
      </c>
      <c r="AC299" s="1"/>
      <c r="AD299" s="1">
        <v>0</v>
      </c>
      <c r="AE299" s="1"/>
      <c r="AF299" s="1">
        <v>0</v>
      </c>
      <c r="AH299" s="4">
        <f t="shared" si="11"/>
        <v>2114256.5700000003</v>
      </c>
    </row>
    <row r="300" spans="1:66" s="4" customFormat="1">
      <c r="A300" s="4">
        <v>114</v>
      </c>
      <c r="B300" s="4" t="s">
        <v>272</v>
      </c>
      <c r="D300" s="4" t="s">
        <v>88</v>
      </c>
      <c r="F300" s="4">
        <v>3701</v>
      </c>
      <c r="H300" s="4">
        <v>638259</v>
      </c>
      <c r="J300" s="4">
        <v>0</v>
      </c>
      <c r="L300" s="4">
        <v>5850</v>
      </c>
      <c r="N300" s="4">
        <v>0</v>
      </c>
      <c r="P300" s="4">
        <v>28834</v>
      </c>
      <c r="R300" s="4">
        <v>0</v>
      </c>
      <c r="T300" s="4">
        <v>17559</v>
      </c>
      <c r="V300" s="4">
        <v>3348</v>
      </c>
      <c r="X300" s="4">
        <v>5084</v>
      </c>
      <c r="Z300" s="4">
        <v>0</v>
      </c>
      <c r="AB300" s="4">
        <v>0</v>
      </c>
      <c r="AD300" s="4">
        <v>0</v>
      </c>
      <c r="AF300" s="4">
        <v>0</v>
      </c>
      <c r="AH300" s="4">
        <f t="shared" si="11"/>
        <v>702635</v>
      </c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</row>
    <row r="301" spans="1:66" s="4" customFormat="1">
      <c r="A301" s="4">
        <v>249</v>
      </c>
      <c r="B301" s="4" t="s">
        <v>561</v>
      </c>
      <c r="D301" s="4" t="s">
        <v>202</v>
      </c>
      <c r="F301" s="4">
        <v>477086</v>
      </c>
      <c r="H301" s="4">
        <v>966741</v>
      </c>
      <c r="J301" s="4">
        <v>0</v>
      </c>
      <c r="L301" s="4">
        <v>163704</v>
      </c>
      <c r="N301" s="4">
        <v>0</v>
      </c>
      <c r="P301" s="4">
        <v>33570</v>
      </c>
      <c r="R301" s="4">
        <v>0</v>
      </c>
      <c r="T301" s="4">
        <f>17797+32866</f>
        <v>50663</v>
      </c>
      <c r="V301" s="4">
        <v>939</v>
      </c>
      <c r="X301" s="4">
        <v>39488</v>
      </c>
      <c r="Z301" s="4">
        <v>0</v>
      </c>
      <c r="AB301" s="4">
        <v>0</v>
      </c>
      <c r="AD301" s="4">
        <v>0</v>
      </c>
      <c r="AF301" s="4">
        <v>0</v>
      </c>
      <c r="AH301" s="4">
        <f t="shared" si="11"/>
        <v>1732191</v>
      </c>
    </row>
    <row r="302" spans="1:66" s="4" customFormat="1">
      <c r="A302" s="4">
        <v>130</v>
      </c>
      <c r="B302" s="4" t="s">
        <v>273</v>
      </c>
      <c r="D302" s="4" t="s">
        <v>15</v>
      </c>
      <c r="F302" s="4">
        <v>1746801</v>
      </c>
      <c r="H302" s="4">
        <v>1819243</v>
      </c>
      <c r="J302" s="4">
        <v>0</v>
      </c>
      <c r="L302" s="4">
        <v>447310</v>
      </c>
      <c r="N302" s="4">
        <v>0</v>
      </c>
      <c r="P302" s="4">
        <v>105142</v>
      </c>
      <c r="R302" s="4">
        <v>0</v>
      </c>
      <c r="T302" s="4">
        <v>3216</v>
      </c>
      <c r="V302" s="4">
        <v>16857</v>
      </c>
      <c r="X302" s="4">
        <v>38160</v>
      </c>
      <c r="Z302" s="4">
        <v>0</v>
      </c>
      <c r="AB302" s="4">
        <v>0</v>
      </c>
      <c r="AD302" s="4">
        <v>0</v>
      </c>
      <c r="AF302" s="4">
        <v>0</v>
      </c>
      <c r="AH302" s="4">
        <f t="shared" si="11"/>
        <v>4176729</v>
      </c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</row>
    <row r="303" spans="1:66" s="4" customFormat="1">
      <c r="A303" s="4">
        <v>37</v>
      </c>
      <c r="B303" s="4" t="s">
        <v>274</v>
      </c>
      <c r="D303" s="4" t="s">
        <v>68</v>
      </c>
      <c r="F303" s="1">
        <v>0</v>
      </c>
      <c r="G303" s="1"/>
      <c r="H303" s="1">
        <v>571148.38</v>
      </c>
      <c r="I303" s="1"/>
      <c r="J303" s="1">
        <v>0</v>
      </c>
      <c r="K303" s="1"/>
      <c r="L303" s="1">
        <v>0</v>
      </c>
      <c r="M303" s="1"/>
      <c r="N303" s="1">
        <v>0</v>
      </c>
      <c r="O303" s="1"/>
      <c r="P303" s="1">
        <v>23044.83</v>
      </c>
      <c r="Q303" s="1"/>
      <c r="R303" s="1">
        <v>0</v>
      </c>
      <c r="S303" s="1"/>
      <c r="T303" s="1">
        <v>9978.2000000000007</v>
      </c>
      <c r="U303" s="1"/>
      <c r="V303" s="1">
        <v>12670.04</v>
      </c>
      <c r="W303" s="1"/>
      <c r="X303" s="1">
        <v>1956.08</v>
      </c>
      <c r="Y303" s="1"/>
      <c r="Z303" s="1">
        <v>0</v>
      </c>
      <c r="AA303" s="1"/>
      <c r="AB303" s="1">
        <v>125000</v>
      </c>
      <c r="AC303" s="1"/>
      <c r="AD303" s="1">
        <v>0</v>
      </c>
      <c r="AE303" s="1"/>
      <c r="AF303" s="1">
        <v>0</v>
      </c>
      <c r="AH303" s="4">
        <f t="shared" si="11"/>
        <v>743797.52999999991</v>
      </c>
    </row>
    <row r="304" spans="1:66" s="4" customFormat="1">
      <c r="A304" s="4">
        <v>257</v>
      </c>
      <c r="B304" s="4" t="s">
        <v>562</v>
      </c>
      <c r="D304" s="4" t="s">
        <v>64</v>
      </c>
      <c r="F304" s="4">
        <v>1349881</v>
      </c>
      <c r="H304" s="4">
        <v>0</v>
      </c>
      <c r="J304" s="4">
        <v>0</v>
      </c>
      <c r="L304" s="4">
        <v>95000</v>
      </c>
      <c r="N304" s="4">
        <v>0</v>
      </c>
      <c r="P304" s="4">
        <v>59866</v>
      </c>
      <c r="R304" s="4">
        <v>11868</v>
      </c>
      <c r="T304" s="4">
        <v>114154</v>
      </c>
      <c r="V304" s="4">
        <v>3476</v>
      </c>
      <c r="X304" s="4">
        <v>3205</v>
      </c>
      <c r="Z304" s="4">
        <v>0</v>
      </c>
      <c r="AB304" s="4">
        <v>0</v>
      </c>
      <c r="AD304" s="4">
        <v>0</v>
      </c>
      <c r="AF304" s="4">
        <v>0</v>
      </c>
      <c r="AH304" s="4">
        <f t="shared" si="11"/>
        <v>1637450</v>
      </c>
    </row>
    <row r="305" spans="1:66" s="4" customFormat="1">
      <c r="A305" s="4">
        <v>61</v>
      </c>
      <c r="B305" s="4" t="s">
        <v>275</v>
      </c>
      <c r="D305" s="4" t="s">
        <v>80</v>
      </c>
      <c r="F305" s="1">
        <v>0</v>
      </c>
      <c r="G305" s="1"/>
      <c r="H305" s="1">
        <v>295445.82</v>
      </c>
      <c r="I305" s="1"/>
      <c r="J305" s="1">
        <v>0</v>
      </c>
      <c r="K305" s="1"/>
      <c r="L305" s="1">
        <v>0</v>
      </c>
      <c r="M305" s="1"/>
      <c r="N305" s="1">
        <v>0</v>
      </c>
      <c r="O305" s="1"/>
      <c r="P305" s="1">
        <v>11892.75</v>
      </c>
      <c r="Q305" s="1"/>
      <c r="R305" s="1">
        <v>0</v>
      </c>
      <c r="S305" s="1"/>
      <c r="T305" s="1">
        <v>4098.79</v>
      </c>
      <c r="U305" s="1"/>
      <c r="V305" s="1">
        <v>1926.05</v>
      </c>
      <c r="W305" s="1"/>
      <c r="X305" s="1">
        <v>1505</v>
      </c>
      <c r="Y305" s="1"/>
      <c r="Z305" s="1">
        <v>0</v>
      </c>
      <c r="AA305" s="1"/>
      <c r="AB305" s="1">
        <v>0</v>
      </c>
      <c r="AC305" s="1"/>
      <c r="AD305" s="1">
        <v>0</v>
      </c>
      <c r="AE305" s="1"/>
      <c r="AF305" s="1">
        <v>0</v>
      </c>
      <c r="AH305" s="4">
        <f t="shared" si="11"/>
        <v>314868.40999999997</v>
      </c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</row>
    <row r="306" spans="1:66" s="4" customFormat="1">
      <c r="A306" s="4">
        <v>65</v>
      </c>
      <c r="B306" s="4" t="s">
        <v>317</v>
      </c>
      <c r="D306" s="4" t="s">
        <v>69</v>
      </c>
      <c r="F306" s="1">
        <v>0</v>
      </c>
      <c r="G306" s="1"/>
      <c r="H306" s="1">
        <v>125834.23</v>
      </c>
      <c r="I306" s="1"/>
      <c r="J306" s="1">
        <v>0</v>
      </c>
      <c r="K306" s="1"/>
      <c r="L306" s="1">
        <v>0</v>
      </c>
      <c r="M306" s="1"/>
      <c r="N306" s="1">
        <v>0</v>
      </c>
      <c r="O306" s="1"/>
      <c r="P306" s="1">
        <v>1853.69</v>
      </c>
      <c r="Q306" s="1"/>
      <c r="R306" s="1">
        <v>0</v>
      </c>
      <c r="S306" s="1"/>
      <c r="T306" s="1">
        <v>3875.62</v>
      </c>
      <c r="U306" s="1"/>
      <c r="V306" s="1">
        <v>300.14</v>
      </c>
      <c r="W306" s="1"/>
      <c r="X306" s="1">
        <v>102</v>
      </c>
      <c r="Y306" s="1"/>
      <c r="Z306" s="1">
        <v>248.82</v>
      </c>
      <c r="AA306" s="1"/>
      <c r="AB306" s="1">
        <v>0</v>
      </c>
      <c r="AC306" s="1"/>
      <c r="AD306" s="1">
        <v>0</v>
      </c>
      <c r="AE306" s="1"/>
      <c r="AF306" s="1">
        <v>0</v>
      </c>
      <c r="AH306" s="4">
        <f t="shared" si="11"/>
        <v>132214.50000000003</v>
      </c>
    </row>
    <row r="307" spans="1:66" s="4" customFormat="1">
      <c r="A307" s="4">
        <v>81</v>
      </c>
      <c r="B307" s="4" t="s">
        <v>276</v>
      </c>
      <c r="D307" s="4" t="s">
        <v>91</v>
      </c>
      <c r="F307" s="4">
        <v>5949645</v>
      </c>
      <c r="H307" s="4">
        <v>3142356</v>
      </c>
      <c r="J307" s="4">
        <v>0</v>
      </c>
      <c r="L307" s="4">
        <v>0</v>
      </c>
      <c r="N307" s="4">
        <v>0</v>
      </c>
      <c r="P307" s="4">
        <v>292687</v>
      </c>
      <c r="R307" s="4">
        <v>782014</v>
      </c>
      <c r="T307" s="4">
        <v>5222</v>
      </c>
      <c r="V307" s="4">
        <v>33384</v>
      </c>
      <c r="X307" s="4">
        <v>18517</v>
      </c>
      <c r="Z307" s="4">
        <v>0</v>
      </c>
      <c r="AB307" s="4">
        <v>358770</v>
      </c>
      <c r="AD307" s="4">
        <v>0</v>
      </c>
      <c r="AF307" s="4">
        <v>0</v>
      </c>
      <c r="AH307" s="4">
        <f t="shared" si="11"/>
        <v>10582595</v>
      </c>
    </row>
    <row r="308" spans="1:66" s="4" customFormat="1">
      <c r="A308" s="4">
        <v>172</v>
      </c>
      <c r="B308" s="4" t="s">
        <v>440</v>
      </c>
      <c r="D308" s="4" t="s">
        <v>54</v>
      </c>
      <c r="F308" s="1">
        <v>254041.28</v>
      </c>
      <c r="G308" s="1"/>
      <c r="H308" s="1">
        <v>1187462.6100000001</v>
      </c>
      <c r="I308" s="1"/>
      <c r="J308" s="1">
        <v>0</v>
      </c>
      <c r="K308" s="1"/>
      <c r="L308" s="1">
        <v>41903.230000000003</v>
      </c>
      <c r="M308" s="1"/>
      <c r="N308" s="1">
        <v>0</v>
      </c>
      <c r="O308" s="1"/>
      <c r="P308" s="1">
        <v>35192.53</v>
      </c>
      <c r="Q308" s="1"/>
      <c r="R308" s="1">
        <v>0</v>
      </c>
      <c r="S308" s="1"/>
      <c r="T308" s="1">
        <v>6350.03</v>
      </c>
      <c r="U308" s="1"/>
      <c r="V308" s="1">
        <v>7285.58</v>
      </c>
      <c r="W308" s="1"/>
      <c r="X308" s="1">
        <v>12280.11</v>
      </c>
      <c r="Y308" s="1"/>
      <c r="Z308" s="1">
        <v>0</v>
      </c>
      <c r="AA308" s="1"/>
      <c r="AB308" s="1">
        <v>0</v>
      </c>
      <c r="AC308" s="1"/>
      <c r="AD308" s="1">
        <v>0</v>
      </c>
      <c r="AE308" s="1"/>
      <c r="AF308" s="1">
        <v>0</v>
      </c>
      <c r="AH308" s="4">
        <f t="shared" si="11"/>
        <v>1544515.3700000003</v>
      </c>
    </row>
    <row r="309" spans="1:66" s="4" customFormat="1"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</row>
    <row r="310" spans="1:66" s="4" customFormat="1"/>
    <row r="311" spans="1:66" s="4" customFormat="1"/>
    <row r="312" spans="1:66" s="4" customFormat="1">
      <c r="AH312" s="6" t="s">
        <v>7</v>
      </c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</row>
    <row r="313" spans="1:66" s="4" customFormat="1">
      <c r="AH313" s="6" t="s">
        <v>7</v>
      </c>
    </row>
    <row r="314" spans="1:66" s="4" customFormat="1">
      <c r="AH314" s="6" t="s">
        <v>7</v>
      </c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</row>
    <row r="315" spans="1:66" s="4" customFormat="1">
      <c r="AH315" s="6"/>
    </row>
    <row r="316" spans="1:66" s="4" customFormat="1">
      <c r="R316" s="6"/>
    </row>
    <row r="317" spans="1:66"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</row>
    <row r="318" spans="1:66"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</row>
    <row r="319" spans="1:66"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</row>
    <row r="320" spans="1:66"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</row>
    <row r="321" spans="35:66"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</row>
    <row r="322" spans="35:66"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</row>
    <row r="323" spans="35:66"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</row>
    <row r="324" spans="35:66"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</row>
    <row r="325" spans="35:66"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</row>
    <row r="326" spans="35:66"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</row>
    <row r="327" spans="35:66"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</row>
    <row r="328" spans="35:66"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</row>
    <row r="329" spans="35:66"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</row>
    <row r="330" spans="35:66"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</row>
    <row r="331" spans="35:66"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</row>
    <row r="332" spans="35:66"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</row>
    <row r="333" spans="35:66"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</row>
    <row r="334" spans="35:66"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</row>
    <row r="335" spans="35:66"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</row>
    <row r="336" spans="35:66"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</row>
    <row r="337" spans="35:66"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</row>
    <row r="338" spans="35:66"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</row>
    <row r="339" spans="35:66"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</row>
    <row r="340" spans="35:66"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</row>
    <row r="341" spans="35:66"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</row>
    <row r="342" spans="35:66"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</row>
    <row r="343" spans="35:66"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</row>
    <row r="344" spans="35:66"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</row>
    <row r="345" spans="35:66"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</row>
    <row r="346" spans="35:66"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</row>
    <row r="347" spans="35:66"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</row>
    <row r="348" spans="35:66"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</row>
    <row r="349" spans="35:66"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</row>
    <row r="350" spans="35:66"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</row>
    <row r="351" spans="35:66"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</row>
    <row r="352" spans="35:66"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</row>
    <row r="353" spans="35:66"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</row>
    <row r="354" spans="35:66"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</row>
    <row r="355" spans="35:66"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</row>
    <row r="356" spans="35:66"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</row>
    <row r="357" spans="35:66"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</row>
    <row r="358" spans="35:66"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</row>
    <row r="359" spans="35:66"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</row>
    <row r="360" spans="35:66"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</row>
    <row r="361" spans="35:66"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</row>
    <row r="362" spans="35:66"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</row>
    <row r="363" spans="35:66"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</row>
    <row r="364" spans="35:66"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</row>
    <row r="365" spans="35:66"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</row>
    <row r="366" spans="35:66"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</row>
    <row r="367" spans="35:66"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</row>
    <row r="368" spans="35:66"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</row>
    <row r="369" spans="35:66"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</row>
    <row r="370" spans="35:66"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</row>
    <row r="371" spans="35:66"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</row>
    <row r="372" spans="35:66"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</row>
    <row r="373" spans="35:66"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</row>
    <row r="374" spans="35:66"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</row>
    <row r="375" spans="35:66"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</row>
    <row r="376" spans="35:66"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</row>
    <row r="377" spans="35:66"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</row>
    <row r="378" spans="35:66"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</row>
    <row r="379" spans="35:66"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</row>
    <row r="380" spans="35:66"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</row>
    <row r="381" spans="35:66"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</row>
    <row r="382" spans="35:66"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</row>
    <row r="383" spans="35:66"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</row>
    <row r="384" spans="35:66"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</row>
    <row r="385" spans="35:66"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</row>
    <row r="386" spans="35:66"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</row>
    <row r="387" spans="35:66"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</row>
    <row r="388" spans="35:66"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</row>
    <row r="389" spans="35:66"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</row>
    <row r="390" spans="35:66"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</row>
    <row r="391" spans="35:66"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</row>
    <row r="392" spans="35:66"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</row>
  </sheetData>
  <sortState ref="A20:AH271">
    <sortCondition ref="B20:B271"/>
  </sortState>
  <phoneticPr fontId="2" type="noConversion"/>
  <printOptions horizontalCentered="1"/>
  <pageMargins left="0.75" right="0.75" top="0.5" bottom="0.5" header="0" footer="0.3"/>
  <pageSetup scale="80" firstPageNumber="24" fitToWidth="2" fitToHeight="3" pageOrder="overThenDown" orientation="portrait" useFirstPageNumber="1" horizontalDpi="1200" verticalDpi="1200" r:id="rId1"/>
  <headerFooter scaleWithDoc="0" alignWithMargins="0">
    <oddFooter>&amp;C&amp;"Times New Roman,Regular"&amp;11&amp;P</oddFooter>
  </headerFooter>
  <rowBreaks count="3" manualBreakCount="3">
    <brk id="87" min="1" max="33" man="1"/>
    <brk id="164" min="1" max="33" man="1"/>
    <brk id="242" min="1" max="3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F346"/>
  <sheetViews>
    <sheetView topLeftCell="B1" zoomScaleNormal="100" zoomScaleSheetLayoutView="100" workbookViewId="0">
      <pane xSplit="1" ySplit="18" topLeftCell="C19" activePane="bottomRight" state="frozen"/>
      <selection activeCell="A122" sqref="A122"/>
      <selection pane="topRight" activeCell="A122" sqref="A122"/>
      <selection pane="bottomLeft" activeCell="A122" sqref="A122"/>
      <selection pane="bottomRight" activeCell="C19" sqref="C19"/>
    </sheetView>
  </sheetViews>
  <sheetFormatPr defaultColWidth="9.140625" defaultRowHeight="12"/>
  <cols>
    <col min="1" max="1" width="0" style="3" hidden="1" customWidth="1"/>
    <col min="2" max="2" width="34.85546875" style="3" customWidth="1"/>
    <col min="3" max="3" width="1.28515625" style="3" customWidth="1"/>
    <col min="4" max="4" width="9.85546875" style="3" customWidth="1"/>
    <col min="5" max="5" width="1.28515625" style="3" customWidth="1"/>
    <col min="6" max="6" width="10.140625" style="3" customWidth="1"/>
    <col min="7" max="7" width="1.28515625" style="3" customWidth="1"/>
    <col min="8" max="8" width="10.140625" style="3" customWidth="1"/>
    <col min="9" max="9" width="1.28515625" style="3" customWidth="1"/>
    <col min="10" max="10" width="11.140625" style="3" customWidth="1"/>
    <col min="11" max="11" width="1.28515625" style="3" customWidth="1"/>
    <col min="12" max="12" width="11.140625" style="3" customWidth="1"/>
    <col min="13" max="13" width="1.28515625" style="3" customWidth="1"/>
    <col min="14" max="14" width="10.85546875" style="3" customWidth="1"/>
    <col min="15" max="15" width="1.28515625" style="3" hidden="1" customWidth="1"/>
    <col min="16" max="16" width="10.140625" style="3" customWidth="1"/>
    <col min="17" max="17" width="1.28515625" style="3" customWidth="1"/>
    <col min="18" max="18" width="10.140625" style="3" customWidth="1"/>
    <col min="19" max="19" width="1.28515625" style="3" customWidth="1"/>
    <col min="20" max="20" width="10.140625" style="3" customWidth="1"/>
    <col min="21" max="21" width="1.28515625" style="3" customWidth="1"/>
    <col min="22" max="22" width="11.28515625" style="3" customWidth="1"/>
    <col min="23" max="23" width="1.28515625" style="3" customWidth="1"/>
    <col min="24" max="24" width="10" style="3" customWidth="1"/>
    <col min="25" max="25" width="1.28515625" style="3" customWidth="1"/>
    <col min="26" max="26" width="10.7109375" style="3" customWidth="1"/>
    <col min="27" max="27" width="1.28515625" style="3" customWidth="1"/>
    <col min="28" max="28" width="10.7109375" style="3" customWidth="1"/>
    <col min="29" max="29" width="1.28515625" style="3" customWidth="1"/>
    <col min="30" max="30" width="10" style="3" customWidth="1"/>
    <col min="31" max="31" width="1.28515625" style="3" customWidth="1"/>
    <col min="32" max="32" width="10.28515625" style="3" customWidth="1"/>
    <col min="33" max="16384" width="9.140625" style="3"/>
  </cols>
  <sheetData>
    <row r="1" spans="1:32">
      <c r="B1" s="3" t="s">
        <v>494</v>
      </c>
    </row>
    <row r="2" spans="1:32">
      <c r="B2" s="3" t="s">
        <v>565</v>
      </c>
    </row>
    <row r="4" spans="1:32" s="19" customFormat="1">
      <c r="B4" s="24"/>
      <c r="L4" s="19" t="s">
        <v>8</v>
      </c>
    </row>
    <row r="5" spans="1:32" s="19" customFormat="1">
      <c r="J5" s="19" t="s">
        <v>320</v>
      </c>
      <c r="L5" s="19" t="s">
        <v>502</v>
      </c>
      <c r="N5" s="19" t="s">
        <v>501</v>
      </c>
      <c r="X5" s="19" t="s">
        <v>327</v>
      </c>
      <c r="AD5" s="19" t="s">
        <v>0</v>
      </c>
    </row>
    <row r="6" spans="1:32" s="19" customFormat="1">
      <c r="H6" s="19" t="s">
        <v>318</v>
      </c>
      <c r="J6" s="19" t="s">
        <v>321</v>
      </c>
      <c r="L6" s="19" t="s">
        <v>322</v>
      </c>
      <c r="N6" s="19" t="s">
        <v>499</v>
      </c>
      <c r="T6" s="19" t="s">
        <v>30</v>
      </c>
      <c r="V6" s="19" t="s">
        <v>325</v>
      </c>
      <c r="X6" s="19" t="s">
        <v>328</v>
      </c>
      <c r="AD6" s="19" t="s">
        <v>293</v>
      </c>
    </row>
    <row r="7" spans="1:32" s="19" customFormat="1" ht="12" customHeight="1">
      <c r="A7" s="19" t="s">
        <v>525</v>
      </c>
      <c r="B7" s="20" t="s">
        <v>8</v>
      </c>
      <c r="C7" s="28"/>
      <c r="D7" s="20" t="s">
        <v>6</v>
      </c>
      <c r="E7" s="28"/>
      <c r="F7" s="20" t="s">
        <v>2</v>
      </c>
      <c r="G7" s="28"/>
      <c r="H7" s="20" t="s">
        <v>508</v>
      </c>
      <c r="I7" s="28"/>
      <c r="J7" s="20" t="s">
        <v>29</v>
      </c>
      <c r="K7" s="28"/>
      <c r="L7" s="20" t="s">
        <v>323</v>
      </c>
      <c r="M7" s="28"/>
      <c r="N7" s="20" t="s">
        <v>500</v>
      </c>
      <c r="O7" s="28"/>
      <c r="P7" s="20" t="s">
        <v>4</v>
      </c>
      <c r="Q7" s="28"/>
      <c r="R7" s="20" t="s">
        <v>0</v>
      </c>
      <c r="S7" s="28"/>
      <c r="T7" s="20" t="s">
        <v>324</v>
      </c>
      <c r="U7" s="28"/>
      <c r="V7" s="20" t="s">
        <v>326</v>
      </c>
      <c r="W7" s="28"/>
      <c r="X7" s="20" t="s">
        <v>329</v>
      </c>
      <c r="Y7" s="28"/>
      <c r="Z7" s="20" t="s">
        <v>476</v>
      </c>
      <c r="AA7" s="28"/>
      <c r="AB7" s="20" t="s">
        <v>477</v>
      </c>
      <c r="AC7" s="28"/>
      <c r="AD7" s="20" t="s">
        <v>330</v>
      </c>
      <c r="AE7" s="28"/>
      <c r="AF7" s="29" t="s">
        <v>28</v>
      </c>
    </row>
    <row r="8" spans="1:32" s="4" customFormat="1" hidden="1">
      <c r="A8" s="4">
        <v>2</v>
      </c>
      <c r="B8" s="4" t="s">
        <v>406</v>
      </c>
      <c r="D8" s="4" t="s">
        <v>96</v>
      </c>
      <c r="AF8" s="4">
        <f t="shared" ref="AF8:AF39" si="0">SUM(F8:AD8)</f>
        <v>0</v>
      </c>
    </row>
    <row r="9" spans="1:32" hidden="1">
      <c r="A9" s="4">
        <v>75</v>
      </c>
      <c r="B9" s="4" t="s">
        <v>407</v>
      </c>
      <c r="C9" s="4"/>
      <c r="D9" s="4" t="s">
        <v>91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>
        <f t="shared" si="0"/>
        <v>0</v>
      </c>
    </row>
    <row r="10" spans="1:32" s="5" customFormat="1" hidden="1">
      <c r="A10" s="4">
        <v>80</v>
      </c>
      <c r="B10" s="4" t="s">
        <v>264</v>
      </c>
      <c r="C10" s="4"/>
      <c r="D10" s="4" t="s">
        <v>91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>
        <f t="shared" si="0"/>
        <v>0</v>
      </c>
    </row>
    <row r="11" spans="1:32" s="4" customFormat="1" hidden="1">
      <c r="A11" s="4">
        <v>117</v>
      </c>
      <c r="B11" s="4" t="s">
        <v>339</v>
      </c>
      <c r="D11" s="4" t="s">
        <v>168</v>
      </c>
      <c r="AF11" s="4">
        <f t="shared" si="0"/>
        <v>0</v>
      </c>
    </row>
    <row r="12" spans="1:32" s="4" customFormat="1" hidden="1">
      <c r="A12" s="4">
        <v>135</v>
      </c>
      <c r="B12" s="4" t="s">
        <v>413</v>
      </c>
      <c r="D12" s="4" t="s">
        <v>40</v>
      </c>
      <c r="AF12" s="4">
        <f t="shared" si="0"/>
        <v>0</v>
      </c>
    </row>
    <row r="13" spans="1:32" s="4" customFormat="1" hidden="1">
      <c r="A13" s="4">
        <v>152</v>
      </c>
      <c r="B13" s="4" t="s">
        <v>212</v>
      </c>
      <c r="D13" s="4" t="s">
        <v>213</v>
      </c>
      <c r="AF13" s="4">
        <f t="shared" si="0"/>
        <v>0</v>
      </c>
    </row>
    <row r="14" spans="1:32" s="4" customFormat="1" hidden="1">
      <c r="A14" s="4">
        <v>180</v>
      </c>
      <c r="B14" s="4" t="s">
        <v>251</v>
      </c>
      <c r="D14" s="4" t="s">
        <v>105</v>
      </c>
      <c r="AF14" s="4">
        <f t="shared" si="0"/>
        <v>0</v>
      </c>
    </row>
    <row r="15" spans="1:32" s="5" customFormat="1" hidden="1">
      <c r="A15" s="4">
        <v>185</v>
      </c>
      <c r="B15" s="4" t="s">
        <v>228</v>
      </c>
      <c r="C15" s="4"/>
      <c r="D15" s="4" t="s">
        <v>227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>
        <f t="shared" si="0"/>
        <v>0</v>
      </c>
    </row>
    <row r="16" spans="1:32" s="4" customFormat="1" hidden="1">
      <c r="A16" s="4">
        <v>189</v>
      </c>
      <c r="B16" s="4" t="s">
        <v>420</v>
      </c>
      <c r="D16" s="4" t="s">
        <v>234</v>
      </c>
      <c r="AF16" s="4">
        <f t="shared" si="0"/>
        <v>0</v>
      </c>
    </row>
    <row r="17" spans="1:55" s="4" customFormat="1" hidden="1">
      <c r="A17" s="4">
        <v>233</v>
      </c>
      <c r="B17" s="4" t="s">
        <v>34</v>
      </c>
      <c r="D17" s="4" t="s">
        <v>26</v>
      </c>
      <c r="AF17" s="4">
        <f t="shared" si="0"/>
        <v>0</v>
      </c>
    </row>
    <row r="18" spans="1:55" s="4" customFormat="1" hidden="1">
      <c r="A18" s="4">
        <v>234</v>
      </c>
      <c r="B18" s="4" t="s">
        <v>199</v>
      </c>
      <c r="D18" s="4" t="s">
        <v>26</v>
      </c>
      <c r="AF18" s="4">
        <f t="shared" si="0"/>
        <v>0</v>
      </c>
    </row>
    <row r="19" spans="1:55" s="4" customFormat="1">
      <c r="A19" s="4">
        <v>95</v>
      </c>
      <c r="B19" s="3" t="s">
        <v>72</v>
      </c>
      <c r="C19" s="3"/>
      <c r="D19" s="3" t="s">
        <v>60</v>
      </c>
      <c r="E19" s="3"/>
      <c r="F19" s="2">
        <v>156567.21</v>
      </c>
      <c r="G19" s="2"/>
      <c r="H19" s="2">
        <v>47757.279999999999</v>
      </c>
      <c r="I19" s="2"/>
      <c r="J19" s="2">
        <v>39624.06</v>
      </c>
      <c r="K19" s="2"/>
      <c r="L19" s="2">
        <v>26176.52</v>
      </c>
      <c r="M19" s="2"/>
      <c r="N19" s="2">
        <v>0</v>
      </c>
      <c r="O19" s="2"/>
      <c r="P19" s="2">
        <v>7127.54</v>
      </c>
      <c r="Q19" s="2"/>
      <c r="R19" s="2">
        <v>3345</v>
      </c>
      <c r="S19" s="2"/>
      <c r="T19" s="2">
        <v>29783</v>
      </c>
      <c r="U19" s="2"/>
      <c r="V19" s="2">
        <v>0</v>
      </c>
      <c r="W19" s="2"/>
      <c r="X19" s="2">
        <v>0</v>
      </c>
      <c r="Y19" s="2"/>
      <c r="Z19" s="2">
        <v>0</v>
      </c>
      <c r="AA19" s="2"/>
      <c r="AB19" s="2">
        <v>0</v>
      </c>
      <c r="AC19" s="2"/>
      <c r="AD19" s="2">
        <v>0</v>
      </c>
      <c r="AE19" s="5"/>
      <c r="AF19" s="5">
        <f t="shared" si="0"/>
        <v>310380.61</v>
      </c>
    </row>
    <row r="20" spans="1:55" s="12" customFormat="1">
      <c r="A20" s="4">
        <v>1</v>
      </c>
      <c r="B20" s="3" t="s">
        <v>73</v>
      </c>
      <c r="C20" s="3"/>
      <c r="D20" s="3" t="s">
        <v>39</v>
      </c>
      <c r="E20" s="3"/>
      <c r="F20" s="1">
        <v>520585.69</v>
      </c>
      <c r="G20" s="1"/>
      <c r="H20" s="1">
        <v>134859.53</v>
      </c>
      <c r="I20" s="1"/>
      <c r="J20" s="1">
        <v>156909.01</v>
      </c>
      <c r="K20" s="1"/>
      <c r="L20" s="1">
        <v>126458.82</v>
      </c>
      <c r="M20" s="1"/>
      <c r="N20" s="1">
        <v>0</v>
      </c>
      <c r="O20" s="1"/>
      <c r="P20" s="1">
        <v>13897.34</v>
      </c>
      <c r="Q20" s="1"/>
      <c r="R20" s="1">
        <v>3013.83</v>
      </c>
      <c r="S20" s="1"/>
      <c r="T20" s="1">
        <v>7043.46</v>
      </c>
      <c r="U20" s="1"/>
      <c r="V20" s="1">
        <v>0</v>
      </c>
      <c r="W20" s="1"/>
      <c r="X20" s="1">
        <v>0</v>
      </c>
      <c r="Y20" s="1"/>
      <c r="Z20" s="1">
        <v>27950</v>
      </c>
      <c r="AA20" s="1"/>
      <c r="AB20" s="1">
        <v>0</v>
      </c>
      <c r="AC20" s="1"/>
      <c r="AD20" s="1">
        <v>0</v>
      </c>
      <c r="AE20" s="4"/>
      <c r="AF20" s="4">
        <f t="shared" si="0"/>
        <v>990717.67999999993</v>
      </c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s="4" customFormat="1">
      <c r="A21" s="4">
        <v>216</v>
      </c>
      <c r="B21" s="25" t="s">
        <v>405</v>
      </c>
      <c r="C21" s="25"/>
      <c r="D21" s="25" t="s">
        <v>22</v>
      </c>
      <c r="E21" s="25"/>
      <c r="F21" s="4">
        <v>12802536</v>
      </c>
      <c r="G21" s="13"/>
      <c r="H21" s="4">
        <v>4736762</v>
      </c>
      <c r="I21" s="13"/>
      <c r="J21" s="4">
        <v>2976956</v>
      </c>
      <c r="K21" s="13"/>
      <c r="L21" s="4">
        <v>966076</v>
      </c>
      <c r="M21" s="13"/>
      <c r="N21" s="4">
        <v>5159385</v>
      </c>
      <c r="O21" s="13"/>
      <c r="P21" s="4">
        <v>0</v>
      </c>
      <c r="Q21" s="13"/>
      <c r="R21" s="4">
        <v>0</v>
      </c>
      <c r="S21" s="13"/>
      <c r="T21" s="4">
        <v>252983</v>
      </c>
      <c r="U21" s="13"/>
      <c r="V21" s="4">
        <v>3690000</v>
      </c>
      <c r="W21" s="13"/>
      <c r="X21" s="4">
        <v>2359452</v>
      </c>
      <c r="Y21" s="13"/>
      <c r="Z21" s="4">
        <v>0</v>
      </c>
      <c r="AA21" s="13"/>
      <c r="AB21" s="4">
        <v>0</v>
      </c>
      <c r="AC21" s="13"/>
      <c r="AD21" s="4">
        <v>0</v>
      </c>
      <c r="AE21" s="13"/>
      <c r="AF21" s="4">
        <f t="shared" si="0"/>
        <v>32944150</v>
      </c>
    </row>
    <row r="22" spans="1:55" s="4" customFormat="1">
      <c r="A22" s="4">
        <v>131</v>
      </c>
      <c r="B22" s="4" t="s">
        <v>481</v>
      </c>
      <c r="D22" s="4" t="s">
        <v>40</v>
      </c>
      <c r="F22" s="1">
        <v>168239.49</v>
      </c>
      <c r="G22" s="1"/>
      <c r="H22" s="1">
        <v>26628.12</v>
      </c>
      <c r="I22" s="1"/>
      <c r="J22" s="1">
        <v>49002.85</v>
      </c>
      <c r="K22" s="1"/>
      <c r="L22" s="1">
        <v>62434.63</v>
      </c>
      <c r="M22" s="1"/>
      <c r="N22" s="1">
        <v>0</v>
      </c>
      <c r="O22" s="1"/>
      <c r="P22" s="1">
        <v>6163.94</v>
      </c>
      <c r="Q22" s="1"/>
      <c r="R22" s="1">
        <v>3379.11</v>
      </c>
      <c r="S22" s="1"/>
      <c r="T22" s="1">
        <v>36071.33</v>
      </c>
      <c r="U22" s="1"/>
      <c r="V22" s="1">
        <v>0</v>
      </c>
      <c r="W22" s="1"/>
      <c r="X22" s="1">
        <v>0</v>
      </c>
      <c r="Y22" s="1"/>
      <c r="Z22" s="1">
        <v>0</v>
      </c>
      <c r="AA22" s="1"/>
      <c r="AB22" s="1">
        <v>0</v>
      </c>
      <c r="AC22" s="1"/>
      <c r="AD22" s="1">
        <v>0</v>
      </c>
      <c r="AF22" s="4">
        <f t="shared" si="0"/>
        <v>351919.47</v>
      </c>
    </row>
    <row r="23" spans="1:55" s="4" customFormat="1">
      <c r="A23" s="4">
        <v>96</v>
      </c>
      <c r="B23" s="4" t="s">
        <v>74</v>
      </c>
      <c r="D23" s="4" t="s">
        <v>60</v>
      </c>
      <c r="F23" s="1">
        <v>32806.75</v>
      </c>
      <c r="G23" s="1"/>
      <c r="H23" s="1">
        <v>5186.7700000000004</v>
      </c>
      <c r="I23" s="1"/>
      <c r="J23" s="1">
        <v>12476.26</v>
      </c>
      <c r="K23" s="1"/>
      <c r="L23" s="1">
        <v>8604.35</v>
      </c>
      <c r="M23" s="1"/>
      <c r="N23" s="1">
        <v>0</v>
      </c>
      <c r="O23" s="1"/>
      <c r="P23" s="1">
        <v>1630.24</v>
      </c>
      <c r="Q23" s="1"/>
      <c r="R23" s="1">
        <v>1259.82</v>
      </c>
      <c r="S23" s="1"/>
      <c r="T23" s="1">
        <v>97.28</v>
      </c>
      <c r="U23" s="1"/>
      <c r="V23" s="1">
        <v>0</v>
      </c>
      <c r="W23" s="1"/>
      <c r="X23" s="1">
        <v>0</v>
      </c>
      <c r="Y23" s="1"/>
      <c r="Z23" s="1">
        <v>0</v>
      </c>
      <c r="AA23" s="1"/>
      <c r="AB23" s="1">
        <v>0</v>
      </c>
      <c r="AC23" s="1"/>
      <c r="AD23" s="1">
        <v>151</v>
      </c>
      <c r="AF23" s="4">
        <f t="shared" si="0"/>
        <v>62212.47</v>
      </c>
    </row>
    <row r="24" spans="1:55" s="4" customFormat="1">
      <c r="A24" s="4">
        <v>140</v>
      </c>
      <c r="B24" s="4" t="s">
        <v>421</v>
      </c>
      <c r="D24" s="4" t="s">
        <v>56</v>
      </c>
      <c r="F24" s="1">
        <v>529651.56999999995</v>
      </c>
      <c r="G24" s="1"/>
      <c r="H24" s="1">
        <v>126660.84</v>
      </c>
      <c r="I24" s="1"/>
      <c r="J24" s="1">
        <v>602959.84</v>
      </c>
      <c r="K24" s="1"/>
      <c r="L24" s="1">
        <v>198333.24</v>
      </c>
      <c r="M24" s="1"/>
      <c r="N24" s="1">
        <v>0</v>
      </c>
      <c r="O24" s="1"/>
      <c r="P24" s="1">
        <v>34233.75</v>
      </c>
      <c r="Q24" s="1"/>
      <c r="R24" s="1">
        <v>10493.01</v>
      </c>
      <c r="S24" s="1"/>
      <c r="T24" s="1">
        <v>23385.360000000001</v>
      </c>
      <c r="U24" s="1"/>
      <c r="V24" s="1">
        <v>0</v>
      </c>
      <c r="W24" s="1"/>
      <c r="X24" s="1">
        <v>0</v>
      </c>
      <c r="Y24" s="1"/>
      <c r="Z24" s="1">
        <v>0</v>
      </c>
      <c r="AA24" s="1"/>
      <c r="AB24" s="1">
        <v>0</v>
      </c>
      <c r="AC24" s="1"/>
      <c r="AD24" s="1">
        <v>0</v>
      </c>
      <c r="AF24" s="4">
        <f t="shared" si="0"/>
        <v>1525717.61</v>
      </c>
    </row>
    <row r="25" spans="1:55" s="4" customFormat="1">
      <c r="A25" s="4">
        <v>208</v>
      </c>
      <c r="B25" s="4" t="s">
        <v>76</v>
      </c>
      <c r="D25" s="4" t="s">
        <v>77</v>
      </c>
      <c r="F25" s="4">
        <v>778106</v>
      </c>
      <c r="H25" s="4">
        <v>236249</v>
      </c>
      <c r="J25" s="4">
        <v>287617</v>
      </c>
      <c r="L25" s="4">
        <v>206497</v>
      </c>
      <c r="N25" s="4">
        <v>0</v>
      </c>
      <c r="P25" s="4">
        <v>36432</v>
      </c>
      <c r="R25" s="4">
        <v>48368</v>
      </c>
      <c r="T25" s="4">
        <v>0</v>
      </c>
      <c r="V25" s="4">
        <v>0</v>
      </c>
      <c r="X25" s="4">
        <v>0</v>
      </c>
      <c r="Z25" s="4">
        <v>0</v>
      </c>
      <c r="AB25" s="4">
        <v>0</v>
      </c>
      <c r="AD25" s="4">
        <v>0</v>
      </c>
      <c r="AF25" s="4">
        <f t="shared" si="0"/>
        <v>1593269</v>
      </c>
    </row>
    <row r="26" spans="1:55" s="4" customFormat="1">
      <c r="A26" s="4">
        <v>8</v>
      </c>
      <c r="B26" s="4" t="s">
        <v>78</v>
      </c>
      <c r="D26" s="4" t="s">
        <v>42</v>
      </c>
      <c r="F26" s="1">
        <v>142732.22</v>
      </c>
      <c r="G26" s="1"/>
      <c r="H26" s="1">
        <v>55909.25</v>
      </c>
      <c r="I26" s="1"/>
      <c r="J26" s="1">
        <v>66790.11</v>
      </c>
      <c r="K26" s="1"/>
      <c r="L26" s="1">
        <v>29101.52</v>
      </c>
      <c r="M26" s="1"/>
      <c r="N26" s="1">
        <v>0</v>
      </c>
      <c r="O26" s="1"/>
      <c r="P26" s="1">
        <v>10783.26</v>
      </c>
      <c r="Q26" s="1"/>
      <c r="R26" s="1">
        <v>887</v>
      </c>
      <c r="S26" s="1"/>
      <c r="T26" s="1">
        <v>0</v>
      </c>
      <c r="U26" s="1"/>
      <c r="V26" s="1">
        <v>0</v>
      </c>
      <c r="W26" s="1"/>
      <c r="X26" s="1">
        <v>0</v>
      </c>
      <c r="Y26" s="1"/>
      <c r="Z26" s="1">
        <v>77347</v>
      </c>
      <c r="AA26" s="1"/>
      <c r="AB26" s="1">
        <v>0</v>
      </c>
      <c r="AC26" s="1"/>
      <c r="AD26" s="1">
        <v>0</v>
      </c>
      <c r="AF26" s="4">
        <f t="shared" si="0"/>
        <v>383550.36000000004</v>
      </c>
    </row>
    <row r="27" spans="1:55" s="4" customFormat="1">
      <c r="A27" s="4">
        <v>58</v>
      </c>
      <c r="B27" s="4" t="s">
        <v>79</v>
      </c>
      <c r="D27" s="4" t="s">
        <v>80</v>
      </c>
      <c r="F27" s="1">
        <v>158505.95000000001</v>
      </c>
      <c r="G27" s="1"/>
      <c r="H27" s="1">
        <v>24730.36</v>
      </c>
      <c r="I27" s="1"/>
      <c r="J27" s="1">
        <v>38521.279999999999</v>
      </c>
      <c r="K27" s="1"/>
      <c r="L27" s="1">
        <v>50093.17</v>
      </c>
      <c r="M27" s="1"/>
      <c r="N27" s="1">
        <v>0</v>
      </c>
      <c r="O27" s="1"/>
      <c r="P27" s="1">
        <v>9630.1</v>
      </c>
      <c r="Q27" s="1"/>
      <c r="R27" s="1">
        <v>1129</v>
      </c>
      <c r="S27" s="1"/>
      <c r="T27" s="1">
        <v>6492.5</v>
      </c>
      <c r="U27" s="1"/>
      <c r="V27" s="1">
        <v>0</v>
      </c>
      <c r="W27" s="1"/>
      <c r="X27" s="1">
        <v>0</v>
      </c>
      <c r="Y27" s="1"/>
      <c r="Z27" s="1">
        <v>0</v>
      </c>
      <c r="AA27" s="1"/>
      <c r="AB27" s="1">
        <v>0</v>
      </c>
      <c r="AC27" s="1"/>
      <c r="AD27" s="1">
        <v>0</v>
      </c>
      <c r="AF27" s="4">
        <f t="shared" si="0"/>
        <v>289102.36</v>
      </c>
    </row>
    <row r="28" spans="1:55" s="4" customFormat="1">
      <c r="A28" s="4">
        <v>82</v>
      </c>
      <c r="B28" s="4" t="s">
        <v>295</v>
      </c>
      <c r="D28" s="4" t="s">
        <v>41</v>
      </c>
      <c r="F28" s="1">
        <v>190952.46</v>
      </c>
      <c r="G28" s="1"/>
      <c r="H28" s="1">
        <v>66977.83</v>
      </c>
      <c r="I28" s="1"/>
      <c r="J28" s="1">
        <v>66973.42</v>
      </c>
      <c r="K28" s="1"/>
      <c r="L28" s="1">
        <v>37797.17</v>
      </c>
      <c r="M28" s="1"/>
      <c r="N28" s="1">
        <v>0</v>
      </c>
      <c r="O28" s="1"/>
      <c r="P28" s="1">
        <v>6466.16</v>
      </c>
      <c r="Q28" s="1"/>
      <c r="R28" s="1">
        <v>907</v>
      </c>
      <c r="S28" s="1"/>
      <c r="T28" s="1">
        <v>1266.93</v>
      </c>
      <c r="U28" s="1"/>
      <c r="V28" s="1">
        <v>0</v>
      </c>
      <c r="W28" s="1"/>
      <c r="X28" s="1">
        <v>0</v>
      </c>
      <c r="Y28" s="1"/>
      <c r="Z28" s="1">
        <v>0</v>
      </c>
      <c r="AA28" s="1"/>
      <c r="AB28" s="1">
        <v>0</v>
      </c>
      <c r="AC28" s="1"/>
      <c r="AD28" s="1">
        <v>15</v>
      </c>
      <c r="AF28" s="4">
        <f t="shared" si="0"/>
        <v>371355.96999999991</v>
      </c>
    </row>
    <row r="29" spans="1:55" s="4" customFormat="1">
      <c r="A29" s="4">
        <v>6</v>
      </c>
      <c r="B29" s="4" t="s">
        <v>81</v>
      </c>
      <c r="D29" s="4" t="s">
        <v>82</v>
      </c>
      <c r="F29" s="4">
        <f>280831+22698+64345+245893+15031+2840+11362+94463</f>
        <v>737463</v>
      </c>
      <c r="H29" s="4">
        <v>180706</v>
      </c>
      <c r="J29" s="4">
        <v>111543</v>
      </c>
      <c r="L29" s="4">
        <v>42051</v>
      </c>
      <c r="N29" s="4">
        <v>90579</v>
      </c>
      <c r="P29" s="4">
        <v>0</v>
      </c>
      <c r="R29" s="4">
        <v>140412</v>
      </c>
      <c r="T29" s="4">
        <v>90989</v>
      </c>
      <c r="V29" s="4">
        <v>0</v>
      </c>
      <c r="X29" s="4">
        <v>0</v>
      </c>
      <c r="Z29" s="4">
        <v>0</v>
      </c>
      <c r="AB29" s="4">
        <v>0</v>
      </c>
      <c r="AD29" s="4">
        <v>0</v>
      </c>
      <c r="AF29" s="4">
        <f t="shared" si="0"/>
        <v>1393743</v>
      </c>
    </row>
    <row r="30" spans="1:55" s="4" customFormat="1">
      <c r="A30" s="4">
        <v>9</v>
      </c>
      <c r="B30" s="4" t="s">
        <v>563</v>
      </c>
      <c r="D30" s="4" t="s">
        <v>42</v>
      </c>
      <c r="F30" s="1">
        <v>735977.04</v>
      </c>
      <c r="G30" s="1"/>
      <c r="H30" s="1">
        <v>286031.65000000002</v>
      </c>
      <c r="I30" s="1"/>
      <c r="J30" s="1">
        <v>323612.18</v>
      </c>
      <c r="K30" s="1"/>
      <c r="L30" s="1">
        <v>120206.39</v>
      </c>
      <c r="M30" s="1"/>
      <c r="N30" s="1">
        <v>0</v>
      </c>
      <c r="O30" s="1"/>
      <c r="P30" s="1">
        <v>33409.61</v>
      </c>
      <c r="Q30" s="1"/>
      <c r="R30" s="1">
        <v>36522.239999999998</v>
      </c>
      <c r="S30" s="1"/>
      <c r="T30" s="1">
        <v>8881.43</v>
      </c>
      <c r="U30" s="1"/>
      <c r="V30" s="1">
        <v>16286.28</v>
      </c>
      <c r="W30" s="1"/>
      <c r="X30" s="1">
        <v>0</v>
      </c>
      <c r="Y30" s="1"/>
      <c r="Z30" s="1">
        <v>16290</v>
      </c>
      <c r="AA30" s="1"/>
      <c r="AB30" s="1">
        <v>0</v>
      </c>
      <c r="AC30" s="1"/>
      <c r="AD30" s="1">
        <v>0</v>
      </c>
      <c r="AF30" s="4">
        <f t="shared" si="0"/>
        <v>1577216.82</v>
      </c>
    </row>
    <row r="31" spans="1:55" s="4" customFormat="1">
      <c r="A31" s="4">
        <v>17</v>
      </c>
      <c r="B31" s="4" t="s">
        <v>540</v>
      </c>
      <c r="D31" s="4" t="s">
        <v>43</v>
      </c>
      <c r="F31" s="1">
        <v>534509.31999999995</v>
      </c>
      <c r="G31" s="1"/>
      <c r="H31" s="1">
        <v>135115.6</v>
      </c>
      <c r="I31" s="1"/>
      <c r="J31" s="1">
        <v>184279.94</v>
      </c>
      <c r="K31" s="1"/>
      <c r="L31" s="1">
        <v>138688.54</v>
      </c>
      <c r="M31" s="1"/>
      <c r="N31" s="1">
        <v>0</v>
      </c>
      <c r="O31" s="1"/>
      <c r="P31" s="1">
        <v>21779.42</v>
      </c>
      <c r="Q31" s="1"/>
      <c r="R31" s="1">
        <v>6767.18</v>
      </c>
      <c r="S31" s="1"/>
      <c r="T31" s="1">
        <v>9003.84</v>
      </c>
      <c r="U31" s="1"/>
      <c r="V31" s="1">
        <v>0</v>
      </c>
      <c r="W31" s="1"/>
      <c r="X31" s="1">
        <v>0</v>
      </c>
      <c r="Y31" s="1"/>
      <c r="Z31" s="1">
        <v>0</v>
      </c>
      <c r="AA31" s="1"/>
      <c r="AB31" s="1">
        <v>0</v>
      </c>
      <c r="AC31" s="1"/>
      <c r="AD31" s="1">
        <v>0</v>
      </c>
      <c r="AF31" s="4">
        <f t="shared" si="0"/>
        <v>1030143.84</v>
      </c>
    </row>
    <row r="32" spans="1:55" s="4" customFormat="1">
      <c r="A32" s="4">
        <v>141</v>
      </c>
      <c r="B32" s="4" t="s">
        <v>83</v>
      </c>
      <c r="D32" s="4" t="s">
        <v>56</v>
      </c>
      <c r="F32" s="4">
        <v>2215074</v>
      </c>
      <c r="H32" s="4">
        <v>0</v>
      </c>
      <c r="J32" s="4">
        <v>0</v>
      </c>
      <c r="L32" s="4">
        <v>0</v>
      </c>
      <c r="N32" s="4">
        <v>0</v>
      </c>
      <c r="P32" s="4">
        <v>0</v>
      </c>
      <c r="R32" s="4">
        <v>0</v>
      </c>
      <c r="T32" s="4">
        <v>6367</v>
      </c>
      <c r="V32" s="4">
        <v>0</v>
      </c>
      <c r="X32" s="4">
        <v>0</v>
      </c>
      <c r="Z32" s="4">
        <v>0</v>
      </c>
      <c r="AB32" s="4">
        <v>0</v>
      </c>
      <c r="AD32" s="4">
        <v>0</v>
      </c>
      <c r="AF32" s="4">
        <f t="shared" si="0"/>
        <v>2221441</v>
      </c>
    </row>
    <row r="33" spans="1:55" s="4" customFormat="1">
      <c r="A33" s="4">
        <v>217</v>
      </c>
      <c r="B33" s="4" t="s">
        <v>351</v>
      </c>
      <c r="D33" s="4" t="s">
        <v>22</v>
      </c>
      <c r="F33" s="1">
        <v>690924.03</v>
      </c>
      <c r="G33" s="1"/>
      <c r="H33" s="1">
        <v>185954.61</v>
      </c>
      <c r="I33" s="1"/>
      <c r="J33" s="1">
        <v>267873.83</v>
      </c>
      <c r="K33" s="1"/>
      <c r="L33" s="1">
        <v>172874.94</v>
      </c>
      <c r="M33" s="1"/>
      <c r="N33" s="1">
        <v>0</v>
      </c>
      <c r="O33" s="1"/>
      <c r="P33" s="1">
        <v>25419.34</v>
      </c>
      <c r="Q33" s="1"/>
      <c r="R33" s="1">
        <v>4287.8</v>
      </c>
      <c r="S33" s="1"/>
      <c r="T33" s="1">
        <v>116531.1</v>
      </c>
      <c r="U33" s="1"/>
      <c r="V33" s="1">
        <v>0</v>
      </c>
      <c r="W33" s="1"/>
      <c r="X33" s="1">
        <v>0</v>
      </c>
      <c r="Y33" s="1"/>
      <c r="Z33" s="1">
        <v>172163</v>
      </c>
      <c r="AA33" s="1"/>
      <c r="AB33" s="1">
        <v>0</v>
      </c>
      <c r="AC33" s="1"/>
      <c r="AD33" s="1">
        <v>0</v>
      </c>
      <c r="AF33" s="4">
        <f t="shared" si="0"/>
        <v>1636028.6500000001</v>
      </c>
    </row>
    <row r="34" spans="1:55" s="4" customFormat="1">
      <c r="A34" s="4">
        <v>19</v>
      </c>
      <c r="B34" s="4" t="s">
        <v>21</v>
      </c>
      <c r="D34" s="4" t="s">
        <v>13</v>
      </c>
      <c r="F34" s="4">
        <v>311574</v>
      </c>
      <c r="H34" s="4">
        <v>0</v>
      </c>
      <c r="J34" s="4">
        <v>68855</v>
      </c>
      <c r="L34" s="4">
        <v>41948</v>
      </c>
      <c r="N34" s="4">
        <v>0</v>
      </c>
      <c r="P34" s="4">
        <v>0</v>
      </c>
      <c r="R34" s="4">
        <v>1847</v>
      </c>
      <c r="T34" s="4">
        <v>206617</v>
      </c>
      <c r="V34" s="4">
        <v>0</v>
      </c>
      <c r="X34" s="4">
        <v>0</v>
      </c>
      <c r="Z34" s="4">
        <v>0</v>
      </c>
      <c r="AB34" s="4">
        <v>0</v>
      </c>
      <c r="AD34" s="4">
        <v>0</v>
      </c>
      <c r="AF34" s="4">
        <f t="shared" si="0"/>
        <v>630841</v>
      </c>
    </row>
    <row r="35" spans="1:55" s="4" customFormat="1">
      <c r="A35" s="4">
        <v>20</v>
      </c>
      <c r="B35" s="4" t="s">
        <v>84</v>
      </c>
      <c r="D35" s="4" t="s">
        <v>13</v>
      </c>
      <c r="F35" s="1">
        <v>252996.78</v>
      </c>
      <c r="G35" s="1"/>
      <c r="H35" s="1">
        <v>85963.7</v>
      </c>
      <c r="I35" s="1"/>
      <c r="J35" s="1">
        <v>55865.34</v>
      </c>
      <c r="K35" s="1"/>
      <c r="L35" s="1">
        <v>75216.77</v>
      </c>
      <c r="M35" s="1"/>
      <c r="N35" s="1">
        <v>0</v>
      </c>
      <c r="O35" s="1"/>
      <c r="P35" s="1">
        <v>22260.03</v>
      </c>
      <c r="Q35" s="1"/>
      <c r="R35" s="1">
        <v>9083</v>
      </c>
      <c r="S35" s="1"/>
      <c r="T35" s="1">
        <v>2961.46</v>
      </c>
      <c r="U35" s="1"/>
      <c r="V35" s="1">
        <v>0</v>
      </c>
      <c r="W35" s="1"/>
      <c r="X35" s="1">
        <v>0</v>
      </c>
      <c r="Y35" s="1"/>
      <c r="Z35" s="1">
        <v>0</v>
      </c>
      <c r="AA35" s="1"/>
      <c r="AB35" s="1">
        <v>0</v>
      </c>
      <c r="AC35" s="1"/>
      <c r="AD35" s="1">
        <v>0</v>
      </c>
      <c r="AF35" s="4">
        <f t="shared" si="0"/>
        <v>504347.08</v>
      </c>
    </row>
    <row r="36" spans="1:55" s="4" customFormat="1">
      <c r="A36" s="4">
        <v>137</v>
      </c>
      <c r="B36" s="4" t="s">
        <v>85</v>
      </c>
      <c r="D36" s="4" t="s">
        <v>86</v>
      </c>
      <c r="F36" s="4">
        <v>30480</v>
      </c>
      <c r="H36" s="4">
        <v>8148</v>
      </c>
      <c r="J36" s="4">
        <v>14866</v>
      </c>
      <c r="L36" s="4">
        <v>15940</v>
      </c>
      <c r="N36" s="4">
        <v>0</v>
      </c>
      <c r="P36" s="4">
        <v>5680</v>
      </c>
      <c r="R36" s="4">
        <v>284</v>
      </c>
      <c r="T36" s="4">
        <v>474</v>
      </c>
      <c r="V36" s="4">
        <v>0</v>
      </c>
      <c r="X36" s="4">
        <v>0</v>
      </c>
      <c r="Z36" s="4">
        <v>0</v>
      </c>
      <c r="AB36" s="4">
        <v>0</v>
      </c>
      <c r="AD36" s="4">
        <v>0</v>
      </c>
      <c r="AF36" s="4">
        <f t="shared" si="0"/>
        <v>75872</v>
      </c>
    </row>
    <row r="37" spans="1:55" s="4" customFormat="1">
      <c r="A37" s="4">
        <v>110</v>
      </c>
      <c r="B37" s="4" t="s">
        <v>87</v>
      </c>
      <c r="D37" s="4" t="s">
        <v>88</v>
      </c>
      <c r="F37" s="4">
        <v>749329</v>
      </c>
      <c r="H37" s="4">
        <v>19417</v>
      </c>
      <c r="J37" s="4">
        <v>114262</v>
      </c>
      <c r="L37" s="4">
        <v>0</v>
      </c>
      <c r="N37" s="4">
        <v>35495</v>
      </c>
      <c r="P37" s="4">
        <v>0</v>
      </c>
      <c r="R37" s="4">
        <v>0</v>
      </c>
      <c r="T37" s="4">
        <v>4752</v>
      </c>
      <c r="V37" s="4">
        <v>0</v>
      </c>
      <c r="X37" s="4">
        <v>0</v>
      </c>
      <c r="Z37" s="4">
        <v>0</v>
      </c>
      <c r="AB37" s="4">
        <v>0</v>
      </c>
      <c r="AD37" s="4">
        <v>0</v>
      </c>
      <c r="AF37" s="4">
        <f t="shared" si="0"/>
        <v>923255</v>
      </c>
    </row>
    <row r="38" spans="1:55" s="4" customFormat="1">
      <c r="A38" s="4">
        <v>203</v>
      </c>
      <c r="B38" s="4" t="s">
        <v>89</v>
      </c>
      <c r="D38" s="4" t="s">
        <v>44</v>
      </c>
      <c r="F38" s="4">
        <v>64958</v>
      </c>
      <c r="H38" s="4">
        <v>9094</v>
      </c>
      <c r="J38" s="4">
        <v>11920</v>
      </c>
      <c r="L38" s="4">
        <v>28181</v>
      </c>
      <c r="N38" s="4">
        <v>0</v>
      </c>
      <c r="P38" s="4">
        <v>4133</v>
      </c>
      <c r="R38" s="4">
        <v>1994</v>
      </c>
      <c r="T38" s="4">
        <v>2427</v>
      </c>
      <c r="V38" s="4">
        <v>0</v>
      </c>
      <c r="X38" s="4">
        <v>0</v>
      </c>
      <c r="Z38" s="4">
        <v>6522</v>
      </c>
      <c r="AB38" s="4">
        <v>0</v>
      </c>
      <c r="AD38" s="4">
        <v>0</v>
      </c>
      <c r="AF38" s="4">
        <f t="shared" si="0"/>
        <v>129229</v>
      </c>
    </row>
    <row r="39" spans="1:55" s="4" customFormat="1">
      <c r="A39" s="4">
        <v>74</v>
      </c>
      <c r="B39" s="4" t="s">
        <v>296</v>
      </c>
      <c r="D39" s="4" t="s">
        <v>91</v>
      </c>
      <c r="F39" s="4">
        <v>1053024</v>
      </c>
      <c r="H39" s="4">
        <v>352465</v>
      </c>
      <c r="J39" s="4">
        <v>218747</v>
      </c>
      <c r="L39" s="4">
        <v>135156</v>
      </c>
      <c r="N39" s="4">
        <v>0</v>
      </c>
      <c r="P39" s="4">
        <v>22474</v>
      </c>
      <c r="R39" s="4">
        <v>5279</v>
      </c>
      <c r="T39" s="4">
        <v>47821</v>
      </c>
      <c r="V39" s="4">
        <v>0</v>
      </c>
      <c r="X39" s="4">
        <v>0</v>
      </c>
      <c r="Z39" s="4">
        <v>75000</v>
      </c>
      <c r="AB39" s="4">
        <v>0</v>
      </c>
      <c r="AD39" s="4">
        <v>0</v>
      </c>
      <c r="AF39" s="4">
        <f t="shared" si="0"/>
        <v>1909966</v>
      </c>
    </row>
    <row r="40" spans="1:55" s="4" customFormat="1">
      <c r="A40" s="4">
        <v>200</v>
      </c>
      <c r="B40" s="4" t="s">
        <v>92</v>
      </c>
      <c r="D40" s="4" t="s">
        <v>93</v>
      </c>
      <c r="F40" s="4">
        <v>1171763</v>
      </c>
      <c r="H40" s="4">
        <v>312739</v>
      </c>
      <c r="J40" s="4">
        <v>195832</v>
      </c>
      <c r="L40" s="4">
        <v>249069</v>
      </c>
      <c r="N40" s="4">
        <v>0</v>
      </c>
      <c r="P40" s="4">
        <v>43819</v>
      </c>
      <c r="R40" s="4">
        <v>6415</v>
      </c>
      <c r="T40" s="4">
        <v>25681</v>
      </c>
      <c r="V40" s="4">
        <v>0</v>
      </c>
      <c r="X40" s="4">
        <v>0</v>
      </c>
      <c r="Z40" s="4">
        <v>0</v>
      </c>
      <c r="AB40" s="4">
        <v>0</v>
      </c>
      <c r="AD40" s="4">
        <v>0</v>
      </c>
      <c r="AF40" s="4">
        <f t="shared" ref="AF40:AF72" si="1">SUM(F40:AD40)</f>
        <v>2005318</v>
      </c>
    </row>
    <row r="41" spans="1:55" s="4" customFormat="1">
      <c r="A41" s="4">
        <v>35</v>
      </c>
      <c r="B41" s="4" t="s">
        <v>94</v>
      </c>
      <c r="D41" s="4" t="s">
        <v>68</v>
      </c>
      <c r="F41" s="4">
        <f>152000+150125</f>
        <v>302125</v>
      </c>
      <c r="H41" s="4">
        <f>42416+50506+2835+793+189+342</f>
        <v>97081</v>
      </c>
      <c r="J41" s="4">
        <v>98616</v>
      </c>
      <c r="L41" s="4">
        <v>26240</v>
      </c>
      <c r="N41" s="4">
        <v>33335</v>
      </c>
      <c r="P41" s="4">
        <v>8189</v>
      </c>
      <c r="R41" s="4">
        <v>17289</v>
      </c>
      <c r="T41" s="4">
        <v>4220</v>
      </c>
      <c r="V41" s="4">
        <v>5000</v>
      </c>
      <c r="X41" s="4">
        <v>1500</v>
      </c>
      <c r="Z41" s="4">
        <v>0</v>
      </c>
      <c r="AB41" s="4">
        <v>0</v>
      </c>
      <c r="AD41" s="4">
        <v>0</v>
      </c>
      <c r="AF41" s="4">
        <f t="shared" si="1"/>
        <v>593595</v>
      </c>
    </row>
    <row r="42" spans="1:55" s="4" customFormat="1">
      <c r="A42" s="4">
        <v>204</v>
      </c>
      <c r="B42" s="4" t="s">
        <v>95</v>
      </c>
      <c r="D42" s="4" t="s">
        <v>44</v>
      </c>
      <c r="F42" s="1">
        <v>74383.13</v>
      </c>
      <c r="G42" s="1"/>
      <c r="H42" s="1">
        <v>12042.29</v>
      </c>
      <c r="I42" s="1"/>
      <c r="J42" s="1">
        <v>12507.73</v>
      </c>
      <c r="K42" s="1"/>
      <c r="L42" s="1">
        <v>23280.13</v>
      </c>
      <c r="M42" s="1"/>
      <c r="N42" s="1">
        <v>0</v>
      </c>
      <c r="O42" s="1"/>
      <c r="P42" s="1">
        <v>6408.83</v>
      </c>
      <c r="Q42" s="1"/>
      <c r="R42" s="1">
        <v>9256.2000000000007</v>
      </c>
      <c r="S42" s="1"/>
      <c r="T42" s="1">
        <v>9360.33</v>
      </c>
      <c r="U42" s="1"/>
      <c r="V42" s="1">
        <v>0</v>
      </c>
      <c r="W42" s="1"/>
      <c r="X42" s="1">
        <v>0</v>
      </c>
      <c r="Y42" s="1"/>
      <c r="Z42" s="1">
        <v>1926</v>
      </c>
      <c r="AA42" s="1"/>
      <c r="AB42" s="1">
        <v>0</v>
      </c>
      <c r="AC42" s="1"/>
      <c r="AD42" s="1">
        <v>0</v>
      </c>
      <c r="AF42" s="4">
        <f t="shared" si="1"/>
        <v>149164.64000000001</v>
      </c>
    </row>
    <row r="43" spans="1:55" s="4" customFormat="1">
      <c r="A43" s="4">
        <v>3</v>
      </c>
      <c r="B43" s="4" t="s">
        <v>297</v>
      </c>
      <c r="D43" s="4" t="s">
        <v>96</v>
      </c>
      <c r="F43" s="1">
        <v>171140.96</v>
      </c>
      <c r="G43" s="1"/>
      <c r="H43" s="1">
        <v>44002.79</v>
      </c>
      <c r="I43" s="1"/>
      <c r="J43" s="1">
        <v>78200.3</v>
      </c>
      <c r="K43" s="1"/>
      <c r="L43" s="1">
        <v>41130.81</v>
      </c>
      <c r="M43" s="1"/>
      <c r="N43" s="1">
        <v>0</v>
      </c>
      <c r="O43" s="1"/>
      <c r="P43" s="1">
        <v>6314.05</v>
      </c>
      <c r="Q43" s="1"/>
      <c r="R43" s="1">
        <v>4215.75</v>
      </c>
      <c r="S43" s="1"/>
      <c r="T43" s="1">
        <v>3013</v>
      </c>
      <c r="U43" s="1"/>
      <c r="V43" s="1">
        <v>0</v>
      </c>
      <c r="W43" s="1"/>
      <c r="X43" s="1">
        <v>0</v>
      </c>
      <c r="Y43" s="1"/>
      <c r="Z43" s="1">
        <v>0</v>
      </c>
      <c r="AA43" s="1"/>
      <c r="AB43" s="1">
        <v>0</v>
      </c>
      <c r="AC43" s="1"/>
      <c r="AD43" s="1">
        <v>0</v>
      </c>
      <c r="AF43" s="4">
        <f t="shared" si="1"/>
        <v>348017.66</v>
      </c>
    </row>
    <row r="44" spans="1:55" s="12" customFormat="1">
      <c r="A44" s="4">
        <v>101</v>
      </c>
      <c r="B44" s="4" t="s">
        <v>97</v>
      </c>
      <c r="C44" s="4"/>
      <c r="D44" s="4" t="s">
        <v>45</v>
      </c>
      <c r="E44" s="4"/>
      <c r="F44" s="1">
        <v>112380.44</v>
      </c>
      <c r="G44" s="1"/>
      <c r="H44" s="1">
        <v>27103.78</v>
      </c>
      <c r="I44" s="1"/>
      <c r="J44" s="1">
        <v>41008.639999999999</v>
      </c>
      <c r="K44" s="1"/>
      <c r="L44" s="1">
        <v>28233.02</v>
      </c>
      <c r="M44" s="1"/>
      <c r="N44" s="1">
        <v>0</v>
      </c>
      <c r="O44" s="1"/>
      <c r="P44" s="1">
        <v>6791.86</v>
      </c>
      <c r="Q44" s="1"/>
      <c r="R44" s="1">
        <v>3646.89</v>
      </c>
      <c r="S44" s="1"/>
      <c r="T44" s="1">
        <v>2407.9499999999998</v>
      </c>
      <c r="U44" s="1"/>
      <c r="V44" s="1">
        <v>0</v>
      </c>
      <c r="W44" s="1"/>
      <c r="X44" s="1">
        <v>0</v>
      </c>
      <c r="Y44" s="1"/>
      <c r="Z44" s="1">
        <v>1831</v>
      </c>
      <c r="AA44" s="1"/>
      <c r="AB44" s="1">
        <v>0</v>
      </c>
      <c r="AC44" s="1"/>
      <c r="AD44" s="1">
        <v>0</v>
      </c>
      <c r="AE44" s="4"/>
      <c r="AF44" s="4">
        <f t="shared" si="1"/>
        <v>223403.58</v>
      </c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4" customFormat="1">
      <c r="A45" s="4">
        <v>162</v>
      </c>
      <c r="B45" s="4" t="s">
        <v>98</v>
      </c>
      <c r="D45" s="4" t="s">
        <v>52</v>
      </c>
      <c r="F45" s="1">
        <v>87635.82</v>
      </c>
      <c r="G45" s="1"/>
      <c r="H45" s="1">
        <v>17582.55</v>
      </c>
      <c r="I45" s="1"/>
      <c r="J45" s="1">
        <v>39047.629999999997</v>
      </c>
      <c r="K45" s="1"/>
      <c r="L45" s="1">
        <v>16989.03</v>
      </c>
      <c r="M45" s="1"/>
      <c r="N45" s="1">
        <v>0</v>
      </c>
      <c r="O45" s="1"/>
      <c r="P45" s="1">
        <v>4126.8599999999997</v>
      </c>
      <c r="Q45" s="1"/>
      <c r="R45" s="1">
        <v>1477.12</v>
      </c>
      <c r="S45" s="1"/>
      <c r="T45" s="1">
        <v>1076.96</v>
      </c>
      <c r="U45" s="1"/>
      <c r="V45" s="1">
        <v>0</v>
      </c>
      <c r="W45" s="1"/>
      <c r="X45" s="1">
        <v>0</v>
      </c>
      <c r="Y45" s="1"/>
      <c r="Z45" s="1">
        <v>0</v>
      </c>
      <c r="AA45" s="1"/>
      <c r="AB45" s="1">
        <v>0</v>
      </c>
      <c r="AC45" s="1"/>
      <c r="AD45" s="1">
        <v>0</v>
      </c>
      <c r="AF45" s="4">
        <f t="shared" si="1"/>
        <v>167935.96999999997</v>
      </c>
    </row>
    <row r="46" spans="1:55" s="4" customFormat="1">
      <c r="A46" s="22">
        <v>130.1</v>
      </c>
      <c r="B46" s="4" t="s">
        <v>528</v>
      </c>
      <c r="D46" s="4" t="s">
        <v>529</v>
      </c>
      <c r="F46" s="4">
        <v>1210093</v>
      </c>
      <c r="H46" s="4">
        <v>486548</v>
      </c>
      <c r="J46" s="4">
        <v>195513</v>
      </c>
      <c r="L46" s="4">
        <v>100766</v>
      </c>
      <c r="N46" s="4">
        <v>0</v>
      </c>
      <c r="P46" s="4">
        <v>26943</v>
      </c>
      <c r="R46" s="4">
        <v>6000</v>
      </c>
      <c r="T46" s="4">
        <v>31037</v>
      </c>
      <c r="V46" s="4">
        <v>0</v>
      </c>
      <c r="X46" s="4">
        <v>0</v>
      </c>
      <c r="Z46" s="4">
        <v>0</v>
      </c>
      <c r="AB46" s="4">
        <v>0</v>
      </c>
      <c r="AD46" s="4">
        <v>0</v>
      </c>
      <c r="AF46" s="4">
        <f t="shared" si="1"/>
        <v>2056900</v>
      </c>
    </row>
    <row r="47" spans="1:55" s="4" customFormat="1">
      <c r="A47" s="4">
        <v>223</v>
      </c>
      <c r="B47" s="4" t="s">
        <v>470</v>
      </c>
      <c r="D47" s="4" t="s">
        <v>55</v>
      </c>
      <c r="F47" s="1">
        <v>217374.3</v>
      </c>
      <c r="G47" s="1"/>
      <c r="H47" s="1">
        <v>56408.09</v>
      </c>
      <c r="I47" s="1"/>
      <c r="J47" s="1">
        <v>53365.83</v>
      </c>
      <c r="K47" s="1"/>
      <c r="L47" s="1">
        <v>92832.28</v>
      </c>
      <c r="M47" s="1"/>
      <c r="N47" s="1">
        <v>0</v>
      </c>
      <c r="O47" s="1"/>
      <c r="P47" s="1">
        <v>8571.02</v>
      </c>
      <c r="Q47" s="1"/>
      <c r="R47" s="1">
        <v>9868.0300000000007</v>
      </c>
      <c r="S47" s="1"/>
      <c r="T47" s="1">
        <v>7523.11</v>
      </c>
      <c r="U47" s="1"/>
      <c r="V47" s="1">
        <v>0</v>
      </c>
      <c r="W47" s="1"/>
      <c r="X47" s="1">
        <v>0</v>
      </c>
      <c r="Y47" s="1"/>
      <c r="Z47" s="1">
        <v>0</v>
      </c>
      <c r="AA47" s="1"/>
      <c r="AB47" s="1">
        <v>0</v>
      </c>
      <c r="AC47" s="1"/>
      <c r="AD47" s="1">
        <v>0</v>
      </c>
      <c r="AF47" s="4">
        <f t="shared" si="1"/>
        <v>445942.66000000003</v>
      </c>
    </row>
    <row r="48" spans="1:55" s="4" customFormat="1">
      <c r="A48" s="4">
        <v>23</v>
      </c>
      <c r="B48" s="4" t="s">
        <v>445</v>
      </c>
      <c r="D48" s="4" t="s">
        <v>46</v>
      </c>
      <c r="F48" s="1">
        <v>398076.37</v>
      </c>
      <c r="G48" s="1"/>
      <c r="H48" s="1">
        <v>83208.92</v>
      </c>
      <c r="I48" s="1"/>
      <c r="J48" s="1">
        <v>168850.5</v>
      </c>
      <c r="K48" s="1"/>
      <c r="L48" s="1">
        <v>98004.27</v>
      </c>
      <c r="M48" s="1"/>
      <c r="N48" s="1">
        <v>0</v>
      </c>
      <c r="O48" s="1"/>
      <c r="P48" s="1">
        <v>13416.47</v>
      </c>
      <c r="Q48" s="1"/>
      <c r="R48" s="1">
        <v>327.67</v>
      </c>
      <c r="S48" s="1"/>
      <c r="T48" s="1">
        <v>368.94</v>
      </c>
      <c r="U48" s="1"/>
      <c r="V48" s="1">
        <v>0</v>
      </c>
      <c r="W48" s="1"/>
      <c r="X48" s="1">
        <v>0</v>
      </c>
      <c r="Y48" s="1"/>
      <c r="Z48" s="1">
        <v>0</v>
      </c>
      <c r="AA48" s="1"/>
      <c r="AB48" s="1">
        <v>0</v>
      </c>
      <c r="AC48" s="1"/>
      <c r="AD48" s="1">
        <v>0</v>
      </c>
      <c r="AF48" s="4">
        <f t="shared" si="1"/>
        <v>762253.14</v>
      </c>
    </row>
    <row r="49" spans="1:32" s="4" customFormat="1">
      <c r="A49" s="4">
        <v>194</v>
      </c>
      <c r="B49" s="4" t="s">
        <v>100</v>
      </c>
      <c r="D49" s="4" t="s">
        <v>101</v>
      </c>
      <c r="F49" s="4">
        <v>62741</v>
      </c>
      <c r="H49" s="4">
        <v>8572</v>
      </c>
      <c r="J49" s="4">
        <v>30854</v>
      </c>
      <c r="L49" s="4">
        <v>0</v>
      </c>
      <c r="N49" s="4">
        <v>9499</v>
      </c>
      <c r="P49" s="4">
        <v>2647</v>
      </c>
      <c r="R49" s="4">
        <v>802</v>
      </c>
      <c r="T49" s="4">
        <v>4194</v>
      </c>
      <c r="V49" s="4">
        <v>0</v>
      </c>
      <c r="X49" s="4">
        <v>0</v>
      </c>
      <c r="Z49" s="4">
        <v>0</v>
      </c>
      <c r="AB49" s="4">
        <v>0</v>
      </c>
      <c r="AD49" s="4">
        <v>0</v>
      </c>
      <c r="AF49" s="4">
        <f t="shared" si="1"/>
        <v>119309</v>
      </c>
    </row>
    <row r="50" spans="1:32" s="4" customFormat="1">
      <c r="A50" s="4">
        <v>46</v>
      </c>
      <c r="B50" s="4" t="s">
        <v>102</v>
      </c>
      <c r="D50" s="4" t="s">
        <v>51</v>
      </c>
      <c r="F50" s="4">
        <v>314356</v>
      </c>
      <c r="H50" s="4">
        <v>0</v>
      </c>
      <c r="J50" s="4">
        <v>116762</v>
      </c>
      <c r="L50" s="4">
        <v>48769</v>
      </c>
      <c r="N50" s="4">
        <v>0</v>
      </c>
      <c r="P50" s="4">
        <v>20784</v>
      </c>
      <c r="R50" s="4">
        <v>8564</v>
      </c>
      <c r="T50" s="4">
        <v>848427</v>
      </c>
      <c r="V50" s="4">
        <v>0</v>
      </c>
      <c r="X50" s="4">
        <v>0</v>
      </c>
      <c r="Z50" s="4">
        <v>105834</v>
      </c>
      <c r="AB50" s="4">
        <v>300000</v>
      </c>
      <c r="AD50" s="4">
        <v>0</v>
      </c>
      <c r="AF50" s="4">
        <f t="shared" si="1"/>
        <v>1763496</v>
      </c>
    </row>
    <row r="51" spans="1:32" s="4" customFormat="1">
      <c r="A51" s="4">
        <v>89</v>
      </c>
      <c r="B51" s="4" t="s">
        <v>103</v>
      </c>
      <c r="D51" s="4" t="s">
        <v>17</v>
      </c>
      <c r="F51" s="1">
        <v>400030.93</v>
      </c>
      <c r="G51" s="1"/>
      <c r="H51" s="1">
        <v>91129.2</v>
      </c>
      <c r="I51" s="1"/>
      <c r="J51" s="1">
        <v>102659.28</v>
      </c>
      <c r="K51" s="1"/>
      <c r="L51" s="1">
        <v>108878.09</v>
      </c>
      <c r="M51" s="1"/>
      <c r="N51" s="1">
        <v>0</v>
      </c>
      <c r="O51" s="1"/>
      <c r="P51" s="1">
        <v>21860.63</v>
      </c>
      <c r="Q51" s="1"/>
      <c r="R51" s="1">
        <v>7916.84</v>
      </c>
      <c r="S51" s="1"/>
      <c r="T51" s="1">
        <v>16049.69</v>
      </c>
      <c r="U51" s="1"/>
      <c r="V51" s="1">
        <v>15000</v>
      </c>
      <c r="W51" s="1"/>
      <c r="X51" s="1">
        <v>2772</v>
      </c>
      <c r="Y51" s="1"/>
      <c r="Z51" s="1">
        <v>0</v>
      </c>
      <c r="AA51" s="1"/>
      <c r="AB51" s="1">
        <v>0</v>
      </c>
      <c r="AC51" s="1"/>
      <c r="AD51" s="1">
        <v>0</v>
      </c>
      <c r="AF51" s="4">
        <f t="shared" si="1"/>
        <v>766296.65999999992</v>
      </c>
    </row>
    <row r="52" spans="1:32" s="4" customFormat="1">
      <c r="A52" s="4">
        <v>179</v>
      </c>
      <c r="B52" s="4" t="s">
        <v>104</v>
      </c>
      <c r="D52" s="4" t="s">
        <v>105</v>
      </c>
      <c r="F52" s="1">
        <v>239097.03</v>
      </c>
      <c r="G52" s="1"/>
      <c r="H52" s="1">
        <v>67458.47</v>
      </c>
      <c r="I52" s="1"/>
      <c r="J52" s="1">
        <v>72262.87</v>
      </c>
      <c r="K52" s="1"/>
      <c r="L52" s="1">
        <v>34877.269999999997</v>
      </c>
      <c r="M52" s="1"/>
      <c r="N52" s="1">
        <v>0</v>
      </c>
      <c r="O52" s="1"/>
      <c r="P52" s="1">
        <v>2442.71</v>
      </c>
      <c r="Q52" s="1"/>
      <c r="R52" s="1">
        <v>1293.58</v>
      </c>
      <c r="S52" s="1"/>
      <c r="T52" s="1">
        <v>3477.83</v>
      </c>
      <c r="U52" s="1"/>
      <c r="V52" s="1">
        <v>0</v>
      </c>
      <c r="W52" s="1"/>
      <c r="X52" s="1">
        <v>0</v>
      </c>
      <c r="Y52" s="1"/>
      <c r="Z52" s="1">
        <v>0</v>
      </c>
      <c r="AA52" s="1"/>
      <c r="AB52" s="1">
        <v>0</v>
      </c>
      <c r="AC52" s="1"/>
      <c r="AD52" s="1">
        <v>0</v>
      </c>
      <c r="AF52" s="4">
        <f t="shared" si="1"/>
        <v>420909.76000000007</v>
      </c>
    </row>
    <row r="53" spans="1:32" s="4" customFormat="1">
      <c r="A53" s="4">
        <v>209</v>
      </c>
      <c r="B53" s="4" t="s">
        <v>106</v>
      </c>
      <c r="D53" s="4" t="s">
        <v>25</v>
      </c>
      <c r="F53" s="1">
        <v>430447.58</v>
      </c>
      <c r="G53" s="1"/>
      <c r="H53" s="1">
        <v>104660.22</v>
      </c>
      <c r="I53" s="1"/>
      <c r="J53" s="1">
        <v>139997.06</v>
      </c>
      <c r="K53" s="1"/>
      <c r="L53" s="1">
        <v>110324.43</v>
      </c>
      <c r="M53" s="1"/>
      <c r="N53" s="1">
        <v>0</v>
      </c>
      <c r="O53" s="1"/>
      <c r="P53" s="1">
        <v>11796.78</v>
      </c>
      <c r="Q53" s="1"/>
      <c r="R53" s="1">
        <v>2920.74</v>
      </c>
      <c r="S53" s="1"/>
      <c r="T53" s="1">
        <v>60761.85</v>
      </c>
      <c r="U53" s="1"/>
      <c r="V53" s="1">
        <v>0</v>
      </c>
      <c r="W53" s="1"/>
      <c r="X53" s="1">
        <v>0</v>
      </c>
      <c r="Y53" s="1"/>
      <c r="Z53" s="1">
        <v>70000</v>
      </c>
      <c r="AA53" s="1"/>
      <c r="AB53" s="1">
        <v>0</v>
      </c>
      <c r="AC53" s="1"/>
      <c r="AD53" s="1">
        <v>0</v>
      </c>
      <c r="AF53" s="4">
        <f t="shared" si="1"/>
        <v>930908.66</v>
      </c>
    </row>
    <row r="54" spans="1:32" s="4" customFormat="1">
      <c r="A54" s="4">
        <v>174</v>
      </c>
      <c r="B54" s="4" t="s">
        <v>107</v>
      </c>
      <c r="D54" s="4" t="s">
        <v>67</v>
      </c>
      <c r="F54" s="4">
        <v>127159</v>
      </c>
      <c r="H54" s="4">
        <v>22364</v>
      </c>
      <c r="J54" s="4">
        <v>36509</v>
      </c>
      <c r="L54" s="4">
        <v>33858</v>
      </c>
      <c r="N54" s="4">
        <v>0</v>
      </c>
      <c r="P54" s="4">
        <v>5437</v>
      </c>
      <c r="R54" s="4">
        <v>2633</v>
      </c>
      <c r="T54" s="4">
        <v>3640</v>
      </c>
      <c r="V54" s="4">
        <v>0</v>
      </c>
      <c r="X54" s="4">
        <v>0</v>
      </c>
      <c r="Z54" s="4">
        <v>0</v>
      </c>
      <c r="AB54" s="4">
        <v>0</v>
      </c>
      <c r="AD54" s="4">
        <v>0</v>
      </c>
      <c r="AF54" s="4">
        <f t="shared" si="1"/>
        <v>231600</v>
      </c>
    </row>
    <row r="55" spans="1:32" s="4" customFormat="1">
      <c r="A55" s="4">
        <v>73</v>
      </c>
      <c r="B55" s="4" t="s">
        <v>108</v>
      </c>
      <c r="D55" s="4" t="s">
        <v>109</v>
      </c>
      <c r="F55" s="4">
        <v>397717</v>
      </c>
      <c r="H55" s="4">
        <v>47453</v>
      </c>
      <c r="J55" s="4">
        <v>325608</v>
      </c>
      <c r="L55" s="4">
        <v>15157</v>
      </c>
      <c r="N55" s="4">
        <v>94618</v>
      </c>
      <c r="P55" s="4">
        <v>0</v>
      </c>
      <c r="R55" s="4">
        <v>0</v>
      </c>
      <c r="T55" s="4">
        <v>40831</v>
      </c>
      <c r="V55" s="4">
        <v>0</v>
      </c>
      <c r="X55" s="4">
        <v>0</v>
      </c>
      <c r="Z55" s="4">
        <v>0</v>
      </c>
      <c r="AB55" s="4">
        <v>0</v>
      </c>
      <c r="AD55" s="4">
        <v>0</v>
      </c>
      <c r="AF55" s="4">
        <f t="shared" si="1"/>
        <v>921384</v>
      </c>
    </row>
    <row r="56" spans="1:32" s="4" customFormat="1">
      <c r="A56" s="4">
        <v>27</v>
      </c>
      <c r="B56" s="4" t="s">
        <v>541</v>
      </c>
      <c r="D56" s="4" t="s">
        <v>47</v>
      </c>
      <c r="F56" s="1">
        <v>409616.62</v>
      </c>
      <c r="G56" s="1"/>
      <c r="H56" s="1">
        <v>125495.46</v>
      </c>
      <c r="I56" s="1"/>
      <c r="J56" s="1">
        <v>62554.45</v>
      </c>
      <c r="K56" s="1"/>
      <c r="L56" s="1">
        <v>63214.75</v>
      </c>
      <c r="M56" s="1"/>
      <c r="N56" s="1">
        <v>0</v>
      </c>
      <c r="O56" s="1"/>
      <c r="P56" s="1">
        <v>33128.730000000003</v>
      </c>
      <c r="Q56" s="1"/>
      <c r="R56" s="1">
        <v>16268.16</v>
      </c>
      <c r="S56" s="1"/>
      <c r="T56" s="1">
        <v>1000</v>
      </c>
      <c r="U56" s="1"/>
      <c r="V56" s="1">
        <v>0</v>
      </c>
      <c r="W56" s="1"/>
      <c r="X56" s="1">
        <v>0</v>
      </c>
      <c r="Y56" s="1"/>
      <c r="Z56" s="1">
        <v>0</v>
      </c>
      <c r="AA56" s="1"/>
      <c r="AB56" s="1">
        <v>0</v>
      </c>
      <c r="AC56" s="1"/>
      <c r="AD56" s="1">
        <v>174</v>
      </c>
      <c r="AF56" s="4">
        <f t="shared" si="1"/>
        <v>711452.16999999993</v>
      </c>
    </row>
    <row r="57" spans="1:32" s="4" customFormat="1">
      <c r="A57" s="4">
        <v>121</v>
      </c>
      <c r="B57" s="4" t="s">
        <v>110</v>
      </c>
      <c r="D57" s="4" t="s">
        <v>16</v>
      </c>
      <c r="F57" s="4">
        <v>112879</v>
      </c>
      <c r="H57" s="4">
        <v>19235</v>
      </c>
      <c r="J57" s="4">
        <v>33771</v>
      </c>
      <c r="L57" s="4">
        <v>39622</v>
      </c>
      <c r="N57" s="4">
        <v>0</v>
      </c>
      <c r="P57" s="4">
        <v>8967</v>
      </c>
      <c r="R57" s="4">
        <v>2581</v>
      </c>
      <c r="T57" s="4">
        <v>107805</v>
      </c>
      <c r="V57" s="4">
        <v>0</v>
      </c>
      <c r="X57" s="4">
        <v>0</v>
      </c>
      <c r="Z57" s="4">
        <v>0</v>
      </c>
      <c r="AB57" s="4">
        <v>0</v>
      </c>
      <c r="AD57" s="4">
        <v>0</v>
      </c>
      <c r="AF57" s="4">
        <f t="shared" si="1"/>
        <v>324860</v>
      </c>
    </row>
    <row r="58" spans="1:32" s="4" customFormat="1">
      <c r="A58" s="4">
        <v>28</v>
      </c>
      <c r="B58" s="4" t="s">
        <v>542</v>
      </c>
      <c r="D58" s="4" t="s">
        <v>61</v>
      </c>
      <c r="F58" s="4">
        <v>471660</v>
      </c>
      <c r="H58" s="4">
        <v>105705</v>
      </c>
      <c r="J58" s="4">
        <v>152887</v>
      </c>
      <c r="L58" s="4">
        <v>103224</v>
      </c>
      <c r="N58" s="4">
        <v>0</v>
      </c>
      <c r="P58" s="4">
        <v>18119</v>
      </c>
      <c r="R58" s="4">
        <v>3615</v>
      </c>
      <c r="T58" s="4">
        <v>6730</v>
      </c>
      <c r="V58" s="4">
        <v>0</v>
      </c>
      <c r="X58" s="4">
        <v>0</v>
      </c>
      <c r="Z58" s="4">
        <v>40000</v>
      </c>
      <c r="AB58" s="4">
        <v>0</v>
      </c>
      <c r="AD58" s="4">
        <v>0</v>
      </c>
      <c r="AF58" s="4">
        <f t="shared" si="1"/>
        <v>901940</v>
      </c>
    </row>
    <row r="59" spans="1:32" s="4" customFormat="1">
      <c r="A59" s="4">
        <v>199</v>
      </c>
      <c r="B59" s="4" t="s">
        <v>111</v>
      </c>
      <c r="D59" s="4" t="s">
        <v>48</v>
      </c>
      <c r="F59" s="1">
        <v>1275271.78</v>
      </c>
      <c r="G59" s="1"/>
      <c r="H59" s="1">
        <v>478414.55</v>
      </c>
      <c r="I59" s="1"/>
      <c r="J59" s="1">
        <v>279942.5</v>
      </c>
      <c r="K59" s="1"/>
      <c r="L59" s="1">
        <v>96144.47</v>
      </c>
      <c r="M59" s="1"/>
      <c r="N59" s="1">
        <v>0</v>
      </c>
      <c r="O59" s="1"/>
      <c r="P59" s="1">
        <v>37678.1</v>
      </c>
      <c r="Q59" s="1"/>
      <c r="R59" s="1">
        <v>10092.91</v>
      </c>
      <c r="S59" s="1"/>
      <c r="T59" s="1">
        <v>103913.06</v>
      </c>
      <c r="U59" s="1"/>
      <c r="V59" s="1">
        <v>0</v>
      </c>
      <c r="W59" s="1"/>
      <c r="X59" s="1">
        <v>0</v>
      </c>
      <c r="Y59" s="1"/>
      <c r="Z59" s="1">
        <v>0</v>
      </c>
      <c r="AA59" s="1"/>
      <c r="AB59" s="1">
        <v>0</v>
      </c>
      <c r="AC59" s="1"/>
      <c r="AD59" s="1">
        <v>0</v>
      </c>
      <c r="AF59" s="4">
        <f t="shared" si="1"/>
        <v>2281457.3700000006</v>
      </c>
    </row>
    <row r="60" spans="1:32" s="4" customFormat="1">
      <c r="A60" s="4">
        <v>199</v>
      </c>
      <c r="B60" s="4" t="s">
        <v>573</v>
      </c>
      <c r="D60" s="4" t="s">
        <v>527</v>
      </c>
      <c r="F60" s="1">
        <v>25398385</v>
      </c>
      <c r="G60" s="1"/>
      <c r="H60" s="1">
        <v>0</v>
      </c>
      <c r="I60" s="1"/>
      <c r="J60" s="1">
        <v>0</v>
      </c>
      <c r="K60" s="1"/>
      <c r="L60" s="1">
        <v>11956325</v>
      </c>
      <c r="M60" s="1"/>
      <c r="N60" s="1">
        <v>10835165</v>
      </c>
      <c r="O60" s="1"/>
      <c r="P60" s="1">
        <v>0</v>
      </c>
      <c r="Q60" s="1"/>
      <c r="R60" s="1">
        <f>1491889+4356836</f>
        <v>5848725</v>
      </c>
      <c r="S60" s="1"/>
      <c r="T60" s="1">
        <v>0</v>
      </c>
      <c r="U60" s="1"/>
      <c r="V60" s="1">
        <v>0</v>
      </c>
      <c r="W60" s="1"/>
      <c r="X60" s="1">
        <v>0</v>
      </c>
      <c r="Y60" s="1"/>
      <c r="Z60" s="1">
        <v>6680238</v>
      </c>
      <c r="AA60" s="1"/>
      <c r="AB60" s="1">
        <v>0</v>
      </c>
      <c r="AC60" s="1"/>
      <c r="AD60" s="1">
        <v>0</v>
      </c>
      <c r="AF60" s="4">
        <f t="shared" ref="AF60" si="2">SUM(F60:AD60)</f>
        <v>60718838</v>
      </c>
    </row>
    <row r="61" spans="1:32" s="4" customFormat="1">
      <c r="A61" s="4">
        <v>32</v>
      </c>
      <c r="B61" s="4" t="s">
        <v>112</v>
      </c>
      <c r="D61" s="4" t="s">
        <v>113</v>
      </c>
      <c r="F61" s="4">
        <v>2214054</v>
      </c>
      <c r="H61" s="4">
        <v>897277</v>
      </c>
      <c r="J61" s="4">
        <v>770772</v>
      </c>
      <c r="L61" s="4">
        <v>559383</v>
      </c>
      <c r="N61" s="4">
        <v>0</v>
      </c>
      <c r="P61" s="4">
        <v>74262</v>
      </c>
      <c r="R61" s="4">
        <v>11575</v>
      </c>
      <c r="T61" s="4">
        <v>1460081</v>
      </c>
      <c r="V61" s="4">
        <v>0</v>
      </c>
      <c r="X61" s="4">
        <v>0</v>
      </c>
      <c r="Z61" s="4">
        <v>0</v>
      </c>
      <c r="AB61" s="4">
        <v>0</v>
      </c>
      <c r="AD61" s="4">
        <v>0</v>
      </c>
      <c r="AF61" s="4">
        <f t="shared" si="1"/>
        <v>5987404</v>
      </c>
    </row>
    <row r="62" spans="1:32" s="4" customFormat="1">
      <c r="A62" s="4">
        <v>231</v>
      </c>
      <c r="B62" s="4" t="s">
        <v>298</v>
      </c>
      <c r="D62" s="4" t="s">
        <v>26</v>
      </c>
      <c r="F62" s="1">
        <v>207621.49</v>
      </c>
      <c r="G62" s="1"/>
      <c r="H62" s="1">
        <v>56186.48</v>
      </c>
      <c r="I62" s="1"/>
      <c r="J62" s="1">
        <v>84860.98</v>
      </c>
      <c r="K62" s="1"/>
      <c r="L62" s="1">
        <v>52417.1</v>
      </c>
      <c r="M62" s="1"/>
      <c r="N62" s="1">
        <v>0</v>
      </c>
      <c r="O62" s="1"/>
      <c r="P62" s="1">
        <v>6967.25</v>
      </c>
      <c r="Q62" s="1"/>
      <c r="R62" s="1">
        <v>4659.95</v>
      </c>
      <c r="S62" s="1"/>
      <c r="T62" s="1">
        <v>9929.42</v>
      </c>
      <c r="U62" s="1"/>
      <c r="V62" s="1">
        <v>0</v>
      </c>
      <c r="W62" s="1"/>
      <c r="X62" s="1">
        <v>0</v>
      </c>
      <c r="Y62" s="1"/>
      <c r="Z62" s="1">
        <v>0</v>
      </c>
      <c r="AA62" s="1"/>
      <c r="AB62" s="1">
        <v>0</v>
      </c>
      <c r="AC62" s="1"/>
      <c r="AD62" s="1">
        <v>0</v>
      </c>
      <c r="AF62" s="4">
        <f t="shared" si="1"/>
        <v>422642.66999999993</v>
      </c>
    </row>
    <row r="63" spans="1:32" s="4" customFormat="1">
      <c r="A63" s="4">
        <v>34</v>
      </c>
      <c r="B63" s="4" t="s">
        <v>114</v>
      </c>
      <c r="D63" s="4" t="s">
        <v>115</v>
      </c>
      <c r="F63" s="4">
        <f>1212379+682064</f>
        <v>1894443</v>
      </c>
      <c r="H63" s="4">
        <v>0</v>
      </c>
      <c r="J63" s="4">
        <v>0</v>
      </c>
      <c r="L63" s="4">
        <f>3345143+976120</f>
        <v>4321263</v>
      </c>
      <c r="N63" s="4">
        <v>1238775</v>
      </c>
      <c r="P63" s="4">
        <v>0</v>
      </c>
      <c r="R63" s="4">
        <v>0</v>
      </c>
      <c r="T63" s="4">
        <v>0</v>
      </c>
      <c r="V63" s="4">
        <v>231999</v>
      </c>
      <c r="X63" s="4">
        <v>134910</v>
      </c>
      <c r="Z63" s="4">
        <v>921500</v>
      </c>
      <c r="AB63" s="4">
        <v>0</v>
      </c>
      <c r="AD63" s="4">
        <v>4521</v>
      </c>
      <c r="AF63" s="4">
        <f t="shared" si="1"/>
        <v>8747411</v>
      </c>
    </row>
    <row r="64" spans="1:32" s="4" customFormat="1">
      <c r="A64" s="4">
        <v>49</v>
      </c>
      <c r="B64" s="4" t="s">
        <v>398</v>
      </c>
      <c r="D64" s="4" t="s">
        <v>19</v>
      </c>
      <c r="F64" s="4">
        <v>1558492</v>
      </c>
      <c r="H64" s="4">
        <v>0</v>
      </c>
      <c r="J64" s="4">
        <v>0</v>
      </c>
      <c r="L64" s="4">
        <v>6026405</v>
      </c>
      <c r="N64" s="4">
        <v>0</v>
      </c>
      <c r="P64" s="4">
        <v>0</v>
      </c>
      <c r="R64" s="4">
        <v>0</v>
      </c>
      <c r="T64" s="4">
        <v>406361</v>
      </c>
      <c r="V64" s="4">
        <v>69450</v>
      </c>
      <c r="X64" s="4">
        <v>21251</v>
      </c>
      <c r="Z64" s="4">
        <v>300000</v>
      </c>
      <c r="AB64" s="4">
        <v>0</v>
      </c>
      <c r="AD64" s="4">
        <v>0</v>
      </c>
      <c r="AF64" s="4">
        <f t="shared" si="1"/>
        <v>8381959</v>
      </c>
    </row>
    <row r="65" spans="1:32" s="4" customFormat="1">
      <c r="A65" s="4">
        <v>50</v>
      </c>
      <c r="B65" s="4" t="s">
        <v>399</v>
      </c>
      <c r="D65" s="4" t="s">
        <v>19</v>
      </c>
      <c r="F65" s="4">
        <v>22766194</v>
      </c>
      <c r="H65" s="4">
        <v>0</v>
      </c>
      <c r="J65" s="4">
        <v>0</v>
      </c>
      <c r="L65" s="4">
        <v>40869197</v>
      </c>
      <c r="N65" s="4">
        <v>0</v>
      </c>
      <c r="P65" s="4">
        <v>0</v>
      </c>
      <c r="R65" s="4">
        <v>0</v>
      </c>
      <c r="T65" s="4">
        <v>5511978</v>
      </c>
      <c r="V65" s="4">
        <v>0</v>
      </c>
      <c r="X65" s="4">
        <v>0</v>
      </c>
      <c r="Z65" s="4">
        <v>3029900</v>
      </c>
      <c r="AB65" s="4">
        <v>0</v>
      </c>
      <c r="AD65" s="4">
        <v>0</v>
      </c>
      <c r="AF65" s="4">
        <f t="shared" si="1"/>
        <v>72177269</v>
      </c>
    </row>
    <row r="66" spans="1:32" s="4" customFormat="1">
      <c r="A66" s="4">
        <v>201</v>
      </c>
      <c r="B66" s="4" t="s">
        <v>423</v>
      </c>
      <c r="D66" s="4" t="s">
        <v>93</v>
      </c>
      <c r="F66" s="1">
        <v>291853.43</v>
      </c>
      <c r="G66" s="1"/>
      <c r="H66" s="1">
        <v>56069.73</v>
      </c>
      <c r="I66" s="1"/>
      <c r="J66" s="1">
        <v>75376.27</v>
      </c>
      <c r="K66" s="1"/>
      <c r="L66" s="1">
        <v>68285.48</v>
      </c>
      <c r="M66" s="1"/>
      <c r="N66" s="1">
        <v>0</v>
      </c>
      <c r="O66" s="1"/>
      <c r="P66" s="1">
        <v>14562.76</v>
      </c>
      <c r="Q66" s="1"/>
      <c r="R66" s="1">
        <v>8576.77</v>
      </c>
      <c r="S66" s="1"/>
      <c r="T66" s="1">
        <v>109.99</v>
      </c>
      <c r="U66" s="1"/>
      <c r="V66" s="1">
        <v>56098.84</v>
      </c>
      <c r="W66" s="1"/>
      <c r="X66" s="1">
        <v>19490.82</v>
      </c>
      <c r="Y66" s="1"/>
      <c r="Z66" s="1">
        <v>75590</v>
      </c>
      <c r="AA66" s="1"/>
      <c r="AB66" s="1">
        <v>0</v>
      </c>
      <c r="AC66" s="1"/>
      <c r="AD66" s="1">
        <v>0</v>
      </c>
      <c r="AF66" s="4">
        <f t="shared" si="1"/>
        <v>666014.09</v>
      </c>
    </row>
    <row r="67" spans="1:32" s="4" customFormat="1">
      <c r="A67" s="4">
        <v>158</v>
      </c>
      <c r="B67" s="4" t="s">
        <v>462</v>
      </c>
      <c r="D67" s="4" t="s">
        <v>49</v>
      </c>
      <c r="F67" s="1">
        <v>114680.25</v>
      </c>
      <c r="G67" s="1"/>
      <c r="H67" s="1">
        <v>28600.69</v>
      </c>
      <c r="I67" s="1"/>
      <c r="J67" s="1">
        <v>28919.11</v>
      </c>
      <c r="K67" s="1"/>
      <c r="L67" s="1">
        <v>16566.47</v>
      </c>
      <c r="M67" s="1"/>
      <c r="N67" s="1">
        <v>0</v>
      </c>
      <c r="O67" s="1"/>
      <c r="P67" s="1">
        <v>3802.34</v>
      </c>
      <c r="Q67" s="1"/>
      <c r="R67" s="1">
        <v>1329.05</v>
      </c>
      <c r="S67" s="1"/>
      <c r="T67" s="1">
        <v>212.35</v>
      </c>
      <c r="U67" s="1"/>
      <c r="V67" s="1">
        <v>0</v>
      </c>
      <c r="W67" s="1"/>
      <c r="X67" s="1">
        <v>0</v>
      </c>
      <c r="Y67" s="1"/>
      <c r="Z67" s="1">
        <v>0</v>
      </c>
      <c r="AA67" s="1"/>
      <c r="AB67" s="1">
        <v>0</v>
      </c>
      <c r="AC67" s="1"/>
      <c r="AD67" s="1">
        <v>0</v>
      </c>
      <c r="AF67" s="4">
        <f t="shared" si="1"/>
        <v>194110.25999999998</v>
      </c>
    </row>
    <row r="68" spans="1:32" s="4" customFormat="1">
      <c r="A68" s="4">
        <v>38</v>
      </c>
      <c r="B68" s="4" t="s">
        <v>424</v>
      </c>
      <c r="D68" s="4" t="s">
        <v>50</v>
      </c>
      <c r="F68" s="1">
        <v>347886.09</v>
      </c>
      <c r="G68" s="1"/>
      <c r="H68" s="1">
        <v>79825.240000000005</v>
      </c>
      <c r="I68" s="1"/>
      <c r="J68" s="1">
        <v>96105.600000000006</v>
      </c>
      <c r="K68" s="1"/>
      <c r="L68" s="1">
        <v>136488.6</v>
      </c>
      <c r="M68" s="1"/>
      <c r="N68" s="1">
        <v>0</v>
      </c>
      <c r="O68" s="1"/>
      <c r="P68" s="1">
        <v>17789.060000000001</v>
      </c>
      <c r="Q68" s="1"/>
      <c r="R68" s="1">
        <v>5643.47</v>
      </c>
      <c r="S68" s="1"/>
      <c r="T68" s="1">
        <v>34291.26</v>
      </c>
      <c r="U68" s="1"/>
      <c r="V68" s="1">
        <v>0</v>
      </c>
      <c r="W68" s="1"/>
      <c r="X68" s="1">
        <v>0</v>
      </c>
      <c r="Y68" s="1"/>
      <c r="Z68" s="1">
        <v>0</v>
      </c>
      <c r="AA68" s="1"/>
      <c r="AB68" s="1">
        <v>0</v>
      </c>
      <c r="AC68" s="1"/>
      <c r="AD68" s="1">
        <v>0</v>
      </c>
      <c r="AF68" s="4">
        <f t="shared" si="1"/>
        <v>718029.32000000007</v>
      </c>
    </row>
    <row r="69" spans="1:32" s="4" customFormat="1">
      <c r="A69" s="4">
        <v>76</v>
      </c>
      <c r="B69" s="4" t="s">
        <v>117</v>
      </c>
      <c r="D69" s="4" t="s">
        <v>91</v>
      </c>
      <c r="F69" s="4">
        <v>25242365</v>
      </c>
      <c r="H69" s="4">
        <v>5235087</v>
      </c>
      <c r="J69" s="4">
        <v>9265584</v>
      </c>
      <c r="L69" s="4">
        <v>5444970</v>
      </c>
      <c r="N69" s="4">
        <v>0</v>
      </c>
      <c r="P69" s="4">
        <v>1065443</v>
      </c>
      <c r="R69" s="4">
        <v>1177829</v>
      </c>
      <c r="T69" s="4">
        <v>1907590</v>
      </c>
      <c r="V69" s="4">
        <v>0</v>
      </c>
      <c r="X69" s="4">
        <v>0</v>
      </c>
      <c r="Z69" s="4">
        <v>0</v>
      </c>
      <c r="AB69" s="4">
        <v>0</v>
      </c>
      <c r="AD69" s="4">
        <v>0</v>
      </c>
      <c r="AF69" s="4">
        <f t="shared" si="1"/>
        <v>49338868</v>
      </c>
    </row>
    <row r="70" spans="1:32" s="4" customFormat="1">
      <c r="A70" s="4">
        <v>63</v>
      </c>
      <c r="B70" s="4" t="s">
        <v>425</v>
      </c>
      <c r="D70" s="4" t="s">
        <v>69</v>
      </c>
      <c r="F70" s="1">
        <v>380610.84</v>
      </c>
      <c r="G70" s="1"/>
      <c r="H70" s="1">
        <v>117127.89</v>
      </c>
      <c r="I70" s="1"/>
      <c r="J70" s="1">
        <v>105139.68</v>
      </c>
      <c r="K70" s="1"/>
      <c r="L70" s="1">
        <v>30985.119999999999</v>
      </c>
      <c r="M70" s="1"/>
      <c r="N70" s="1">
        <v>0</v>
      </c>
      <c r="O70" s="1"/>
      <c r="P70" s="1">
        <v>9284.8700000000008</v>
      </c>
      <c r="Q70" s="1"/>
      <c r="R70" s="1">
        <v>1636</v>
      </c>
      <c r="S70" s="1"/>
      <c r="T70" s="1">
        <v>20994.99</v>
      </c>
      <c r="U70" s="1"/>
      <c r="V70" s="1">
        <v>0</v>
      </c>
      <c r="W70" s="1"/>
      <c r="X70" s="1">
        <v>0</v>
      </c>
      <c r="Y70" s="1"/>
      <c r="Z70" s="1">
        <v>42000</v>
      </c>
      <c r="AA70" s="1"/>
      <c r="AB70" s="1">
        <v>0</v>
      </c>
      <c r="AC70" s="1"/>
      <c r="AD70" s="1">
        <v>0</v>
      </c>
      <c r="AF70" s="4">
        <f t="shared" si="1"/>
        <v>707779.39</v>
      </c>
    </row>
    <row r="71" spans="1:32" s="4" customFormat="1">
      <c r="A71" s="4">
        <v>10</v>
      </c>
      <c r="B71" s="4" t="s">
        <v>118</v>
      </c>
      <c r="D71" s="4" t="s">
        <v>42</v>
      </c>
      <c r="F71" s="4">
        <v>364796</v>
      </c>
      <c r="H71" s="4">
        <v>105063</v>
      </c>
      <c r="J71" s="4">
        <v>46807</v>
      </c>
      <c r="L71" s="4">
        <v>38015</v>
      </c>
      <c r="N71" s="4">
        <v>0</v>
      </c>
      <c r="P71" s="4">
        <v>20675</v>
      </c>
      <c r="R71" s="4">
        <v>6270</v>
      </c>
      <c r="T71" s="4">
        <v>14985</v>
      </c>
      <c r="V71" s="4">
        <v>0</v>
      </c>
      <c r="X71" s="4">
        <v>0</v>
      </c>
      <c r="Z71" s="4">
        <v>0</v>
      </c>
      <c r="AB71" s="4">
        <v>0</v>
      </c>
      <c r="AD71" s="4">
        <v>0</v>
      </c>
      <c r="AF71" s="4">
        <f t="shared" si="1"/>
        <v>596611</v>
      </c>
    </row>
    <row r="72" spans="1:32" s="4" customFormat="1">
      <c r="A72" s="4">
        <v>45</v>
      </c>
      <c r="B72" s="4" t="s">
        <v>119</v>
      </c>
      <c r="D72" s="4" t="s">
        <v>120</v>
      </c>
      <c r="F72" s="4">
        <v>781024</v>
      </c>
      <c r="H72" s="4">
        <v>238866</v>
      </c>
      <c r="J72" s="4">
        <v>218170</v>
      </c>
      <c r="L72" s="4">
        <v>125376</v>
      </c>
      <c r="N72" s="4">
        <v>0</v>
      </c>
      <c r="P72" s="4">
        <v>23939</v>
      </c>
      <c r="R72" s="4">
        <v>4997</v>
      </c>
      <c r="T72" s="4">
        <v>22206</v>
      </c>
      <c r="V72" s="4">
        <v>0</v>
      </c>
      <c r="X72" s="4">
        <v>0</v>
      </c>
      <c r="Z72" s="4">
        <v>55953</v>
      </c>
      <c r="AB72" s="4">
        <v>0</v>
      </c>
      <c r="AD72" s="4">
        <v>0</v>
      </c>
      <c r="AF72" s="4">
        <f t="shared" si="1"/>
        <v>1470531</v>
      </c>
    </row>
    <row r="73" spans="1:32" s="4" customFormat="1">
      <c r="A73" s="4">
        <v>47</v>
      </c>
      <c r="B73" s="4" t="s">
        <v>121</v>
      </c>
      <c r="D73" s="4" t="s">
        <v>51</v>
      </c>
      <c r="F73" s="1">
        <v>219476.42</v>
      </c>
      <c r="G73" s="1"/>
      <c r="H73" s="1">
        <v>37084.199999999997</v>
      </c>
      <c r="I73" s="1"/>
      <c r="J73" s="1">
        <v>85887.61</v>
      </c>
      <c r="K73" s="1"/>
      <c r="L73" s="1">
        <v>92716.63</v>
      </c>
      <c r="M73" s="1"/>
      <c r="N73" s="1">
        <v>0</v>
      </c>
      <c r="O73" s="1"/>
      <c r="P73" s="1">
        <v>20085.650000000001</v>
      </c>
      <c r="Q73" s="1"/>
      <c r="R73" s="1">
        <v>2619.88</v>
      </c>
      <c r="S73" s="1"/>
      <c r="T73" s="1">
        <v>3990.03</v>
      </c>
      <c r="U73" s="1"/>
      <c r="V73" s="1">
        <v>0</v>
      </c>
      <c r="W73" s="1"/>
      <c r="X73" s="1">
        <v>0</v>
      </c>
      <c r="Y73" s="1"/>
      <c r="Z73" s="1">
        <v>0</v>
      </c>
      <c r="AA73" s="1"/>
      <c r="AB73" s="1">
        <v>0</v>
      </c>
      <c r="AC73" s="1"/>
      <c r="AD73" s="1">
        <v>0</v>
      </c>
      <c r="AF73" s="4">
        <f t="shared" ref="AF73:AF84" si="3">SUM(F73:AD73)</f>
        <v>461860.42000000004</v>
      </c>
    </row>
    <row r="74" spans="1:32" s="4" customFormat="1">
      <c r="A74" s="4">
        <v>51</v>
      </c>
      <c r="B74" s="4" t="s">
        <v>543</v>
      </c>
      <c r="D74" s="4" t="s">
        <v>19</v>
      </c>
      <c r="F74" s="4">
        <f>3213683+12815616</f>
        <v>16029299</v>
      </c>
      <c r="H74" s="4">
        <v>0</v>
      </c>
      <c r="J74" s="4">
        <v>0</v>
      </c>
      <c r="L74" s="4">
        <v>41484911</v>
      </c>
      <c r="N74" s="4">
        <v>5584429</v>
      </c>
      <c r="P74" s="4">
        <v>0</v>
      </c>
      <c r="R74" s="4">
        <v>0</v>
      </c>
      <c r="T74" s="4">
        <v>1014757</v>
      </c>
      <c r="V74" s="4">
        <v>0</v>
      </c>
      <c r="X74" s="4">
        <v>0</v>
      </c>
      <c r="Z74" s="4">
        <v>10125000</v>
      </c>
      <c r="AB74" s="4">
        <v>0</v>
      </c>
      <c r="AD74" s="4">
        <v>750</v>
      </c>
      <c r="AF74" s="4">
        <f t="shared" si="3"/>
        <v>74239146</v>
      </c>
    </row>
    <row r="75" spans="1:32" s="4" customFormat="1">
      <c r="B75" s="4" t="s">
        <v>566</v>
      </c>
      <c r="D75" s="4" t="s">
        <v>22</v>
      </c>
      <c r="F75" s="4">
        <v>1121219</v>
      </c>
      <c r="H75" s="4">
        <v>298532</v>
      </c>
      <c r="J75" s="4">
        <v>430876</v>
      </c>
      <c r="L75" s="4">
        <v>425771</v>
      </c>
      <c r="N75" s="4">
        <v>0</v>
      </c>
      <c r="P75" s="4">
        <v>49626</v>
      </c>
      <c r="R75" s="4">
        <v>19178</v>
      </c>
      <c r="T75" s="4">
        <v>54546</v>
      </c>
      <c r="V75" s="4">
        <v>0</v>
      </c>
      <c r="X75" s="4">
        <v>0</v>
      </c>
      <c r="Z75" s="4">
        <v>0</v>
      </c>
      <c r="AB75" s="4">
        <v>0</v>
      </c>
      <c r="AD75" s="4">
        <v>0</v>
      </c>
      <c r="AF75" s="4">
        <f t="shared" si="3"/>
        <v>2399748</v>
      </c>
    </row>
    <row r="76" spans="1:32" s="4" customFormat="1">
      <c r="A76" s="4">
        <v>169</v>
      </c>
      <c r="B76" s="4" t="s">
        <v>122</v>
      </c>
      <c r="D76" s="4" t="s">
        <v>54</v>
      </c>
      <c r="F76" s="4">
        <f>5730793+2827064</f>
        <v>8557857</v>
      </c>
      <c r="H76" s="4">
        <v>0</v>
      </c>
      <c r="J76" s="4">
        <v>0</v>
      </c>
      <c r="L76" s="4">
        <f>16761226+890633</f>
        <v>17651859</v>
      </c>
      <c r="N76" s="4">
        <v>493175</v>
      </c>
      <c r="P76" s="4">
        <v>0</v>
      </c>
      <c r="R76" s="4">
        <v>0</v>
      </c>
      <c r="T76" s="4">
        <v>555198</v>
      </c>
      <c r="V76" s="4">
        <v>0</v>
      </c>
      <c r="X76" s="4">
        <v>0</v>
      </c>
      <c r="Z76" s="4">
        <v>134294</v>
      </c>
      <c r="AB76" s="4">
        <v>0</v>
      </c>
      <c r="AD76" s="4">
        <v>0</v>
      </c>
      <c r="AF76" s="4">
        <f t="shared" si="3"/>
        <v>27392383</v>
      </c>
    </row>
    <row r="77" spans="1:32" s="4" customFormat="1">
      <c r="A77" s="4">
        <v>62</v>
      </c>
      <c r="B77" s="4" t="s">
        <v>123</v>
      </c>
      <c r="D77" s="4" t="s">
        <v>124</v>
      </c>
      <c r="F77" s="4">
        <v>818114</v>
      </c>
      <c r="H77" s="4">
        <v>212141</v>
      </c>
      <c r="J77" s="4">
        <v>360113</v>
      </c>
      <c r="L77" s="4">
        <v>191623</v>
      </c>
      <c r="N77" s="4">
        <v>0</v>
      </c>
      <c r="P77" s="4">
        <v>37505</v>
      </c>
      <c r="R77" s="4">
        <v>9836</v>
      </c>
      <c r="T77" s="4">
        <v>71511</v>
      </c>
      <c r="V77" s="4">
        <v>0</v>
      </c>
      <c r="X77" s="4">
        <v>0</v>
      </c>
      <c r="Z77" s="4">
        <v>0</v>
      </c>
      <c r="AB77" s="4">
        <v>0</v>
      </c>
      <c r="AD77" s="4">
        <v>0</v>
      </c>
      <c r="AF77" s="4">
        <f t="shared" si="3"/>
        <v>1700843</v>
      </c>
    </row>
    <row r="78" spans="1:32" s="4" customFormat="1">
      <c r="A78" s="4">
        <v>64</v>
      </c>
      <c r="B78" s="4" t="s">
        <v>125</v>
      </c>
      <c r="D78" s="4" t="s">
        <v>69</v>
      </c>
      <c r="F78" s="4">
        <v>1656217</v>
      </c>
      <c r="H78" s="4">
        <v>0</v>
      </c>
      <c r="J78" s="4">
        <v>792055</v>
      </c>
      <c r="L78" s="4">
        <v>285596</v>
      </c>
      <c r="N78" s="4">
        <v>0</v>
      </c>
      <c r="P78" s="4">
        <v>71085</v>
      </c>
      <c r="R78" s="4">
        <v>4340</v>
      </c>
      <c r="T78" s="4">
        <v>562417</v>
      </c>
      <c r="V78" s="4">
        <v>195000</v>
      </c>
      <c r="X78" s="4">
        <v>18285</v>
      </c>
      <c r="Z78" s="4">
        <v>0</v>
      </c>
      <c r="AB78" s="4">
        <v>0</v>
      </c>
      <c r="AD78" s="4">
        <v>0</v>
      </c>
      <c r="AF78" s="4">
        <f t="shared" si="3"/>
        <v>3584995</v>
      </c>
    </row>
    <row r="79" spans="1:32" s="4" customFormat="1">
      <c r="A79" s="4">
        <v>4</v>
      </c>
      <c r="B79" s="4" t="s">
        <v>126</v>
      </c>
      <c r="D79" s="4" t="s">
        <v>96</v>
      </c>
      <c r="F79" s="1">
        <v>264206.65000000002</v>
      </c>
      <c r="G79" s="1"/>
      <c r="H79" s="1">
        <v>41166.339999999997</v>
      </c>
      <c r="I79" s="1"/>
      <c r="J79" s="1">
        <v>63535.22</v>
      </c>
      <c r="K79" s="1"/>
      <c r="L79" s="1">
        <v>111124.83</v>
      </c>
      <c r="M79" s="1"/>
      <c r="N79" s="1">
        <v>0</v>
      </c>
      <c r="O79" s="1"/>
      <c r="P79" s="1">
        <v>21596.3</v>
      </c>
      <c r="Q79" s="1"/>
      <c r="R79" s="1">
        <v>4869</v>
      </c>
      <c r="S79" s="1"/>
      <c r="T79" s="1">
        <v>0</v>
      </c>
      <c r="U79" s="1"/>
      <c r="V79" s="1">
        <v>0</v>
      </c>
      <c r="W79" s="1"/>
      <c r="X79" s="1">
        <v>0</v>
      </c>
      <c r="Y79" s="1"/>
      <c r="Z79" s="1">
        <v>0</v>
      </c>
      <c r="AA79" s="1"/>
      <c r="AB79" s="1">
        <v>0</v>
      </c>
      <c r="AC79" s="1"/>
      <c r="AD79" s="1">
        <v>0</v>
      </c>
      <c r="AF79" s="4">
        <f t="shared" si="3"/>
        <v>506498.33999999997</v>
      </c>
    </row>
    <row r="80" spans="1:32" s="4" customFormat="1">
      <c r="A80" s="4">
        <v>83</v>
      </c>
      <c r="B80" s="4" t="s">
        <v>127</v>
      </c>
      <c r="D80" s="4" t="s">
        <v>41</v>
      </c>
      <c r="F80" s="1">
        <v>262688.07</v>
      </c>
      <c r="G80" s="1"/>
      <c r="H80" s="1">
        <v>49457.599999999999</v>
      </c>
      <c r="I80" s="1"/>
      <c r="J80" s="1">
        <v>46489.440000000002</v>
      </c>
      <c r="K80" s="1"/>
      <c r="L80" s="1">
        <v>62701.7</v>
      </c>
      <c r="M80" s="1"/>
      <c r="N80" s="1">
        <v>0</v>
      </c>
      <c r="O80" s="1"/>
      <c r="P80" s="1">
        <v>11116.77</v>
      </c>
      <c r="Q80" s="1"/>
      <c r="R80" s="1">
        <v>3120</v>
      </c>
      <c r="S80" s="1"/>
      <c r="T80" s="1">
        <v>19736.79</v>
      </c>
      <c r="U80" s="1"/>
      <c r="V80" s="1">
        <v>0</v>
      </c>
      <c r="W80" s="1"/>
      <c r="X80" s="1">
        <v>0</v>
      </c>
      <c r="Y80" s="1"/>
      <c r="Z80" s="1">
        <v>0</v>
      </c>
      <c r="AA80" s="1"/>
      <c r="AB80" s="1">
        <v>0</v>
      </c>
      <c r="AC80" s="1"/>
      <c r="AD80" s="1">
        <v>0</v>
      </c>
      <c r="AF80" s="4">
        <f t="shared" si="3"/>
        <v>455310.37</v>
      </c>
    </row>
    <row r="81" spans="1:32" s="4" customFormat="1">
      <c r="A81" s="4">
        <v>258</v>
      </c>
      <c r="B81" s="4" t="s">
        <v>128</v>
      </c>
      <c r="D81" s="13" t="s">
        <v>62</v>
      </c>
      <c r="F81" s="4">
        <v>162053</v>
      </c>
      <c r="H81" s="4">
        <v>78564</v>
      </c>
      <c r="J81" s="4">
        <v>33585</v>
      </c>
      <c r="L81" s="4">
        <v>32000</v>
      </c>
      <c r="N81" s="4">
        <v>0</v>
      </c>
      <c r="P81" s="4">
        <v>4467</v>
      </c>
      <c r="R81" s="4">
        <v>9716</v>
      </c>
      <c r="T81" s="4">
        <v>1450</v>
      </c>
      <c r="V81" s="4">
        <v>0</v>
      </c>
      <c r="X81" s="4">
        <v>0</v>
      </c>
      <c r="Z81" s="4">
        <v>0</v>
      </c>
      <c r="AB81" s="4">
        <v>0</v>
      </c>
      <c r="AD81" s="4">
        <v>0</v>
      </c>
      <c r="AF81" s="4">
        <f t="shared" si="3"/>
        <v>321835</v>
      </c>
    </row>
    <row r="82" spans="1:32" s="4" customFormat="1">
      <c r="A82" s="4">
        <v>232</v>
      </c>
      <c r="B82" s="4" t="s">
        <v>129</v>
      </c>
      <c r="D82" s="4" t="s">
        <v>26</v>
      </c>
      <c r="F82" s="4">
        <v>410357</v>
      </c>
      <c r="H82" s="4">
        <v>80215</v>
      </c>
      <c r="J82" s="4">
        <v>76497</v>
      </c>
      <c r="L82" s="4">
        <v>114475</v>
      </c>
      <c r="N82" s="4">
        <v>0</v>
      </c>
      <c r="P82" s="4">
        <v>12495</v>
      </c>
      <c r="R82" s="4">
        <v>5133</v>
      </c>
      <c r="T82" s="4">
        <v>3389</v>
      </c>
      <c r="V82" s="4">
        <v>0</v>
      </c>
      <c r="X82" s="4">
        <v>0</v>
      </c>
      <c r="Z82" s="4">
        <v>0</v>
      </c>
      <c r="AB82" s="4">
        <v>0</v>
      </c>
      <c r="AD82" s="4">
        <v>0</v>
      </c>
      <c r="AF82" s="4">
        <f t="shared" si="3"/>
        <v>702561</v>
      </c>
    </row>
    <row r="83" spans="1:32" s="4" customFormat="1">
      <c r="A83" s="4">
        <v>88</v>
      </c>
      <c r="B83" s="4" t="s">
        <v>333</v>
      </c>
      <c r="D83" s="4" t="s">
        <v>130</v>
      </c>
      <c r="F83" s="1">
        <v>526010.73</v>
      </c>
      <c r="G83" s="1"/>
      <c r="H83" s="1">
        <v>171666.38</v>
      </c>
      <c r="I83" s="1"/>
      <c r="J83" s="1">
        <v>140459.01</v>
      </c>
      <c r="K83" s="1"/>
      <c r="L83" s="1">
        <v>188038.7</v>
      </c>
      <c r="M83" s="1"/>
      <c r="N83" s="1">
        <v>0</v>
      </c>
      <c r="O83" s="1"/>
      <c r="P83" s="1">
        <v>34114.480000000003</v>
      </c>
      <c r="Q83" s="1"/>
      <c r="R83" s="1">
        <v>7073.27</v>
      </c>
      <c r="S83" s="1"/>
      <c r="T83" s="1">
        <v>70068.009999999995</v>
      </c>
      <c r="U83" s="1"/>
      <c r="V83" s="1">
        <v>0</v>
      </c>
      <c r="W83" s="1"/>
      <c r="X83" s="1">
        <v>0</v>
      </c>
      <c r="Y83" s="1"/>
      <c r="Z83" s="1">
        <v>250000</v>
      </c>
      <c r="AA83" s="1"/>
      <c r="AB83" s="1">
        <v>0</v>
      </c>
      <c r="AC83" s="1"/>
      <c r="AD83" s="1">
        <v>0</v>
      </c>
      <c r="AF83" s="4">
        <f t="shared" si="3"/>
        <v>1387430.58</v>
      </c>
    </row>
    <row r="84" spans="1:32" s="4" customFormat="1">
      <c r="A84" s="4">
        <v>138</v>
      </c>
      <c r="B84" s="4" t="s">
        <v>131</v>
      </c>
      <c r="D84" s="4" t="s">
        <v>86</v>
      </c>
      <c r="F84" s="4">
        <v>27764</v>
      </c>
      <c r="H84" s="4">
        <v>3671</v>
      </c>
      <c r="J84" s="4">
        <v>11100</v>
      </c>
      <c r="L84" s="4">
        <v>11023</v>
      </c>
      <c r="N84" s="4">
        <v>0</v>
      </c>
      <c r="P84" s="4">
        <v>2462</v>
      </c>
      <c r="R84" s="4">
        <v>12409</v>
      </c>
      <c r="T84" s="4">
        <v>0</v>
      </c>
      <c r="V84" s="4">
        <v>0</v>
      </c>
      <c r="X84" s="4">
        <v>0</v>
      </c>
      <c r="Z84" s="4">
        <v>0</v>
      </c>
      <c r="AB84" s="4">
        <v>0</v>
      </c>
      <c r="AD84" s="4">
        <v>0</v>
      </c>
      <c r="AF84" s="4">
        <f t="shared" si="3"/>
        <v>68429</v>
      </c>
    </row>
    <row r="85" spans="1:32" s="4" customFormat="1"/>
    <row r="86" spans="1:32">
      <c r="B86" s="3" t="s">
        <v>494</v>
      </c>
    </row>
    <row r="87" spans="1:32">
      <c r="B87" s="3" t="s">
        <v>565</v>
      </c>
    </row>
    <row r="88" spans="1:32">
      <c r="B88" s="24" t="s">
        <v>7</v>
      </c>
    </row>
    <row r="90" spans="1:32" s="19" customFormat="1">
      <c r="B90" s="24"/>
      <c r="L90" s="19" t="s">
        <v>8</v>
      </c>
    </row>
    <row r="91" spans="1:32" s="19" customFormat="1">
      <c r="J91" s="19" t="s">
        <v>320</v>
      </c>
      <c r="L91" s="19" t="s">
        <v>502</v>
      </c>
      <c r="N91" s="19" t="s">
        <v>501</v>
      </c>
      <c r="X91" s="19" t="s">
        <v>327</v>
      </c>
      <c r="AD91" s="19" t="s">
        <v>0</v>
      </c>
    </row>
    <row r="92" spans="1:32" s="19" customFormat="1">
      <c r="H92" s="19" t="s">
        <v>318</v>
      </c>
      <c r="J92" s="19" t="s">
        <v>321</v>
      </c>
      <c r="L92" s="19" t="s">
        <v>322</v>
      </c>
      <c r="N92" s="19" t="s">
        <v>499</v>
      </c>
      <c r="T92" s="19" t="s">
        <v>30</v>
      </c>
      <c r="V92" s="19" t="s">
        <v>325</v>
      </c>
      <c r="X92" s="19" t="s">
        <v>328</v>
      </c>
      <c r="AD92" s="19" t="s">
        <v>293</v>
      </c>
    </row>
    <row r="93" spans="1:32" s="19" customFormat="1" ht="12" customHeight="1">
      <c r="A93" s="19" t="s">
        <v>525</v>
      </c>
      <c r="B93" s="20" t="s">
        <v>8</v>
      </c>
      <c r="C93" s="28"/>
      <c r="D93" s="20" t="s">
        <v>6</v>
      </c>
      <c r="E93" s="28"/>
      <c r="F93" s="20" t="s">
        <v>2</v>
      </c>
      <c r="G93" s="28"/>
      <c r="H93" s="20" t="s">
        <v>508</v>
      </c>
      <c r="I93" s="28"/>
      <c r="J93" s="20" t="s">
        <v>29</v>
      </c>
      <c r="K93" s="28"/>
      <c r="L93" s="20" t="s">
        <v>323</v>
      </c>
      <c r="M93" s="28"/>
      <c r="N93" s="20" t="s">
        <v>500</v>
      </c>
      <c r="O93" s="28"/>
      <c r="P93" s="20" t="s">
        <v>4</v>
      </c>
      <c r="Q93" s="28"/>
      <c r="R93" s="20" t="s">
        <v>0</v>
      </c>
      <c r="S93" s="28"/>
      <c r="T93" s="20" t="s">
        <v>324</v>
      </c>
      <c r="U93" s="28"/>
      <c r="V93" s="20" t="s">
        <v>326</v>
      </c>
      <c r="W93" s="28"/>
      <c r="X93" s="20" t="s">
        <v>329</v>
      </c>
      <c r="Y93" s="28"/>
      <c r="Z93" s="20" t="s">
        <v>476</v>
      </c>
      <c r="AA93" s="28"/>
      <c r="AB93" s="20" t="s">
        <v>477</v>
      </c>
      <c r="AC93" s="28"/>
      <c r="AD93" s="20" t="s">
        <v>330</v>
      </c>
      <c r="AE93" s="28"/>
      <c r="AF93" s="29" t="s">
        <v>28</v>
      </c>
    </row>
    <row r="94" spans="1:32" s="4" customFormat="1">
      <c r="A94" s="4">
        <v>52</v>
      </c>
      <c r="B94" s="4" t="s">
        <v>426</v>
      </c>
      <c r="D94" s="4" t="s">
        <v>19</v>
      </c>
      <c r="F94" s="2">
        <v>1607130.53</v>
      </c>
      <c r="G94" s="2"/>
      <c r="H94" s="2">
        <v>585201.11</v>
      </c>
      <c r="I94" s="2"/>
      <c r="J94" s="2">
        <v>542998.88</v>
      </c>
      <c r="K94" s="2"/>
      <c r="L94" s="2">
        <v>107074.77</v>
      </c>
      <c r="M94" s="2"/>
      <c r="N94" s="2">
        <v>0</v>
      </c>
      <c r="O94" s="2"/>
      <c r="P94" s="2">
        <v>44439.22</v>
      </c>
      <c r="Q94" s="2"/>
      <c r="R94" s="2">
        <v>28455.41</v>
      </c>
      <c r="S94" s="2"/>
      <c r="T94" s="2">
        <v>18527.03</v>
      </c>
      <c r="U94" s="2"/>
      <c r="V94" s="2">
        <v>0</v>
      </c>
      <c r="W94" s="2"/>
      <c r="X94" s="2">
        <v>0</v>
      </c>
      <c r="Y94" s="2"/>
      <c r="Z94" s="2">
        <v>0</v>
      </c>
      <c r="AA94" s="2"/>
      <c r="AB94" s="2">
        <v>0</v>
      </c>
      <c r="AC94" s="2"/>
      <c r="AD94" s="2">
        <v>0</v>
      </c>
      <c r="AE94" s="5"/>
      <c r="AF94" s="5">
        <f t="shared" ref="AF94" si="4">SUM(F94:AD94)</f>
        <v>2933826.95</v>
      </c>
    </row>
    <row r="95" spans="1:32" s="4" customFormat="1">
      <c r="A95" s="4">
        <v>39</v>
      </c>
      <c r="B95" s="3" t="s">
        <v>514</v>
      </c>
      <c r="C95" s="3"/>
      <c r="D95" s="3" t="s">
        <v>50</v>
      </c>
      <c r="E95" s="3"/>
      <c r="F95" s="1">
        <v>349108.39</v>
      </c>
      <c r="G95" s="1"/>
      <c r="H95" s="1">
        <v>183953.66</v>
      </c>
      <c r="I95" s="1"/>
      <c r="J95" s="1">
        <v>59737.3</v>
      </c>
      <c r="K95" s="1"/>
      <c r="L95" s="1">
        <v>78613.72</v>
      </c>
      <c r="M95" s="1"/>
      <c r="N95" s="1">
        <v>0</v>
      </c>
      <c r="O95" s="1"/>
      <c r="P95" s="1">
        <v>7316.92</v>
      </c>
      <c r="Q95" s="1"/>
      <c r="R95" s="1">
        <v>8564.48</v>
      </c>
      <c r="S95" s="1"/>
      <c r="T95" s="1">
        <v>1635.3</v>
      </c>
      <c r="U95" s="1"/>
      <c r="V95" s="1">
        <v>0</v>
      </c>
      <c r="W95" s="1"/>
      <c r="X95" s="1">
        <v>0</v>
      </c>
      <c r="Y95" s="1"/>
      <c r="Z95" s="1">
        <v>0</v>
      </c>
      <c r="AA95" s="1"/>
      <c r="AB95" s="1">
        <v>0</v>
      </c>
      <c r="AC95" s="1"/>
      <c r="AD95" s="1">
        <v>0</v>
      </c>
      <c r="AE95" s="5"/>
      <c r="AF95" s="5">
        <f t="shared" ref="AF95:AF127" si="5">SUM(F95:AD95)</f>
        <v>688929.77000000014</v>
      </c>
    </row>
    <row r="96" spans="1:32" s="4" customFormat="1">
      <c r="A96" s="4">
        <v>40</v>
      </c>
      <c r="B96" s="4" t="s">
        <v>132</v>
      </c>
      <c r="D96" s="4" t="s">
        <v>50</v>
      </c>
      <c r="F96" s="1">
        <v>214455.67999999999</v>
      </c>
      <c r="G96" s="1"/>
      <c r="H96" s="1">
        <v>72261.740000000005</v>
      </c>
      <c r="I96" s="1"/>
      <c r="J96" s="1">
        <v>40802.980000000003</v>
      </c>
      <c r="K96" s="1"/>
      <c r="L96" s="1">
        <v>43797.73</v>
      </c>
      <c r="M96" s="1"/>
      <c r="N96" s="1">
        <v>0</v>
      </c>
      <c r="O96" s="1"/>
      <c r="P96" s="1">
        <v>13383.93</v>
      </c>
      <c r="Q96" s="1"/>
      <c r="R96" s="1">
        <v>451.86</v>
      </c>
      <c r="S96" s="1"/>
      <c r="T96" s="1">
        <v>390.19</v>
      </c>
      <c r="U96" s="1"/>
      <c r="V96" s="1">
        <v>0</v>
      </c>
      <c r="W96" s="1"/>
      <c r="X96" s="1">
        <v>0</v>
      </c>
      <c r="Y96" s="1"/>
      <c r="Z96" s="1">
        <v>0</v>
      </c>
      <c r="AA96" s="1"/>
      <c r="AB96" s="1">
        <v>0</v>
      </c>
      <c r="AC96" s="1"/>
      <c r="AD96" s="1">
        <v>0</v>
      </c>
      <c r="AF96" s="4">
        <f t="shared" si="5"/>
        <v>385544.10999999993</v>
      </c>
    </row>
    <row r="97" spans="1:32" s="4" customFormat="1">
      <c r="A97" s="4">
        <v>155</v>
      </c>
      <c r="B97" s="4" t="s">
        <v>400</v>
      </c>
      <c r="D97" s="4" t="s">
        <v>20</v>
      </c>
      <c r="F97" s="4">
        <f>397126+600433</f>
        <v>997559</v>
      </c>
      <c r="H97" s="4">
        <v>0</v>
      </c>
      <c r="J97" s="4">
        <v>0</v>
      </c>
      <c r="L97" s="4">
        <f>740316+211974</f>
        <v>952290</v>
      </c>
      <c r="N97" s="4">
        <v>208219</v>
      </c>
      <c r="P97" s="4">
        <v>0</v>
      </c>
      <c r="R97" s="4">
        <v>0</v>
      </c>
      <c r="T97" s="4">
        <v>139468</v>
      </c>
      <c r="V97" s="4">
        <v>0</v>
      </c>
      <c r="X97" s="4">
        <v>0</v>
      </c>
      <c r="Z97" s="4">
        <v>0</v>
      </c>
      <c r="AB97" s="4">
        <v>0</v>
      </c>
      <c r="AD97" s="4">
        <v>0</v>
      </c>
      <c r="AF97" s="4">
        <f t="shared" si="5"/>
        <v>2297536</v>
      </c>
    </row>
    <row r="98" spans="1:32" s="4" customFormat="1">
      <c r="A98" s="4">
        <v>142</v>
      </c>
      <c r="B98" s="4" t="s">
        <v>133</v>
      </c>
      <c r="D98" s="4" t="s">
        <v>56</v>
      </c>
      <c r="F98" s="4">
        <v>1934664</v>
      </c>
      <c r="H98" s="4">
        <v>566044</v>
      </c>
      <c r="J98" s="4">
        <v>532968</v>
      </c>
      <c r="L98" s="4">
        <v>409522</v>
      </c>
      <c r="N98" s="4">
        <v>0</v>
      </c>
      <c r="P98" s="4">
        <v>73535</v>
      </c>
      <c r="R98" s="4">
        <v>16827</v>
      </c>
      <c r="T98" s="4">
        <v>10730</v>
      </c>
      <c r="V98" s="4">
        <v>0</v>
      </c>
      <c r="X98" s="4">
        <v>0</v>
      </c>
      <c r="Z98" s="4">
        <v>0</v>
      </c>
      <c r="AB98" s="4">
        <v>0</v>
      </c>
      <c r="AD98" s="4">
        <v>0</v>
      </c>
      <c r="AF98" s="4">
        <f t="shared" si="5"/>
        <v>3544290</v>
      </c>
    </row>
    <row r="99" spans="1:32" s="4" customFormat="1">
      <c r="A99" s="4">
        <v>53</v>
      </c>
      <c r="B99" s="4" t="s">
        <v>18</v>
      </c>
      <c r="D99" s="4" t="s">
        <v>19</v>
      </c>
      <c r="F99" s="4">
        <v>3431472</v>
      </c>
      <c r="H99" s="4">
        <v>0</v>
      </c>
      <c r="J99" s="4">
        <v>614544</v>
      </c>
      <c r="L99" s="4">
        <v>799770</v>
      </c>
      <c r="N99" s="4">
        <v>0</v>
      </c>
      <c r="P99" s="4">
        <v>94984</v>
      </c>
      <c r="R99" s="4">
        <v>14382</v>
      </c>
      <c r="T99" s="4">
        <v>127668</v>
      </c>
      <c r="V99" s="4">
        <v>0</v>
      </c>
      <c r="X99" s="4">
        <v>0</v>
      </c>
      <c r="Z99" s="4">
        <v>0</v>
      </c>
      <c r="AB99" s="4">
        <v>0</v>
      </c>
      <c r="AD99" s="4">
        <v>0</v>
      </c>
      <c r="AF99" s="4">
        <f t="shared" si="5"/>
        <v>5082820</v>
      </c>
    </row>
    <row r="100" spans="1:32" s="4" customFormat="1">
      <c r="A100" s="4">
        <v>84</v>
      </c>
      <c r="B100" s="4" t="s">
        <v>134</v>
      </c>
      <c r="D100" s="4" t="s">
        <v>41</v>
      </c>
      <c r="F100" s="1">
        <v>147493.6</v>
      </c>
      <c r="G100" s="1"/>
      <c r="H100" s="1">
        <v>38146.15</v>
      </c>
      <c r="I100" s="1"/>
      <c r="J100" s="1">
        <v>46510.080000000002</v>
      </c>
      <c r="K100" s="1"/>
      <c r="L100" s="1">
        <v>21840.49</v>
      </c>
      <c r="M100" s="1"/>
      <c r="N100" s="1">
        <v>0</v>
      </c>
      <c r="O100" s="1"/>
      <c r="P100" s="1">
        <v>19363.78</v>
      </c>
      <c r="Q100" s="1"/>
      <c r="R100" s="1">
        <v>3814</v>
      </c>
      <c r="S100" s="1"/>
      <c r="T100" s="1">
        <v>5309.62</v>
      </c>
      <c r="U100" s="1"/>
      <c r="V100" s="1">
        <v>0</v>
      </c>
      <c r="W100" s="1"/>
      <c r="X100" s="1">
        <v>0</v>
      </c>
      <c r="Y100" s="1"/>
      <c r="Z100" s="1">
        <v>0</v>
      </c>
      <c r="AA100" s="1"/>
      <c r="AB100" s="1">
        <v>0</v>
      </c>
      <c r="AC100" s="1"/>
      <c r="AD100" s="1">
        <v>0</v>
      </c>
      <c r="AF100" s="4">
        <f t="shared" si="5"/>
        <v>282477.71999999997</v>
      </c>
    </row>
    <row r="101" spans="1:32" s="4" customFormat="1">
      <c r="A101" s="4">
        <v>70</v>
      </c>
      <c r="B101" s="4" t="s">
        <v>408</v>
      </c>
      <c r="D101" s="4" t="s">
        <v>66</v>
      </c>
      <c r="F101" s="4">
        <v>1656782</v>
      </c>
      <c r="H101" s="4">
        <v>490650</v>
      </c>
      <c r="J101" s="4">
        <v>630370</v>
      </c>
      <c r="L101" s="4">
        <v>270739</v>
      </c>
      <c r="N101" s="4">
        <v>0</v>
      </c>
      <c r="P101" s="4">
        <v>70518</v>
      </c>
      <c r="R101" s="4">
        <v>20979</v>
      </c>
      <c r="T101" s="4">
        <v>269433</v>
      </c>
      <c r="V101" s="4">
        <v>46889</v>
      </c>
      <c r="X101" s="4">
        <v>23572</v>
      </c>
      <c r="Z101" s="4">
        <v>71000</v>
      </c>
      <c r="AB101" s="4">
        <v>0</v>
      </c>
      <c r="AD101" s="4">
        <v>0</v>
      </c>
      <c r="AF101" s="4">
        <f t="shared" si="5"/>
        <v>3550932</v>
      </c>
    </row>
    <row r="102" spans="1:32" s="4" customFormat="1">
      <c r="A102" s="4">
        <v>123</v>
      </c>
      <c r="B102" s="4" t="s">
        <v>135</v>
      </c>
      <c r="D102" s="4" t="s">
        <v>15</v>
      </c>
      <c r="F102" s="4">
        <v>206081</v>
      </c>
      <c r="H102" s="4">
        <v>59702</v>
      </c>
      <c r="J102" s="4">
        <v>47785</v>
      </c>
      <c r="L102" s="4">
        <v>60340</v>
      </c>
      <c r="N102" s="4">
        <v>0</v>
      </c>
      <c r="P102" s="4">
        <v>11012</v>
      </c>
      <c r="R102" s="4">
        <v>1431</v>
      </c>
      <c r="T102" s="4">
        <v>1514</v>
      </c>
      <c r="V102" s="4">
        <v>0</v>
      </c>
      <c r="X102" s="4">
        <v>0</v>
      </c>
      <c r="Z102" s="4">
        <v>0</v>
      </c>
      <c r="AB102" s="4">
        <v>0</v>
      </c>
      <c r="AD102" s="4">
        <v>0</v>
      </c>
      <c r="AF102" s="4">
        <f t="shared" si="5"/>
        <v>387865</v>
      </c>
    </row>
    <row r="103" spans="1:32" s="4" customFormat="1">
      <c r="A103" s="4">
        <v>93</v>
      </c>
      <c r="B103" s="4" t="s">
        <v>544</v>
      </c>
      <c r="D103" s="4" t="s">
        <v>137</v>
      </c>
      <c r="F103" s="1">
        <v>1165952.9099999999</v>
      </c>
      <c r="G103" s="1"/>
      <c r="H103" s="1">
        <v>438818.05</v>
      </c>
      <c r="I103" s="1"/>
      <c r="J103" s="1">
        <v>316092.59999999998</v>
      </c>
      <c r="K103" s="1"/>
      <c r="L103" s="1">
        <v>256213.23</v>
      </c>
      <c r="M103" s="1"/>
      <c r="N103" s="1">
        <v>0</v>
      </c>
      <c r="O103" s="1"/>
      <c r="P103" s="1">
        <v>86786.25</v>
      </c>
      <c r="Q103" s="1"/>
      <c r="R103" s="1">
        <v>109615.48</v>
      </c>
      <c r="S103" s="1"/>
      <c r="T103" s="1">
        <v>235486.72</v>
      </c>
      <c r="U103" s="1"/>
      <c r="V103" s="1">
        <v>205000</v>
      </c>
      <c r="W103" s="1"/>
      <c r="X103" s="1">
        <v>26575</v>
      </c>
      <c r="Y103" s="1"/>
      <c r="Z103" s="1">
        <v>565731</v>
      </c>
      <c r="AA103" s="1"/>
      <c r="AB103" s="1">
        <v>1000000</v>
      </c>
      <c r="AC103" s="1"/>
      <c r="AD103" s="1">
        <v>0</v>
      </c>
      <c r="AF103" s="4">
        <f t="shared" si="5"/>
        <v>4406271.24</v>
      </c>
    </row>
    <row r="104" spans="1:32" s="4" customFormat="1">
      <c r="A104" s="4">
        <v>93</v>
      </c>
      <c r="B104" s="4" t="s">
        <v>356</v>
      </c>
      <c r="D104" s="4" t="s">
        <v>52</v>
      </c>
      <c r="F104" s="1">
        <v>494366.4</v>
      </c>
      <c r="G104" s="1"/>
      <c r="H104" s="1">
        <v>180135.07</v>
      </c>
      <c r="I104" s="1"/>
      <c r="J104" s="1">
        <v>313627.67</v>
      </c>
      <c r="K104" s="1"/>
      <c r="L104" s="1">
        <v>93169.93</v>
      </c>
      <c r="M104" s="1"/>
      <c r="N104" s="1">
        <v>0</v>
      </c>
      <c r="O104" s="1"/>
      <c r="P104" s="1">
        <v>20511.23</v>
      </c>
      <c r="Q104" s="1"/>
      <c r="R104" s="1">
        <v>104.5</v>
      </c>
      <c r="S104" s="1"/>
      <c r="T104" s="1">
        <v>174841.14</v>
      </c>
      <c r="U104" s="1"/>
      <c r="V104" s="1">
        <v>0</v>
      </c>
      <c r="W104" s="1"/>
      <c r="X104" s="1">
        <v>0</v>
      </c>
      <c r="Y104" s="1"/>
      <c r="Z104" s="1">
        <v>10187</v>
      </c>
      <c r="AA104" s="1"/>
      <c r="AB104" s="1">
        <v>0</v>
      </c>
      <c r="AC104" s="1"/>
      <c r="AD104" s="1">
        <v>0</v>
      </c>
      <c r="AF104" s="4">
        <f t="shared" ref="AF104" si="6">SUM(F104:AD104)</f>
        <v>1286942.94</v>
      </c>
    </row>
    <row r="105" spans="1:32" s="4" customFormat="1">
      <c r="A105" s="4">
        <v>97</v>
      </c>
      <c r="B105" s="4" t="s">
        <v>138</v>
      </c>
      <c r="D105" s="4" t="s">
        <v>60</v>
      </c>
      <c r="F105" s="1">
        <v>47910.94</v>
      </c>
      <c r="G105" s="1"/>
      <c r="H105" s="1">
        <v>13372.6</v>
      </c>
      <c r="I105" s="1"/>
      <c r="J105" s="1">
        <v>28404.33</v>
      </c>
      <c r="K105" s="1"/>
      <c r="L105" s="1">
        <v>16370.55</v>
      </c>
      <c r="M105" s="1"/>
      <c r="N105" s="1">
        <v>0</v>
      </c>
      <c r="O105" s="1"/>
      <c r="P105" s="1">
        <v>2918.1</v>
      </c>
      <c r="Q105" s="1"/>
      <c r="R105" s="1">
        <v>1305</v>
      </c>
      <c r="S105" s="1"/>
      <c r="T105" s="1">
        <v>2149</v>
      </c>
      <c r="U105" s="1"/>
      <c r="V105" s="1">
        <v>0</v>
      </c>
      <c r="W105" s="1"/>
      <c r="X105" s="1">
        <v>0</v>
      </c>
      <c r="Y105" s="1"/>
      <c r="Z105" s="1">
        <v>0</v>
      </c>
      <c r="AA105" s="1"/>
      <c r="AB105" s="1">
        <v>0</v>
      </c>
      <c r="AC105" s="1"/>
      <c r="AD105" s="1">
        <v>0</v>
      </c>
      <c r="AF105" s="4">
        <f t="shared" si="5"/>
        <v>112430.52</v>
      </c>
    </row>
    <row r="106" spans="1:32" s="4" customFormat="1">
      <c r="A106" s="4">
        <v>159</v>
      </c>
      <c r="B106" s="4" t="s">
        <v>139</v>
      </c>
      <c r="D106" s="4" t="s">
        <v>49</v>
      </c>
      <c r="F106" s="4">
        <v>56393</v>
      </c>
      <c r="H106" s="4">
        <v>8541</v>
      </c>
      <c r="J106" s="4">
        <v>16443</v>
      </c>
      <c r="L106" s="4">
        <f>18765+1238</f>
        <v>20003</v>
      </c>
      <c r="N106" s="4">
        <v>4587</v>
      </c>
      <c r="P106" s="4">
        <v>0</v>
      </c>
      <c r="R106" s="4">
        <v>403</v>
      </c>
      <c r="T106" s="4">
        <v>3576</v>
      </c>
      <c r="V106" s="4">
        <v>0</v>
      </c>
      <c r="X106" s="4">
        <v>0</v>
      </c>
      <c r="Z106" s="4">
        <v>0</v>
      </c>
      <c r="AB106" s="4">
        <v>0</v>
      </c>
      <c r="AD106" s="4">
        <v>0</v>
      </c>
      <c r="AF106" s="4">
        <f t="shared" si="5"/>
        <v>109946</v>
      </c>
    </row>
    <row r="107" spans="1:32" s="4" customFormat="1">
      <c r="A107" s="4">
        <v>240</v>
      </c>
      <c r="B107" s="4" t="s">
        <v>140</v>
      </c>
      <c r="D107" s="4" t="s">
        <v>53</v>
      </c>
      <c r="F107" s="1">
        <v>643281.13</v>
      </c>
      <c r="G107" s="1"/>
      <c r="H107" s="1">
        <v>240666.1</v>
      </c>
      <c r="I107" s="1"/>
      <c r="J107" s="1">
        <v>157677.57</v>
      </c>
      <c r="K107" s="1"/>
      <c r="L107" s="1">
        <v>146689.87</v>
      </c>
      <c r="M107" s="1"/>
      <c r="N107" s="1">
        <v>0</v>
      </c>
      <c r="O107" s="1"/>
      <c r="P107" s="1">
        <v>29661.38</v>
      </c>
      <c r="Q107" s="1"/>
      <c r="R107" s="1">
        <v>6653.15</v>
      </c>
      <c r="S107" s="1"/>
      <c r="T107" s="1">
        <v>2926.36</v>
      </c>
      <c r="U107" s="1"/>
      <c r="V107" s="1">
        <v>0</v>
      </c>
      <c r="W107" s="1"/>
      <c r="X107" s="1">
        <v>0</v>
      </c>
      <c r="Y107" s="1"/>
      <c r="Z107" s="1">
        <v>213000</v>
      </c>
      <c r="AA107" s="1"/>
      <c r="AB107" s="1">
        <v>0</v>
      </c>
      <c r="AC107" s="1"/>
      <c r="AD107" s="1">
        <v>1896</v>
      </c>
      <c r="AF107" s="4">
        <f t="shared" si="5"/>
        <v>1442451.5599999998</v>
      </c>
    </row>
    <row r="108" spans="1:32" s="4" customFormat="1">
      <c r="A108" s="4">
        <v>48</v>
      </c>
      <c r="B108" s="4" t="s">
        <v>141</v>
      </c>
      <c r="D108" s="4" t="s">
        <v>51</v>
      </c>
      <c r="F108" s="1">
        <v>304274.48</v>
      </c>
      <c r="G108" s="1"/>
      <c r="H108" s="1">
        <v>71393.16</v>
      </c>
      <c r="I108" s="1"/>
      <c r="J108" s="1">
        <v>163680.13</v>
      </c>
      <c r="K108" s="1"/>
      <c r="L108" s="1">
        <v>79582.2</v>
      </c>
      <c r="M108" s="1"/>
      <c r="N108" s="1">
        <v>0</v>
      </c>
      <c r="O108" s="1"/>
      <c r="P108" s="1">
        <v>13753.48</v>
      </c>
      <c r="Q108" s="1"/>
      <c r="R108" s="1">
        <v>2439.31</v>
      </c>
      <c r="S108" s="1"/>
      <c r="T108" s="1">
        <v>97623.41</v>
      </c>
      <c r="U108" s="1"/>
      <c r="V108" s="1">
        <v>0</v>
      </c>
      <c r="W108" s="1"/>
      <c r="X108" s="1">
        <v>0</v>
      </c>
      <c r="Y108" s="1"/>
      <c r="Z108" s="1">
        <v>0</v>
      </c>
      <c r="AA108" s="1"/>
      <c r="AB108" s="1">
        <v>0</v>
      </c>
      <c r="AC108" s="1"/>
      <c r="AD108" s="1">
        <v>40</v>
      </c>
      <c r="AF108" s="4">
        <f t="shared" si="5"/>
        <v>732786.17</v>
      </c>
    </row>
    <row r="109" spans="1:32" s="4" customFormat="1">
      <c r="A109" s="4">
        <v>190</v>
      </c>
      <c r="B109" s="4" t="s">
        <v>142</v>
      </c>
      <c r="D109" s="4" t="s">
        <v>143</v>
      </c>
      <c r="F109" s="4">
        <v>480914</v>
      </c>
      <c r="H109" s="4">
        <v>152466</v>
      </c>
      <c r="J109" s="4">
        <v>126578</v>
      </c>
      <c r="L109" s="4">
        <v>35402</v>
      </c>
      <c r="N109" s="4">
        <v>0</v>
      </c>
      <c r="P109" s="4">
        <v>14228</v>
      </c>
      <c r="R109" s="4">
        <v>4796</v>
      </c>
      <c r="T109" s="4">
        <v>6604</v>
      </c>
      <c r="V109" s="4">
        <v>0</v>
      </c>
      <c r="X109" s="4">
        <v>0</v>
      </c>
      <c r="Z109" s="4">
        <v>30861</v>
      </c>
      <c r="AB109" s="4">
        <v>0</v>
      </c>
      <c r="AD109" s="4">
        <v>0</v>
      </c>
      <c r="AF109" s="4">
        <f t="shared" si="5"/>
        <v>851849</v>
      </c>
    </row>
    <row r="110" spans="1:32" s="4" customFormat="1">
      <c r="A110" s="4">
        <v>90</v>
      </c>
      <c r="B110" s="4" t="s">
        <v>144</v>
      </c>
      <c r="D110" s="4" t="s">
        <v>17</v>
      </c>
      <c r="F110" s="4">
        <v>3098375</v>
      </c>
      <c r="H110" s="4">
        <v>703714</v>
      </c>
      <c r="J110" s="4">
        <v>787491</v>
      </c>
      <c r="L110" s="4">
        <v>856773</v>
      </c>
      <c r="N110" s="4">
        <v>0</v>
      </c>
      <c r="P110" s="4">
        <v>148482</v>
      </c>
      <c r="R110" s="4">
        <v>13989</v>
      </c>
      <c r="T110" s="4">
        <v>51816</v>
      </c>
      <c r="V110" s="4">
        <v>90000</v>
      </c>
      <c r="X110" s="4">
        <v>7683</v>
      </c>
      <c r="Z110" s="4">
        <v>27408</v>
      </c>
      <c r="AB110" s="4">
        <v>0</v>
      </c>
      <c r="AD110" s="4">
        <v>0</v>
      </c>
      <c r="AF110" s="4">
        <f t="shared" si="5"/>
        <v>5785731</v>
      </c>
    </row>
    <row r="111" spans="1:32" s="4" customFormat="1">
      <c r="A111" s="4">
        <v>170</v>
      </c>
      <c r="B111" s="4" t="s">
        <v>145</v>
      </c>
      <c r="D111" s="4" t="s">
        <v>54</v>
      </c>
      <c r="F111" s="1">
        <v>410362.16</v>
      </c>
      <c r="G111" s="1"/>
      <c r="H111" s="1">
        <v>101520.19</v>
      </c>
      <c r="I111" s="1"/>
      <c r="J111" s="1">
        <v>74073.45</v>
      </c>
      <c r="K111" s="1"/>
      <c r="L111" s="1">
        <v>48217.08</v>
      </c>
      <c r="M111" s="1"/>
      <c r="N111" s="1">
        <v>0</v>
      </c>
      <c r="O111" s="1"/>
      <c r="P111" s="1">
        <v>10138.129999999999</v>
      </c>
      <c r="Q111" s="1"/>
      <c r="R111" s="1">
        <v>4794.22</v>
      </c>
      <c r="S111" s="1"/>
      <c r="T111" s="1">
        <v>47558.55</v>
      </c>
      <c r="U111" s="1"/>
      <c r="V111" s="1">
        <v>61539.360000000001</v>
      </c>
      <c r="W111" s="1"/>
      <c r="X111" s="1">
        <v>29291.65</v>
      </c>
      <c r="Y111" s="1"/>
      <c r="Z111" s="1">
        <v>0</v>
      </c>
      <c r="AA111" s="1"/>
      <c r="AB111" s="1">
        <v>0</v>
      </c>
      <c r="AC111" s="1"/>
      <c r="AD111" s="1">
        <v>0</v>
      </c>
      <c r="AF111" s="4">
        <f t="shared" si="5"/>
        <v>787494.78999999992</v>
      </c>
    </row>
    <row r="112" spans="1:32" s="4" customFormat="1">
      <c r="A112" s="4">
        <v>224</v>
      </c>
      <c r="B112" s="4" t="s">
        <v>34</v>
      </c>
      <c r="D112" s="4" t="s">
        <v>26</v>
      </c>
      <c r="F112" s="1">
        <v>67041.7</v>
      </c>
      <c r="G112" s="1"/>
      <c r="H112" s="1">
        <v>11179.53</v>
      </c>
      <c r="I112" s="1"/>
      <c r="J112" s="1">
        <v>10458.299999999999</v>
      </c>
      <c r="K112" s="1"/>
      <c r="L112" s="1">
        <v>11421.54</v>
      </c>
      <c r="M112" s="1"/>
      <c r="N112" s="1"/>
      <c r="O112" s="1"/>
      <c r="P112" s="1">
        <v>5758.74</v>
      </c>
      <c r="Q112" s="1"/>
      <c r="R112" s="1">
        <v>226</v>
      </c>
      <c r="S112" s="1"/>
      <c r="T112" s="1">
        <v>959.54</v>
      </c>
      <c r="U112" s="1"/>
      <c r="V112" s="1">
        <v>0</v>
      </c>
      <c r="W112" s="1"/>
      <c r="X112" s="1">
        <v>0</v>
      </c>
      <c r="Y112" s="1"/>
      <c r="Z112" s="1">
        <v>0</v>
      </c>
      <c r="AA112" s="1"/>
      <c r="AB112" s="1">
        <v>0</v>
      </c>
      <c r="AC112" s="1"/>
      <c r="AD112" s="1">
        <v>0</v>
      </c>
      <c r="AF112" s="4">
        <f t="shared" si="5"/>
        <v>107045.35</v>
      </c>
    </row>
    <row r="113" spans="1:32" s="4" customFormat="1">
      <c r="A113" s="4">
        <v>143</v>
      </c>
      <c r="B113" s="4" t="s">
        <v>146</v>
      </c>
      <c r="D113" s="4" t="s">
        <v>56</v>
      </c>
      <c r="F113" s="1">
        <v>294454.61</v>
      </c>
      <c r="G113" s="1"/>
      <c r="H113" s="1">
        <v>96430.59</v>
      </c>
      <c r="I113" s="1"/>
      <c r="J113" s="1">
        <v>84705.37</v>
      </c>
      <c r="K113" s="1"/>
      <c r="L113" s="1">
        <v>80487.149999999994</v>
      </c>
      <c r="M113" s="1"/>
      <c r="N113" s="1">
        <v>0</v>
      </c>
      <c r="O113" s="1"/>
      <c r="P113" s="1">
        <v>6511.3</v>
      </c>
      <c r="Q113" s="1"/>
      <c r="R113" s="1">
        <v>4207.95</v>
      </c>
      <c r="S113" s="1"/>
      <c r="T113" s="1">
        <v>50911.55</v>
      </c>
      <c r="U113" s="1"/>
      <c r="V113" s="1">
        <v>0</v>
      </c>
      <c r="W113" s="1"/>
      <c r="X113" s="1">
        <v>0</v>
      </c>
      <c r="Y113" s="1"/>
      <c r="Z113" s="1">
        <v>50000</v>
      </c>
      <c r="AA113" s="1"/>
      <c r="AB113" s="1">
        <v>0</v>
      </c>
      <c r="AC113" s="1"/>
      <c r="AD113" s="1">
        <v>0</v>
      </c>
      <c r="AF113" s="4">
        <f t="shared" si="5"/>
        <v>667708.52</v>
      </c>
    </row>
    <row r="114" spans="1:32" s="4" customFormat="1">
      <c r="A114" s="4">
        <v>11</v>
      </c>
      <c r="B114" s="4" t="s">
        <v>301</v>
      </c>
      <c r="D114" s="4" t="s">
        <v>42</v>
      </c>
      <c r="F114" s="1">
        <v>109349.92</v>
      </c>
      <c r="G114" s="1"/>
      <c r="H114" s="1">
        <v>17182.89</v>
      </c>
      <c r="I114" s="1"/>
      <c r="J114" s="1">
        <v>31741.8</v>
      </c>
      <c r="K114" s="1"/>
      <c r="L114" s="1">
        <v>21049.18</v>
      </c>
      <c r="M114" s="1"/>
      <c r="N114" s="1">
        <v>0</v>
      </c>
      <c r="O114" s="1"/>
      <c r="P114" s="1">
        <v>4013.18</v>
      </c>
      <c r="Q114" s="1"/>
      <c r="R114" s="1">
        <v>10429.1</v>
      </c>
      <c r="S114" s="1"/>
      <c r="T114" s="1">
        <v>2231.62</v>
      </c>
      <c r="U114" s="1"/>
      <c r="V114" s="1">
        <v>0</v>
      </c>
      <c r="W114" s="1"/>
      <c r="X114" s="1">
        <v>0</v>
      </c>
      <c r="Y114" s="1"/>
      <c r="Z114" s="1">
        <v>0</v>
      </c>
      <c r="AA114" s="1"/>
      <c r="AB114" s="1">
        <v>0</v>
      </c>
      <c r="AC114" s="1"/>
      <c r="AD114" s="1">
        <v>0</v>
      </c>
      <c r="AF114" s="4">
        <f t="shared" si="5"/>
        <v>195997.68999999997</v>
      </c>
    </row>
    <row r="115" spans="1:32" s="4" customFormat="1">
      <c r="A115" s="4">
        <v>77</v>
      </c>
      <c r="B115" s="4" t="s">
        <v>147</v>
      </c>
      <c r="D115" s="4" t="s">
        <v>91</v>
      </c>
      <c r="F115" s="4">
        <v>1287086</v>
      </c>
      <c r="H115" s="4">
        <v>500230</v>
      </c>
      <c r="J115" s="4">
        <v>402586</v>
      </c>
      <c r="L115" s="4">
        <v>265738</v>
      </c>
      <c r="N115" s="4">
        <v>0</v>
      </c>
      <c r="P115" s="4">
        <v>45663</v>
      </c>
      <c r="R115" s="4">
        <v>5196</v>
      </c>
      <c r="T115" s="4">
        <v>117575</v>
      </c>
      <c r="V115" s="4">
        <v>36000</v>
      </c>
      <c r="X115" s="4">
        <v>6059</v>
      </c>
      <c r="Z115" s="4">
        <v>42075</v>
      </c>
      <c r="AB115" s="4">
        <v>0</v>
      </c>
      <c r="AD115" s="4">
        <v>0</v>
      </c>
      <c r="AF115" s="4">
        <f t="shared" si="5"/>
        <v>2708208</v>
      </c>
    </row>
    <row r="116" spans="1:32" s="4" customFormat="1">
      <c r="A116" s="4">
        <v>132</v>
      </c>
      <c r="B116" s="4" t="s">
        <v>148</v>
      </c>
      <c r="D116" s="4" t="s">
        <v>40</v>
      </c>
      <c r="F116" s="4">
        <v>408540</v>
      </c>
      <c r="H116" s="4">
        <v>106672</v>
      </c>
      <c r="J116" s="4">
        <v>125579</v>
      </c>
      <c r="L116" s="4">
        <v>93023</v>
      </c>
      <c r="N116" s="4">
        <v>0</v>
      </c>
      <c r="P116" s="4">
        <v>6996</v>
      </c>
      <c r="R116" s="4">
        <v>3041</v>
      </c>
      <c r="T116" s="4">
        <v>4653</v>
      </c>
      <c r="V116" s="4">
        <v>0</v>
      </c>
      <c r="X116" s="4">
        <v>2196</v>
      </c>
      <c r="Z116" s="4">
        <v>0</v>
      </c>
      <c r="AB116" s="4">
        <v>0</v>
      </c>
      <c r="AD116" s="4">
        <v>0</v>
      </c>
      <c r="AF116" s="4">
        <f t="shared" si="5"/>
        <v>750700</v>
      </c>
    </row>
    <row r="117" spans="1:32" s="4" customFormat="1">
      <c r="A117" s="4">
        <v>91</v>
      </c>
      <c r="B117" s="4" t="s">
        <v>545</v>
      </c>
      <c r="D117" s="4" t="s">
        <v>150</v>
      </c>
      <c r="F117" s="4">
        <f>701181+1482892</f>
        <v>2184073</v>
      </c>
      <c r="H117" s="4">
        <v>0</v>
      </c>
      <c r="J117" s="4">
        <v>0</v>
      </c>
      <c r="L117" s="4">
        <f>3782269+387114</f>
        <v>4169383</v>
      </c>
      <c r="N117" s="4">
        <v>617522</v>
      </c>
      <c r="P117" s="4">
        <v>1343917</v>
      </c>
      <c r="R117" s="4">
        <v>13200</v>
      </c>
      <c r="T117" s="4">
        <v>510059</v>
      </c>
      <c r="V117" s="4">
        <v>0</v>
      </c>
      <c r="X117" s="4">
        <v>0</v>
      </c>
      <c r="Z117" s="4">
        <v>100000</v>
      </c>
      <c r="AB117" s="4">
        <v>0</v>
      </c>
      <c r="AD117" s="4">
        <v>0</v>
      </c>
      <c r="AF117" s="4">
        <f t="shared" si="5"/>
        <v>8938154</v>
      </c>
    </row>
    <row r="118" spans="1:32" s="4" customFormat="1">
      <c r="A118" s="4">
        <v>59</v>
      </c>
      <c r="B118" s="4" t="s">
        <v>151</v>
      </c>
      <c r="D118" s="4" t="s">
        <v>80</v>
      </c>
      <c r="F118" s="1">
        <v>440758.34</v>
      </c>
      <c r="G118" s="1"/>
      <c r="H118" s="1">
        <v>81804.31</v>
      </c>
      <c r="I118" s="1"/>
      <c r="J118" s="1">
        <v>86686.12</v>
      </c>
      <c r="K118" s="1"/>
      <c r="L118" s="1">
        <v>70994.17</v>
      </c>
      <c r="M118" s="1"/>
      <c r="N118" s="1">
        <v>0</v>
      </c>
      <c r="O118" s="1"/>
      <c r="P118" s="1">
        <v>25984.33</v>
      </c>
      <c r="Q118" s="1"/>
      <c r="R118" s="1">
        <v>3453</v>
      </c>
      <c r="S118" s="1"/>
      <c r="T118" s="1">
        <v>25778.03</v>
      </c>
      <c r="U118" s="1"/>
      <c r="V118" s="1">
        <v>0</v>
      </c>
      <c r="W118" s="1"/>
      <c r="X118" s="1">
        <v>107350.56</v>
      </c>
      <c r="Y118" s="1"/>
      <c r="Z118" s="1">
        <v>107351</v>
      </c>
      <c r="AA118" s="1"/>
      <c r="AB118" s="1">
        <v>0</v>
      </c>
      <c r="AC118" s="1"/>
      <c r="AD118" s="1">
        <v>3694</v>
      </c>
      <c r="AF118" s="4">
        <f t="shared" si="5"/>
        <v>953853.8600000001</v>
      </c>
    </row>
    <row r="119" spans="1:32" s="4" customFormat="1">
      <c r="A119" s="4">
        <v>92</v>
      </c>
      <c r="B119" s="4" t="s">
        <v>546</v>
      </c>
      <c r="D119" s="4" t="s">
        <v>152</v>
      </c>
      <c r="F119" s="4">
        <v>745042</v>
      </c>
      <c r="H119" s="4">
        <v>351983</v>
      </c>
      <c r="J119" s="4">
        <v>184643</v>
      </c>
      <c r="L119" s="4">
        <v>199293</v>
      </c>
      <c r="N119" s="4">
        <v>0</v>
      </c>
      <c r="P119" s="4">
        <v>30983</v>
      </c>
      <c r="R119" s="4">
        <v>10283</v>
      </c>
      <c r="T119" s="4">
        <v>29217</v>
      </c>
      <c r="V119" s="4">
        <v>0</v>
      </c>
      <c r="X119" s="4">
        <v>0</v>
      </c>
      <c r="Z119" s="4">
        <v>114182</v>
      </c>
      <c r="AB119" s="4">
        <v>0</v>
      </c>
      <c r="AD119" s="4">
        <v>0</v>
      </c>
      <c r="AF119" s="4">
        <f t="shared" si="5"/>
        <v>1665626</v>
      </c>
    </row>
    <row r="120" spans="1:32" s="4" customFormat="1">
      <c r="A120" s="4">
        <v>12</v>
      </c>
      <c r="B120" s="4" t="s">
        <v>153</v>
      </c>
      <c r="D120" s="4" t="s">
        <v>42</v>
      </c>
      <c r="F120" s="1">
        <v>220654.68</v>
      </c>
      <c r="G120" s="1"/>
      <c r="H120" s="1">
        <v>53980.98</v>
      </c>
      <c r="I120" s="1"/>
      <c r="J120" s="1">
        <v>63654.57</v>
      </c>
      <c r="K120" s="1"/>
      <c r="L120" s="1">
        <v>25958.22</v>
      </c>
      <c r="M120" s="1"/>
      <c r="N120" s="1">
        <v>0</v>
      </c>
      <c r="O120" s="1"/>
      <c r="P120" s="1">
        <v>10331.200000000001</v>
      </c>
      <c r="Q120" s="1"/>
      <c r="R120" s="1">
        <v>3180.66</v>
      </c>
      <c r="S120" s="1"/>
      <c r="T120" s="1">
        <v>3222.54</v>
      </c>
      <c r="U120" s="1"/>
      <c r="V120" s="1">
        <v>46764.99</v>
      </c>
      <c r="W120" s="1"/>
      <c r="X120" s="1">
        <v>45858.53</v>
      </c>
      <c r="Y120" s="1"/>
      <c r="Z120" s="1">
        <v>97624</v>
      </c>
      <c r="AA120" s="1"/>
      <c r="AB120" s="1">
        <v>0</v>
      </c>
      <c r="AC120" s="1"/>
      <c r="AD120" s="1">
        <v>0</v>
      </c>
      <c r="AF120" s="4">
        <f t="shared" si="5"/>
        <v>571230.36999999988</v>
      </c>
    </row>
    <row r="121" spans="1:32" s="4" customFormat="1">
      <c r="A121" s="4">
        <v>98</v>
      </c>
      <c r="B121" s="4" t="s">
        <v>154</v>
      </c>
      <c r="D121" s="4" t="s">
        <v>60</v>
      </c>
      <c r="F121" s="4">
        <v>33304</v>
      </c>
      <c r="H121" s="4">
        <v>5354</v>
      </c>
      <c r="J121" s="4">
        <v>12532</v>
      </c>
      <c r="L121" s="4">
        <v>10166</v>
      </c>
      <c r="N121" s="4">
        <v>0</v>
      </c>
      <c r="P121" s="4">
        <v>2235</v>
      </c>
      <c r="R121" s="4">
        <v>1115</v>
      </c>
      <c r="T121" s="4">
        <v>1033</v>
      </c>
      <c r="V121" s="4">
        <v>0</v>
      </c>
      <c r="X121" s="4">
        <v>0</v>
      </c>
      <c r="Z121" s="4">
        <v>0</v>
      </c>
      <c r="AB121" s="4">
        <v>0</v>
      </c>
      <c r="AD121" s="4">
        <v>0</v>
      </c>
      <c r="AF121" s="4">
        <f t="shared" si="5"/>
        <v>65739</v>
      </c>
    </row>
    <row r="122" spans="1:32" s="4" customFormat="1">
      <c r="A122" s="4">
        <v>181</v>
      </c>
      <c r="B122" s="4" t="s">
        <v>155</v>
      </c>
      <c r="D122" s="4" t="s">
        <v>156</v>
      </c>
      <c r="F122" s="4">
        <v>247210</v>
      </c>
      <c r="H122" s="4">
        <v>54434</v>
      </c>
      <c r="J122" s="4">
        <v>79121</v>
      </c>
      <c r="L122" s="4">
        <v>35077</v>
      </c>
      <c r="N122" s="4">
        <v>0</v>
      </c>
      <c r="P122" s="4">
        <v>14202</v>
      </c>
      <c r="R122" s="4">
        <v>15007</v>
      </c>
      <c r="T122" s="4">
        <v>9462</v>
      </c>
      <c r="V122" s="4">
        <v>0</v>
      </c>
      <c r="X122" s="4">
        <v>0</v>
      </c>
      <c r="Z122" s="4">
        <v>30000</v>
      </c>
      <c r="AB122" s="4">
        <v>0</v>
      </c>
      <c r="AD122" s="4">
        <v>0</v>
      </c>
      <c r="AF122" s="4">
        <f t="shared" si="5"/>
        <v>484513</v>
      </c>
    </row>
    <row r="123" spans="1:32" s="4" customFormat="1">
      <c r="A123" s="4">
        <v>13</v>
      </c>
      <c r="B123" s="4" t="s">
        <v>302</v>
      </c>
      <c r="D123" s="4" t="s">
        <v>42</v>
      </c>
      <c r="F123" s="1">
        <v>190853.23</v>
      </c>
      <c r="G123" s="1"/>
      <c r="H123" s="1">
        <v>53671.79</v>
      </c>
      <c r="I123" s="1"/>
      <c r="J123" s="1">
        <v>60748.82</v>
      </c>
      <c r="K123" s="1"/>
      <c r="L123" s="1">
        <v>79557.710000000006</v>
      </c>
      <c r="M123" s="1"/>
      <c r="N123" s="1">
        <v>0</v>
      </c>
      <c r="O123" s="1"/>
      <c r="P123" s="1">
        <v>6477.69</v>
      </c>
      <c r="Q123" s="1"/>
      <c r="R123" s="1">
        <v>1294.5899999999999</v>
      </c>
      <c r="S123" s="1"/>
      <c r="T123" s="1">
        <v>5229.58</v>
      </c>
      <c r="U123" s="1"/>
      <c r="V123" s="1">
        <v>0</v>
      </c>
      <c r="W123" s="1"/>
      <c r="X123" s="1">
        <v>0</v>
      </c>
      <c r="Y123" s="1"/>
      <c r="Z123" s="1">
        <v>2500</v>
      </c>
      <c r="AA123" s="1"/>
      <c r="AB123" s="1">
        <v>0</v>
      </c>
      <c r="AC123" s="1"/>
      <c r="AD123" s="1">
        <v>0</v>
      </c>
      <c r="AF123" s="4">
        <f t="shared" si="5"/>
        <v>400333.41000000009</v>
      </c>
    </row>
    <row r="124" spans="1:32" s="4" customFormat="1">
      <c r="A124" s="4">
        <v>239</v>
      </c>
      <c r="B124" s="4" t="s">
        <v>157</v>
      </c>
      <c r="D124" s="4" t="s">
        <v>158</v>
      </c>
      <c r="F124" s="4">
        <v>231143</v>
      </c>
      <c r="H124" s="4">
        <v>77599</v>
      </c>
      <c r="J124" s="4">
        <v>52082</v>
      </c>
      <c r="L124" s="4">
        <v>54252</v>
      </c>
      <c r="N124" s="4">
        <v>0</v>
      </c>
      <c r="P124" s="4">
        <v>16090</v>
      </c>
      <c r="R124" s="4">
        <v>1842</v>
      </c>
      <c r="T124" s="4">
        <v>29883</v>
      </c>
      <c r="V124" s="4">
        <v>0</v>
      </c>
      <c r="X124" s="4">
        <v>0</v>
      </c>
      <c r="Z124" s="4">
        <v>0</v>
      </c>
      <c r="AB124" s="4">
        <v>0</v>
      </c>
      <c r="AD124" s="4">
        <v>0</v>
      </c>
      <c r="AF124" s="4">
        <f t="shared" si="5"/>
        <v>462891</v>
      </c>
    </row>
    <row r="125" spans="1:32" s="4" customFormat="1">
      <c r="A125" s="4">
        <v>144</v>
      </c>
      <c r="B125" s="4" t="s">
        <v>428</v>
      </c>
      <c r="D125" s="4" t="s">
        <v>56</v>
      </c>
      <c r="F125" s="1">
        <v>247506.56</v>
      </c>
      <c r="G125" s="1"/>
      <c r="H125" s="1">
        <v>72734.12</v>
      </c>
      <c r="I125" s="1"/>
      <c r="J125" s="1">
        <v>81747.350000000006</v>
      </c>
      <c r="K125" s="1"/>
      <c r="L125" s="1">
        <v>56645.07</v>
      </c>
      <c r="M125" s="1"/>
      <c r="N125" s="1">
        <v>0</v>
      </c>
      <c r="O125" s="1"/>
      <c r="P125" s="1">
        <v>9062.44</v>
      </c>
      <c r="Q125" s="1"/>
      <c r="R125" s="1">
        <v>2080.64</v>
      </c>
      <c r="S125" s="1"/>
      <c r="T125" s="1">
        <v>51568</v>
      </c>
      <c r="U125" s="1"/>
      <c r="V125" s="1">
        <v>0</v>
      </c>
      <c r="W125" s="1"/>
      <c r="X125" s="1">
        <v>0</v>
      </c>
      <c r="Y125" s="1"/>
      <c r="Z125" s="1">
        <v>0</v>
      </c>
      <c r="AA125" s="1"/>
      <c r="AB125" s="1">
        <v>0</v>
      </c>
      <c r="AC125" s="1"/>
      <c r="AD125" s="1">
        <v>0</v>
      </c>
      <c r="AF125" s="4">
        <f t="shared" si="5"/>
        <v>521344.18000000005</v>
      </c>
    </row>
    <row r="126" spans="1:32" s="4" customFormat="1">
      <c r="A126" s="4">
        <v>107</v>
      </c>
      <c r="B126" s="4" t="s">
        <v>564</v>
      </c>
      <c r="D126" s="4" t="s">
        <v>57</v>
      </c>
      <c r="F126" s="1">
        <v>687621.22</v>
      </c>
      <c r="G126" s="1"/>
      <c r="H126" s="1">
        <v>185814.99</v>
      </c>
      <c r="I126" s="1"/>
      <c r="J126" s="1">
        <v>196571.98</v>
      </c>
      <c r="K126" s="1"/>
      <c r="L126" s="1">
        <v>149693.35</v>
      </c>
      <c r="M126" s="1"/>
      <c r="N126" s="1">
        <v>0</v>
      </c>
      <c r="O126" s="1"/>
      <c r="P126" s="1">
        <v>22300.560000000001</v>
      </c>
      <c r="Q126" s="1"/>
      <c r="R126" s="1">
        <v>6117.73</v>
      </c>
      <c r="S126" s="1"/>
      <c r="T126" s="1">
        <v>16825.16</v>
      </c>
      <c r="U126" s="1"/>
      <c r="V126" s="1">
        <v>0</v>
      </c>
      <c r="W126" s="1"/>
      <c r="X126" s="1">
        <v>0</v>
      </c>
      <c r="Y126" s="1"/>
      <c r="Z126" s="1">
        <v>155</v>
      </c>
      <c r="AA126" s="1"/>
      <c r="AB126" s="1">
        <v>0</v>
      </c>
      <c r="AC126" s="1"/>
      <c r="AD126" s="1">
        <v>0</v>
      </c>
      <c r="AF126" s="4">
        <f t="shared" si="5"/>
        <v>1265099.99</v>
      </c>
    </row>
    <row r="127" spans="1:32" s="4" customFormat="1">
      <c r="A127" s="4">
        <v>103</v>
      </c>
      <c r="B127" s="4" t="s">
        <v>160</v>
      </c>
      <c r="D127" s="4" t="s">
        <v>59</v>
      </c>
      <c r="F127" s="4">
        <v>64654</v>
      </c>
      <c r="H127" s="4">
        <v>9986</v>
      </c>
      <c r="J127" s="4">
        <v>100141</v>
      </c>
      <c r="L127" s="4">
        <v>16634</v>
      </c>
      <c r="N127" s="4">
        <v>0</v>
      </c>
      <c r="P127" s="4">
        <v>2694</v>
      </c>
      <c r="R127" s="4">
        <v>17717</v>
      </c>
      <c r="T127" s="4">
        <v>0</v>
      </c>
      <c r="V127" s="4">
        <v>0</v>
      </c>
      <c r="X127" s="4">
        <v>0</v>
      </c>
      <c r="Z127" s="4">
        <v>0</v>
      </c>
      <c r="AB127" s="4">
        <v>0</v>
      </c>
      <c r="AD127" s="4">
        <v>0</v>
      </c>
      <c r="AF127" s="4">
        <f t="shared" si="5"/>
        <v>211826</v>
      </c>
    </row>
    <row r="128" spans="1:32" s="4" customFormat="1">
      <c r="A128" s="4">
        <v>109</v>
      </c>
      <c r="B128" s="4" t="s">
        <v>547</v>
      </c>
      <c r="D128" s="4" t="s">
        <v>161</v>
      </c>
      <c r="F128" s="1">
        <v>703078.65</v>
      </c>
      <c r="G128" s="1"/>
      <c r="H128" s="1">
        <v>164275.73000000001</v>
      </c>
      <c r="I128" s="1"/>
      <c r="J128" s="1">
        <v>193870.13</v>
      </c>
      <c r="K128" s="1"/>
      <c r="L128" s="1">
        <v>98025.68</v>
      </c>
      <c r="M128" s="1"/>
      <c r="N128" s="1">
        <v>0</v>
      </c>
      <c r="O128" s="1"/>
      <c r="P128" s="1">
        <v>21896.720000000001</v>
      </c>
      <c r="Q128" s="1"/>
      <c r="R128" s="1">
        <v>3454</v>
      </c>
      <c r="S128" s="1"/>
      <c r="T128" s="1">
        <v>192015.38</v>
      </c>
      <c r="U128" s="1"/>
      <c r="V128" s="1">
        <v>0</v>
      </c>
      <c r="W128" s="1"/>
      <c r="X128" s="1">
        <v>0</v>
      </c>
      <c r="Y128" s="1"/>
      <c r="Z128" s="1">
        <v>230000</v>
      </c>
      <c r="AA128" s="1"/>
      <c r="AB128" s="1">
        <v>0</v>
      </c>
      <c r="AC128" s="1"/>
      <c r="AD128" s="1">
        <v>0</v>
      </c>
      <c r="AF128" s="4">
        <f t="shared" ref="AF128:AF159" si="7">SUM(F128:AD128)</f>
        <v>1606616.29</v>
      </c>
    </row>
    <row r="129" spans="1:32" s="4" customFormat="1">
      <c r="A129" s="4">
        <v>133</v>
      </c>
      <c r="B129" s="4" t="s">
        <v>303</v>
      </c>
      <c r="D129" s="4" t="s">
        <v>40</v>
      </c>
      <c r="F129" s="1">
        <v>121433.76</v>
      </c>
      <c r="G129" s="1"/>
      <c r="H129" s="1">
        <v>20371.439999999999</v>
      </c>
      <c r="I129" s="1"/>
      <c r="J129" s="1">
        <v>26811.84</v>
      </c>
      <c r="K129" s="1"/>
      <c r="L129" s="1">
        <v>27477.55</v>
      </c>
      <c r="M129" s="1"/>
      <c r="N129" s="1">
        <v>0</v>
      </c>
      <c r="O129" s="1"/>
      <c r="P129" s="1">
        <v>4298.41</v>
      </c>
      <c r="Q129" s="1"/>
      <c r="R129" s="1">
        <v>882.24</v>
      </c>
      <c r="S129" s="1"/>
      <c r="T129" s="1">
        <v>0</v>
      </c>
      <c r="U129" s="1"/>
      <c r="V129" s="1">
        <v>0</v>
      </c>
      <c r="W129" s="1"/>
      <c r="X129" s="1">
        <v>0</v>
      </c>
      <c r="Y129" s="1"/>
      <c r="Z129" s="1">
        <v>0</v>
      </c>
      <c r="AA129" s="1"/>
      <c r="AB129" s="1">
        <v>0</v>
      </c>
      <c r="AC129" s="1"/>
      <c r="AD129" s="1">
        <v>0</v>
      </c>
      <c r="AF129" s="4">
        <f t="shared" si="7"/>
        <v>201275.23999999996</v>
      </c>
    </row>
    <row r="130" spans="1:32" s="4" customFormat="1">
      <c r="A130" s="4">
        <v>225</v>
      </c>
      <c r="B130" s="4" t="s">
        <v>429</v>
      </c>
      <c r="D130" s="4" t="s">
        <v>55</v>
      </c>
      <c r="F130" s="1">
        <v>426992.98</v>
      </c>
      <c r="G130" s="1"/>
      <c r="H130" s="1">
        <v>150025.78</v>
      </c>
      <c r="I130" s="1"/>
      <c r="J130" s="1">
        <v>78125.789999999994</v>
      </c>
      <c r="K130" s="1"/>
      <c r="L130" s="1">
        <v>68303.92</v>
      </c>
      <c r="M130" s="1"/>
      <c r="N130" s="1">
        <v>0</v>
      </c>
      <c r="O130" s="1"/>
      <c r="P130" s="1">
        <v>20336.53</v>
      </c>
      <c r="Q130" s="1"/>
      <c r="R130" s="1">
        <v>2074.25</v>
      </c>
      <c r="S130" s="1"/>
      <c r="T130" s="1">
        <v>3690.61</v>
      </c>
      <c r="U130" s="1"/>
      <c r="V130" s="1">
        <v>0</v>
      </c>
      <c r="W130" s="1"/>
      <c r="X130" s="1">
        <v>0</v>
      </c>
      <c r="Y130" s="1"/>
      <c r="Z130" s="1">
        <v>19750</v>
      </c>
      <c r="AA130" s="1"/>
      <c r="AB130" s="1">
        <v>0</v>
      </c>
      <c r="AC130" s="1"/>
      <c r="AD130" s="1">
        <v>0</v>
      </c>
      <c r="AF130" s="4">
        <f t="shared" si="7"/>
        <v>769299.8600000001</v>
      </c>
    </row>
    <row r="131" spans="1:32" s="4" customFormat="1">
      <c r="A131" s="4">
        <v>218</v>
      </c>
      <c r="B131" s="4" t="s">
        <v>334</v>
      </c>
      <c r="D131" s="4" t="s">
        <v>22</v>
      </c>
      <c r="F131" s="4">
        <v>1176921</v>
      </c>
      <c r="H131" s="4">
        <v>308166</v>
      </c>
      <c r="J131" s="4">
        <v>506851</v>
      </c>
      <c r="L131" s="4">
        <v>214898</v>
      </c>
      <c r="N131" s="4">
        <v>0</v>
      </c>
      <c r="P131" s="4">
        <v>53530</v>
      </c>
      <c r="R131" s="4">
        <v>49756</v>
      </c>
      <c r="T131" s="4">
        <v>26648</v>
      </c>
      <c r="V131" s="4">
        <v>0</v>
      </c>
      <c r="X131" s="4">
        <v>0</v>
      </c>
      <c r="Z131" s="4">
        <v>0</v>
      </c>
      <c r="AB131" s="4">
        <v>0</v>
      </c>
      <c r="AD131" s="4">
        <v>0</v>
      </c>
      <c r="AF131" s="4">
        <f t="shared" si="7"/>
        <v>2336770</v>
      </c>
    </row>
    <row r="132" spans="1:32" s="4" customFormat="1">
      <c r="A132" s="4">
        <v>66</v>
      </c>
      <c r="B132" s="4" t="s">
        <v>164</v>
      </c>
      <c r="D132" s="4" t="s">
        <v>165</v>
      </c>
      <c r="F132" s="4">
        <v>351067</v>
      </c>
      <c r="H132" s="4">
        <v>115091</v>
      </c>
      <c r="J132" s="4">
        <v>161974</v>
      </c>
      <c r="L132" s="4">
        <v>39026</v>
      </c>
      <c r="N132" s="4">
        <v>0</v>
      </c>
      <c r="P132" s="4">
        <v>14498</v>
      </c>
      <c r="R132" s="4">
        <v>1444</v>
      </c>
      <c r="T132" s="4">
        <v>8578</v>
      </c>
      <c r="V132" s="4">
        <v>0</v>
      </c>
      <c r="X132" s="4">
        <v>0</v>
      </c>
      <c r="Z132" s="4">
        <v>0</v>
      </c>
      <c r="AB132" s="4">
        <v>0</v>
      </c>
      <c r="AD132" s="4">
        <v>0</v>
      </c>
      <c r="AF132" s="4">
        <f t="shared" si="7"/>
        <v>691678</v>
      </c>
    </row>
    <row r="133" spans="1:32" s="4" customFormat="1">
      <c r="A133" s="4">
        <v>148</v>
      </c>
      <c r="B133" s="4" t="s">
        <v>36</v>
      </c>
      <c r="D133" s="4" t="s">
        <v>12</v>
      </c>
      <c r="F133" s="1">
        <v>178165.74</v>
      </c>
      <c r="G133" s="1"/>
      <c r="H133" s="1">
        <v>28457.919999999998</v>
      </c>
      <c r="I133" s="1"/>
      <c r="J133" s="1">
        <v>61798.12</v>
      </c>
      <c r="K133" s="1"/>
      <c r="L133" s="1">
        <v>38824.129999999997</v>
      </c>
      <c r="M133" s="1"/>
      <c r="N133" s="1">
        <v>0</v>
      </c>
      <c r="O133" s="1"/>
      <c r="P133" s="1">
        <v>5507.38</v>
      </c>
      <c r="Q133" s="1"/>
      <c r="R133" s="1">
        <v>50</v>
      </c>
      <c r="S133" s="1"/>
      <c r="T133" s="1">
        <v>0</v>
      </c>
      <c r="U133" s="1"/>
      <c r="V133" s="1">
        <v>30000</v>
      </c>
      <c r="W133" s="1"/>
      <c r="X133" s="1">
        <v>51852.5</v>
      </c>
      <c r="Y133" s="1"/>
      <c r="Z133" s="1">
        <v>0</v>
      </c>
      <c r="AA133" s="1"/>
      <c r="AB133" s="1">
        <v>0</v>
      </c>
      <c r="AC133" s="1"/>
      <c r="AD133" s="1">
        <v>0</v>
      </c>
      <c r="AF133" s="4">
        <f t="shared" si="7"/>
        <v>394655.79</v>
      </c>
    </row>
    <row r="134" spans="1:32" s="4" customFormat="1" hidden="1">
      <c r="A134" s="4">
        <v>182</v>
      </c>
      <c r="B134" s="4" t="s">
        <v>166</v>
      </c>
      <c r="D134" s="4" t="s">
        <v>156</v>
      </c>
      <c r="AF134" s="4">
        <f t="shared" si="7"/>
        <v>0</v>
      </c>
    </row>
    <row r="135" spans="1:32" s="4" customFormat="1">
      <c r="A135" s="4">
        <v>164</v>
      </c>
      <c r="B135" s="4" t="s">
        <v>336</v>
      </c>
      <c r="D135" s="4" t="s">
        <v>52</v>
      </c>
      <c r="F135" s="1">
        <v>146423</v>
      </c>
      <c r="G135" s="1"/>
      <c r="H135" s="1">
        <v>22512.52</v>
      </c>
      <c r="I135" s="1"/>
      <c r="J135" s="1">
        <v>28791.82</v>
      </c>
      <c r="K135" s="1"/>
      <c r="L135" s="1">
        <v>23776.25</v>
      </c>
      <c r="M135" s="1"/>
      <c r="N135" s="1">
        <v>0</v>
      </c>
      <c r="O135" s="1"/>
      <c r="P135" s="1">
        <v>3080.99</v>
      </c>
      <c r="Q135" s="1"/>
      <c r="R135" s="1">
        <v>850</v>
      </c>
      <c r="S135" s="1"/>
      <c r="T135" s="1">
        <v>9868.19</v>
      </c>
      <c r="U135" s="1"/>
      <c r="V135" s="1">
        <v>0</v>
      </c>
      <c r="W135" s="1"/>
      <c r="X135" s="1">
        <v>0</v>
      </c>
      <c r="Y135" s="1"/>
      <c r="Z135" s="1">
        <v>0</v>
      </c>
      <c r="AA135" s="1"/>
      <c r="AB135" s="1">
        <v>0</v>
      </c>
      <c r="AC135" s="1"/>
      <c r="AD135" s="1">
        <v>0</v>
      </c>
      <c r="AF135" s="4">
        <f t="shared" si="7"/>
        <v>235302.77</v>
      </c>
    </row>
    <row r="136" spans="1:32" s="4" customFormat="1">
      <c r="A136" s="4">
        <v>115</v>
      </c>
      <c r="B136" s="4" t="s">
        <v>167</v>
      </c>
      <c r="D136" s="4" t="s">
        <v>168</v>
      </c>
      <c r="F136" s="1">
        <v>210551.48</v>
      </c>
      <c r="G136" s="1"/>
      <c r="H136" s="1">
        <v>105273.27</v>
      </c>
      <c r="I136" s="1"/>
      <c r="J136" s="1">
        <v>48384.49</v>
      </c>
      <c r="K136" s="1"/>
      <c r="L136" s="1">
        <v>47244.1</v>
      </c>
      <c r="M136" s="1"/>
      <c r="N136" s="1">
        <v>0</v>
      </c>
      <c r="O136" s="1"/>
      <c r="P136" s="1">
        <v>11700.19</v>
      </c>
      <c r="Q136" s="1"/>
      <c r="R136" s="1">
        <v>1312</v>
      </c>
      <c r="S136" s="1"/>
      <c r="T136" s="1">
        <v>24609.78</v>
      </c>
      <c r="U136" s="1"/>
      <c r="V136" s="1">
        <v>0</v>
      </c>
      <c r="W136" s="1"/>
      <c r="X136" s="1">
        <v>0</v>
      </c>
      <c r="Y136" s="1"/>
      <c r="Z136" s="1">
        <v>0</v>
      </c>
      <c r="AA136" s="1"/>
      <c r="AB136" s="1">
        <v>0</v>
      </c>
      <c r="AC136" s="1"/>
      <c r="AD136" s="1">
        <v>0</v>
      </c>
      <c r="AF136" s="4">
        <f t="shared" si="7"/>
        <v>449075.30999999994</v>
      </c>
    </row>
    <row r="137" spans="1:32" s="4" customFormat="1">
      <c r="A137" s="4">
        <v>173</v>
      </c>
      <c r="B137" s="4" t="s">
        <v>335</v>
      </c>
      <c r="D137" s="4" t="s">
        <v>58</v>
      </c>
      <c r="F137" s="1">
        <v>250323.39</v>
      </c>
      <c r="G137" s="1"/>
      <c r="H137" s="1">
        <v>76731.960000000006</v>
      </c>
      <c r="I137" s="1"/>
      <c r="J137" s="1">
        <v>88410.31</v>
      </c>
      <c r="K137" s="1"/>
      <c r="L137" s="1">
        <v>52059.5</v>
      </c>
      <c r="M137" s="1"/>
      <c r="N137" s="1">
        <v>0</v>
      </c>
      <c r="O137" s="1"/>
      <c r="P137" s="1">
        <v>13161.12</v>
      </c>
      <c r="Q137" s="1"/>
      <c r="R137" s="1">
        <v>4439.8100000000004</v>
      </c>
      <c r="S137" s="1"/>
      <c r="T137" s="1">
        <v>72446.27</v>
      </c>
      <c r="U137" s="1"/>
      <c r="V137" s="1">
        <v>0</v>
      </c>
      <c r="W137" s="1"/>
      <c r="X137" s="1">
        <v>0</v>
      </c>
      <c r="Y137" s="1"/>
      <c r="Z137" s="1">
        <v>0</v>
      </c>
      <c r="AA137" s="1"/>
      <c r="AB137" s="1">
        <v>0</v>
      </c>
      <c r="AC137" s="1"/>
      <c r="AD137" s="1">
        <v>0</v>
      </c>
      <c r="AF137" s="4">
        <f t="shared" si="7"/>
        <v>557572.36</v>
      </c>
    </row>
    <row r="138" spans="1:32" s="4" customFormat="1">
      <c r="A138" s="4">
        <v>205</v>
      </c>
      <c r="B138" s="4" t="s">
        <v>169</v>
      </c>
      <c r="D138" s="4" t="s">
        <v>44</v>
      </c>
      <c r="F138" s="4">
        <v>477307</v>
      </c>
      <c r="H138" s="4">
        <v>0</v>
      </c>
      <c r="J138" s="4">
        <v>74591</v>
      </c>
      <c r="L138" s="4">
        <v>79558</v>
      </c>
      <c r="N138" s="4">
        <v>0</v>
      </c>
      <c r="P138" s="4">
        <v>16044</v>
      </c>
      <c r="R138" s="4">
        <v>3406</v>
      </c>
      <c r="T138" s="4">
        <v>545</v>
      </c>
      <c r="V138" s="4">
        <v>0</v>
      </c>
      <c r="X138" s="4">
        <v>0</v>
      </c>
      <c r="Z138" s="4">
        <v>0</v>
      </c>
      <c r="AB138" s="4">
        <v>0</v>
      </c>
      <c r="AD138" s="4">
        <v>0</v>
      </c>
      <c r="AF138" s="4">
        <f t="shared" si="7"/>
        <v>651451</v>
      </c>
    </row>
    <row r="139" spans="1:32" s="4" customFormat="1">
      <c r="A139" s="4">
        <v>191</v>
      </c>
      <c r="B139" s="4" t="s">
        <v>170</v>
      </c>
      <c r="D139" s="4" t="s">
        <v>171</v>
      </c>
      <c r="F139" s="1">
        <v>796646.98</v>
      </c>
      <c r="G139" s="1"/>
      <c r="H139" s="1">
        <v>159732.69</v>
      </c>
      <c r="I139" s="1"/>
      <c r="J139" s="1">
        <v>317816.5</v>
      </c>
      <c r="K139" s="1"/>
      <c r="L139" s="1">
        <v>187493.74</v>
      </c>
      <c r="M139" s="1"/>
      <c r="N139" s="1">
        <v>0</v>
      </c>
      <c r="O139" s="1"/>
      <c r="P139" s="1">
        <v>34450.39</v>
      </c>
      <c r="Q139" s="1"/>
      <c r="R139" s="1">
        <v>19251.22</v>
      </c>
      <c r="S139" s="1"/>
      <c r="T139" s="1">
        <v>56285.41</v>
      </c>
      <c r="U139" s="1"/>
      <c r="V139" s="1">
        <v>0</v>
      </c>
      <c r="W139" s="1"/>
      <c r="X139" s="1">
        <v>0</v>
      </c>
      <c r="Y139" s="1"/>
      <c r="Z139" s="1">
        <v>0</v>
      </c>
      <c r="AA139" s="1"/>
      <c r="AB139" s="1">
        <v>0</v>
      </c>
      <c r="AC139" s="1"/>
      <c r="AD139" s="1">
        <v>0</v>
      </c>
      <c r="AF139" s="4">
        <f t="shared" si="7"/>
        <v>1571676.9299999997</v>
      </c>
    </row>
    <row r="140" spans="1:32" s="4" customFormat="1">
      <c r="A140" s="4">
        <v>14</v>
      </c>
      <c r="B140" s="4" t="s">
        <v>172</v>
      </c>
      <c r="D140" s="4" t="s">
        <v>42</v>
      </c>
      <c r="F140" s="1">
        <v>234275.43</v>
      </c>
      <c r="G140" s="1"/>
      <c r="H140" s="1">
        <v>36106.660000000003</v>
      </c>
      <c r="I140" s="1"/>
      <c r="J140" s="1">
        <v>47779.17</v>
      </c>
      <c r="K140" s="1"/>
      <c r="L140" s="1">
        <v>31929.61</v>
      </c>
      <c r="M140" s="1"/>
      <c r="N140" s="1">
        <v>0</v>
      </c>
      <c r="O140" s="1"/>
      <c r="P140" s="1">
        <v>14579.92</v>
      </c>
      <c r="Q140" s="1"/>
      <c r="R140" s="1">
        <v>4242.8900000000003</v>
      </c>
      <c r="S140" s="1"/>
      <c r="T140" s="1">
        <v>2476.67</v>
      </c>
      <c r="U140" s="1"/>
      <c r="V140" s="1">
        <v>0</v>
      </c>
      <c r="W140" s="1"/>
      <c r="X140" s="1">
        <v>0</v>
      </c>
      <c r="Y140" s="1"/>
      <c r="Z140" s="1">
        <v>0</v>
      </c>
      <c r="AA140" s="1"/>
      <c r="AB140" s="1">
        <v>0</v>
      </c>
      <c r="AC140" s="1"/>
      <c r="AD140" s="1">
        <v>0</v>
      </c>
      <c r="AF140" s="4">
        <f t="shared" si="7"/>
        <v>371390.34999999992</v>
      </c>
    </row>
    <row r="141" spans="1:32" s="4" customFormat="1">
      <c r="A141" s="4">
        <v>226</v>
      </c>
      <c r="B141" s="4" t="s">
        <v>173</v>
      </c>
      <c r="D141" s="4" t="s">
        <v>55</v>
      </c>
      <c r="F141" s="1">
        <v>267916.90999999997</v>
      </c>
      <c r="G141" s="1"/>
      <c r="H141" s="1">
        <v>86439.48</v>
      </c>
      <c r="I141" s="1"/>
      <c r="J141" s="1">
        <v>57010.14</v>
      </c>
      <c r="K141" s="1"/>
      <c r="L141" s="1">
        <v>74774.47</v>
      </c>
      <c r="M141" s="1"/>
      <c r="N141" s="1">
        <v>0</v>
      </c>
      <c r="O141" s="1"/>
      <c r="P141" s="1">
        <v>9541.1200000000008</v>
      </c>
      <c r="Q141" s="1"/>
      <c r="R141" s="1">
        <v>4797.1000000000004</v>
      </c>
      <c r="S141" s="1"/>
      <c r="T141" s="1">
        <v>12278.7</v>
      </c>
      <c r="U141" s="1"/>
      <c r="V141" s="1">
        <v>0</v>
      </c>
      <c r="W141" s="1"/>
      <c r="X141" s="1">
        <v>0</v>
      </c>
      <c r="Y141" s="1"/>
      <c r="Z141" s="1">
        <v>0</v>
      </c>
      <c r="AA141" s="1"/>
      <c r="AB141" s="1">
        <v>0</v>
      </c>
      <c r="AC141" s="1"/>
      <c r="AD141" s="1">
        <v>0</v>
      </c>
      <c r="AF141" s="4">
        <f t="shared" si="7"/>
        <v>512757.92</v>
      </c>
    </row>
    <row r="142" spans="1:32" s="4" customFormat="1">
      <c r="A142" s="4">
        <v>124</v>
      </c>
      <c r="B142" s="4" t="s">
        <v>174</v>
      </c>
      <c r="D142" s="4" t="s">
        <v>15</v>
      </c>
      <c r="F142" s="1">
        <v>401782.49</v>
      </c>
      <c r="G142" s="1"/>
      <c r="H142" s="1">
        <v>82006.47</v>
      </c>
      <c r="I142" s="1"/>
      <c r="J142" s="1">
        <v>151932.38</v>
      </c>
      <c r="K142" s="1"/>
      <c r="L142" s="1">
        <v>122123.11</v>
      </c>
      <c r="M142" s="1"/>
      <c r="N142" s="1">
        <v>0</v>
      </c>
      <c r="O142" s="1"/>
      <c r="P142" s="1">
        <v>15636.14</v>
      </c>
      <c r="Q142" s="1"/>
      <c r="R142" s="1">
        <v>4372.93</v>
      </c>
      <c r="S142" s="1"/>
      <c r="T142" s="1">
        <v>9063.93</v>
      </c>
      <c r="U142" s="1"/>
      <c r="V142" s="1">
        <v>0</v>
      </c>
      <c r="W142" s="1"/>
      <c r="X142" s="1">
        <v>0</v>
      </c>
      <c r="Y142" s="1"/>
      <c r="Z142" s="1">
        <v>27000</v>
      </c>
      <c r="AA142" s="1"/>
      <c r="AB142" s="1">
        <v>0</v>
      </c>
      <c r="AC142" s="1"/>
      <c r="AD142" s="1">
        <v>0</v>
      </c>
      <c r="AF142" s="4">
        <f t="shared" si="7"/>
        <v>813917.45000000007</v>
      </c>
    </row>
    <row r="143" spans="1:32" s="4" customFormat="1">
      <c r="A143" s="4">
        <v>54</v>
      </c>
      <c r="B143" s="13" t="s">
        <v>409</v>
      </c>
      <c r="C143" s="13"/>
      <c r="D143" s="13" t="s">
        <v>19</v>
      </c>
      <c r="E143" s="13"/>
      <c r="F143" s="4">
        <f>1435157+506501</f>
        <v>1941658</v>
      </c>
      <c r="G143" s="13"/>
      <c r="H143" s="4">
        <v>0</v>
      </c>
      <c r="I143" s="13"/>
      <c r="J143" s="4">
        <v>0</v>
      </c>
      <c r="K143" s="13"/>
      <c r="L143" s="4">
        <f>1602296+67523</f>
        <v>1669819</v>
      </c>
      <c r="M143" s="13"/>
      <c r="N143" s="4">
        <v>769667</v>
      </c>
      <c r="O143" s="13"/>
      <c r="P143" s="4">
        <v>0</v>
      </c>
      <c r="Q143" s="13"/>
      <c r="R143" s="4">
        <v>0</v>
      </c>
      <c r="S143" s="13"/>
      <c r="T143" s="4">
        <v>50408</v>
      </c>
      <c r="U143" s="13"/>
      <c r="V143" s="4">
        <v>0</v>
      </c>
      <c r="W143" s="13"/>
      <c r="X143" s="4">
        <v>0</v>
      </c>
      <c r="Y143" s="13"/>
      <c r="Z143" s="4">
        <v>0</v>
      </c>
      <c r="AA143" s="13"/>
      <c r="AB143" s="4">
        <v>0</v>
      </c>
      <c r="AC143" s="13"/>
      <c r="AD143" s="4">
        <v>0</v>
      </c>
      <c r="AE143" s="13"/>
      <c r="AF143" s="4">
        <f t="shared" si="7"/>
        <v>4431552</v>
      </c>
    </row>
    <row r="144" spans="1:32" s="4" customFormat="1">
      <c r="A144" s="4">
        <v>25</v>
      </c>
      <c r="B144" s="4" t="s">
        <v>9</v>
      </c>
      <c r="D144" s="4" t="s">
        <v>10</v>
      </c>
      <c r="F144" s="4">
        <f>1131157+808625</f>
        <v>1939782</v>
      </c>
      <c r="H144" s="4">
        <v>0</v>
      </c>
      <c r="J144" s="4">
        <v>0</v>
      </c>
      <c r="L144" s="4">
        <f>2543816+226140</f>
        <v>2769956</v>
      </c>
      <c r="N144" s="4">
        <v>529906</v>
      </c>
      <c r="P144" s="4">
        <v>0</v>
      </c>
      <c r="R144" s="4">
        <v>0</v>
      </c>
      <c r="T144" s="4">
        <v>336479</v>
      </c>
      <c r="V144" s="4">
        <v>0</v>
      </c>
      <c r="X144" s="4">
        <v>0</v>
      </c>
      <c r="Z144" s="4">
        <v>0</v>
      </c>
      <c r="AB144" s="4">
        <v>0</v>
      </c>
      <c r="AD144" s="4">
        <v>0</v>
      </c>
      <c r="AF144" s="4">
        <f t="shared" si="7"/>
        <v>5576123</v>
      </c>
    </row>
    <row r="145" spans="1:32" s="4" customFormat="1">
      <c r="A145" s="4">
        <v>241</v>
      </c>
      <c r="B145" s="4" t="s">
        <v>175</v>
      </c>
      <c r="D145" s="4" t="s">
        <v>53</v>
      </c>
      <c r="F145" s="1">
        <v>406688.64</v>
      </c>
      <c r="G145" s="1"/>
      <c r="H145" s="1">
        <v>141286.49</v>
      </c>
      <c r="I145" s="1"/>
      <c r="J145" s="1">
        <v>99745.99</v>
      </c>
      <c r="K145" s="1"/>
      <c r="L145" s="1">
        <v>163792.18</v>
      </c>
      <c r="M145" s="1"/>
      <c r="N145" s="1">
        <v>0</v>
      </c>
      <c r="O145" s="1"/>
      <c r="P145" s="1">
        <v>41180.620000000003</v>
      </c>
      <c r="Q145" s="1"/>
      <c r="R145" s="1">
        <v>9336.7800000000007</v>
      </c>
      <c r="S145" s="1"/>
      <c r="T145" s="1">
        <v>285160.33</v>
      </c>
      <c r="U145" s="1"/>
      <c r="V145" s="1">
        <v>0</v>
      </c>
      <c r="W145" s="1"/>
      <c r="X145" s="1">
        <v>0</v>
      </c>
      <c r="Y145" s="1"/>
      <c r="Z145" s="1">
        <v>0</v>
      </c>
      <c r="AA145" s="1"/>
      <c r="AB145" s="1">
        <v>0</v>
      </c>
      <c r="AC145" s="1"/>
      <c r="AD145" s="1">
        <v>0</v>
      </c>
      <c r="AF145" s="4">
        <f t="shared" si="7"/>
        <v>1147191.03</v>
      </c>
    </row>
    <row r="146" spans="1:32" s="4" customFormat="1">
      <c r="A146" s="4">
        <v>41</v>
      </c>
      <c r="B146" s="4" t="s">
        <v>304</v>
      </c>
      <c r="D146" s="4" t="s">
        <v>50</v>
      </c>
      <c r="F146" s="1">
        <v>117335.03999999999</v>
      </c>
      <c r="G146" s="1"/>
      <c r="H146" s="1">
        <v>47126.84</v>
      </c>
      <c r="I146" s="1"/>
      <c r="J146" s="1">
        <v>256831.58</v>
      </c>
      <c r="K146" s="1"/>
      <c r="L146" s="1">
        <v>27608.38</v>
      </c>
      <c r="M146" s="1"/>
      <c r="N146" s="1">
        <v>0</v>
      </c>
      <c r="O146" s="1"/>
      <c r="P146" s="1">
        <v>2543.5700000000002</v>
      </c>
      <c r="Q146" s="1"/>
      <c r="R146" s="1">
        <v>4968.2299999999996</v>
      </c>
      <c r="S146" s="1"/>
      <c r="T146" s="1">
        <v>1525087.58</v>
      </c>
      <c r="U146" s="1"/>
      <c r="V146" s="1">
        <v>800000</v>
      </c>
      <c r="W146" s="1"/>
      <c r="X146" s="1">
        <v>25560.44</v>
      </c>
      <c r="Y146" s="1"/>
      <c r="Z146" s="1">
        <v>608112</v>
      </c>
      <c r="AA146" s="1"/>
      <c r="AB146" s="1">
        <v>0</v>
      </c>
      <c r="AC146" s="1"/>
      <c r="AD146" s="1">
        <v>0</v>
      </c>
      <c r="AF146" s="4">
        <f t="shared" si="7"/>
        <v>3415173.6599999997</v>
      </c>
    </row>
    <row r="147" spans="1:32" s="4" customFormat="1">
      <c r="A147" s="4">
        <v>42</v>
      </c>
      <c r="B147" s="4" t="s">
        <v>176</v>
      </c>
      <c r="D147" s="4" t="s">
        <v>50</v>
      </c>
      <c r="F147" s="1">
        <v>242946.95</v>
      </c>
      <c r="G147" s="1"/>
      <c r="H147" s="1">
        <v>96448.08</v>
      </c>
      <c r="I147" s="1"/>
      <c r="J147" s="1">
        <v>147727</v>
      </c>
      <c r="K147" s="1"/>
      <c r="L147" s="1">
        <v>62789.36</v>
      </c>
      <c r="M147" s="1"/>
      <c r="N147" s="1">
        <v>0</v>
      </c>
      <c r="O147" s="1"/>
      <c r="P147" s="1">
        <v>16010.14</v>
      </c>
      <c r="Q147" s="1"/>
      <c r="R147" s="1">
        <v>7316.85</v>
      </c>
      <c r="S147" s="1"/>
      <c r="T147" s="1">
        <v>365591.81</v>
      </c>
      <c r="U147" s="1"/>
      <c r="V147" s="1">
        <v>0</v>
      </c>
      <c r="W147" s="1"/>
      <c r="X147" s="1">
        <v>0</v>
      </c>
      <c r="Y147" s="1"/>
      <c r="Z147" s="1">
        <v>81149</v>
      </c>
      <c r="AA147" s="1"/>
      <c r="AB147" s="1">
        <v>0</v>
      </c>
      <c r="AC147" s="1"/>
      <c r="AD147" s="1">
        <v>0</v>
      </c>
      <c r="AF147" s="4">
        <f t="shared" si="7"/>
        <v>1019979.19</v>
      </c>
    </row>
    <row r="148" spans="1:32" s="4" customFormat="1">
      <c r="A148" s="4">
        <v>104</v>
      </c>
      <c r="B148" s="4" t="s">
        <v>177</v>
      </c>
      <c r="D148" s="4" t="s">
        <v>59</v>
      </c>
      <c r="F148" s="1">
        <v>69431.73</v>
      </c>
      <c r="G148" s="1"/>
      <c r="H148" s="1">
        <v>17543.38</v>
      </c>
      <c r="I148" s="1"/>
      <c r="J148" s="1">
        <v>29697.1</v>
      </c>
      <c r="K148" s="1"/>
      <c r="L148" s="1">
        <v>5261.63</v>
      </c>
      <c r="M148" s="1"/>
      <c r="N148" s="1">
        <v>0</v>
      </c>
      <c r="O148" s="1"/>
      <c r="P148" s="1">
        <v>2720.09</v>
      </c>
      <c r="Q148" s="1"/>
      <c r="R148" s="1">
        <v>1742.01</v>
      </c>
      <c r="S148" s="1"/>
      <c r="T148" s="1">
        <v>100</v>
      </c>
      <c r="U148" s="1"/>
      <c r="V148" s="1">
        <v>12407.5</v>
      </c>
      <c r="W148" s="1"/>
      <c r="X148" s="1">
        <v>9266.14</v>
      </c>
      <c r="Y148" s="1"/>
      <c r="Z148" s="1">
        <v>0</v>
      </c>
      <c r="AA148" s="1"/>
      <c r="AB148" s="1">
        <v>0</v>
      </c>
      <c r="AC148" s="1"/>
      <c r="AD148" s="1">
        <v>0</v>
      </c>
      <c r="AF148" s="4">
        <f t="shared" si="7"/>
        <v>148169.58000000002</v>
      </c>
    </row>
    <row r="149" spans="1:32" s="4" customFormat="1" hidden="1">
      <c r="A149" s="4">
        <v>134</v>
      </c>
      <c r="B149" s="4" t="s">
        <v>519</v>
      </c>
      <c r="D149" s="4" t="s">
        <v>40</v>
      </c>
      <c r="AF149" s="4">
        <f t="shared" si="7"/>
        <v>0</v>
      </c>
    </row>
    <row r="150" spans="1:32" s="4" customFormat="1">
      <c r="A150" s="4">
        <v>5</v>
      </c>
      <c r="B150" s="4" t="s">
        <v>178</v>
      </c>
      <c r="D150" s="4" t="s">
        <v>96</v>
      </c>
      <c r="F150" s="4">
        <v>1911376</v>
      </c>
      <c r="H150" s="4">
        <v>678580</v>
      </c>
      <c r="J150" s="4">
        <v>448028</v>
      </c>
      <c r="L150" s="4">
        <v>234277</v>
      </c>
      <c r="N150" s="4">
        <v>0</v>
      </c>
      <c r="P150" s="4">
        <v>41384</v>
      </c>
      <c r="R150" s="4">
        <v>38850</v>
      </c>
      <c r="T150" s="4">
        <v>0</v>
      </c>
      <c r="V150" s="4">
        <v>0</v>
      </c>
      <c r="X150" s="4">
        <v>0</v>
      </c>
      <c r="Z150" s="4">
        <v>0</v>
      </c>
      <c r="AB150" s="4">
        <v>0</v>
      </c>
      <c r="AD150" s="4">
        <v>0</v>
      </c>
      <c r="AF150" s="4">
        <f t="shared" si="7"/>
        <v>3352495</v>
      </c>
    </row>
    <row r="151" spans="1:32" s="4" customFormat="1">
      <c r="A151" s="4">
        <v>139</v>
      </c>
      <c r="B151" s="4" t="s">
        <v>520</v>
      </c>
      <c r="D151" s="4" t="s">
        <v>86</v>
      </c>
      <c r="F151" s="4">
        <v>868350</v>
      </c>
      <c r="H151" s="4">
        <v>99874</v>
      </c>
      <c r="J151" s="4">
        <v>233319</v>
      </c>
      <c r="L151" s="4">
        <v>173860</v>
      </c>
      <c r="N151" s="4">
        <v>0</v>
      </c>
      <c r="P151" s="4">
        <v>38972</v>
      </c>
      <c r="R151" s="4">
        <v>50891</v>
      </c>
      <c r="T151" s="4">
        <v>58570</v>
      </c>
      <c r="V151" s="4">
        <v>0</v>
      </c>
      <c r="X151" s="4">
        <v>0</v>
      </c>
      <c r="Z151" s="4">
        <v>0</v>
      </c>
      <c r="AB151" s="4">
        <v>0</v>
      </c>
      <c r="AD151" s="4">
        <v>0</v>
      </c>
      <c r="AF151" s="4">
        <f t="shared" si="7"/>
        <v>1523836</v>
      </c>
    </row>
    <row r="152" spans="1:32" s="4" customFormat="1">
      <c r="A152" s="4">
        <v>108</v>
      </c>
      <c r="B152" s="4" t="s">
        <v>521</v>
      </c>
      <c r="D152" s="4" t="s">
        <v>179</v>
      </c>
      <c r="F152" s="4">
        <v>330444</v>
      </c>
      <c r="H152" s="4">
        <v>128688</v>
      </c>
      <c r="J152" s="4">
        <v>137217</v>
      </c>
      <c r="L152" s="4">
        <v>139691</v>
      </c>
      <c r="N152" s="4">
        <v>0</v>
      </c>
      <c r="P152" s="4">
        <v>42104</v>
      </c>
      <c r="R152" s="4">
        <v>3614</v>
      </c>
      <c r="T152" s="4">
        <v>1530358</v>
      </c>
      <c r="V152" s="4">
        <v>0</v>
      </c>
      <c r="X152" s="4">
        <v>0</v>
      </c>
      <c r="Z152" s="4">
        <v>0</v>
      </c>
      <c r="AB152" s="4">
        <v>0</v>
      </c>
      <c r="AD152" s="4">
        <v>0</v>
      </c>
      <c r="AF152" s="4">
        <f t="shared" si="7"/>
        <v>2312116</v>
      </c>
    </row>
    <row r="153" spans="1:32" s="4" customFormat="1">
      <c r="A153" s="4">
        <v>149</v>
      </c>
      <c r="B153" s="4" t="s">
        <v>11</v>
      </c>
      <c r="D153" s="4" t="s">
        <v>12</v>
      </c>
      <c r="F153" s="4">
        <v>528928</v>
      </c>
      <c r="H153" s="4">
        <v>0</v>
      </c>
      <c r="J153" s="4">
        <v>93211</v>
      </c>
      <c r="L153" s="4">
        <v>108231</v>
      </c>
      <c r="N153" s="4">
        <v>0</v>
      </c>
      <c r="P153" s="4">
        <v>24907</v>
      </c>
      <c r="R153" s="4">
        <v>2280</v>
      </c>
      <c r="T153" s="4">
        <v>23038</v>
      </c>
      <c r="V153" s="4">
        <v>0</v>
      </c>
      <c r="X153" s="4">
        <v>0</v>
      </c>
      <c r="Z153" s="4">
        <v>0</v>
      </c>
      <c r="AB153" s="4">
        <v>0</v>
      </c>
      <c r="AD153" s="4">
        <v>0</v>
      </c>
      <c r="AF153" s="4">
        <f t="shared" si="7"/>
        <v>780595</v>
      </c>
    </row>
    <row r="154" spans="1:32" s="4" customFormat="1">
      <c r="A154" s="4">
        <v>145</v>
      </c>
      <c r="B154" s="4" t="s">
        <v>180</v>
      </c>
      <c r="D154" s="4" t="s">
        <v>56</v>
      </c>
      <c r="F154" s="4">
        <v>1437699</v>
      </c>
      <c r="H154" s="4">
        <v>0</v>
      </c>
      <c r="J154" s="4">
        <v>0</v>
      </c>
      <c r="L154" s="4">
        <v>7285876</v>
      </c>
      <c r="N154" s="4">
        <v>435665</v>
      </c>
      <c r="P154" s="4">
        <v>0</v>
      </c>
      <c r="R154" s="4">
        <v>0</v>
      </c>
      <c r="T154" s="4">
        <v>309976</v>
      </c>
      <c r="V154" s="4">
        <v>477822</v>
      </c>
      <c r="X154" s="4">
        <v>0</v>
      </c>
      <c r="Z154" s="4">
        <v>0</v>
      </c>
      <c r="AB154" s="4">
        <v>0</v>
      </c>
      <c r="AD154" s="4">
        <v>2841113</v>
      </c>
      <c r="AF154" s="4">
        <f t="shared" si="7"/>
        <v>12788151</v>
      </c>
    </row>
    <row r="155" spans="1:32" s="4" customFormat="1">
      <c r="A155" s="4">
        <v>7</v>
      </c>
      <c r="B155" s="4" t="s">
        <v>181</v>
      </c>
      <c r="D155" s="4" t="s">
        <v>82</v>
      </c>
      <c r="F155" s="4">
        <v>333516</v>
      </c>
      <c r="H155" s="4">
        <v>96554</v>
      </c>
      <c r="J155" s="4">
        <v>94442</v>
      </c>
      <c r="L155" s="4">
        <v>61357</v>
      </c>
      <c r="N155" s="4">
        <v>0</v>
      </c>
      <c r="P155" s="4">
        <v>16137</v>
      </c>
      <c r="R155" s="4">
        <v>2593</v>
      </c>
      <c r="T155" s="4">
        <v>13872</v>
      </c>
      <c r="V155" s="4">
        <v>16136</v>
      </c>
      <c r="X155" s="4">
        <v>5735</v>
      </c>
      <c r="Z155" s="4">
        <v>16547</v>
      </c>
      <c r="AB155" s="4">
        <v>0</v>
      </c>
      <c r="AD155" s="4">
        <v>0</v>
      </c>
      <c r="AF155" s="4">
        <f t="shared" si="7"/>
        <v>656889</v>
      </c>
    </row>
    <row r="156" spans="1:32" s="4" customFormat="1">
      <c r="A156" s="4">
        <v>210</v>
      </c>
      <c r="B156" s="4" t="s">
        <v>305</v>
      </c>
      <c r="D156" s="4" t="s">
        <v>25</v>
      </c>
      <c r="F156" s="1">
        <v>355708.75</v>
      </c>
      <c r="G156" s="1"/>
      <c r="H156" s="1">
        <v>74125.38</v>
      </c>
      <c r="I156" s="1"/>
      <c r="J156" s="1">
        <v>87759.7</v>
      </c>
      <c r="K156" s="1"/>
      <c r="L156" s="1">
        <v>106758.49</v>
      </c>
      <c r="M156" s="1"/>
      <c r="N156" s="1">
        <v>0</v>
      </c>
      <c r="O156" s="1"/>
      <c r="P156" s="1">
        <v>9916.0499999999993</v>
      </c>
      <c r="Q156" s="1"/>
      <c r="R156" s="1">
        <v>5338.51</v>
      </c>
      <c r="S156" s="1"/>
      <c r="T156" s="1">
        <v>19045.16</v>
      </c>
      <c r="U156" s="1"/>
      <c r="V156" s="1">
        <v>0</v>
      </c>
      <c r="W156" s="1"/>
      <c r="X156" s="1">
        <v>0</v>
      </c>
      <c r="Y156" s="1"/>
      <c r="Z156" s="1">
        <v>41000</v>
      </c>
      <c r="AA156" s="1"/>
      <c r="AB156" s="1">
        <v>0</v>
      </c>
      <c r="AC156" s="1"/>
      <c r="AD156" s="1">
        <v>0</v>
      </c>
      <c r="AF156" s="4">
        <f t="shared" si="7"/>
        <v>699652.04000000015</v>
      </c>
    </row>
    <row r="157" spans="1:32" s="4" customFormat="1">
      <c r="A157" s="4">
        <v>125</v>
      </c>
      <c r="B157" s="4" t="s">
        <v>182</v>
      </c>
      <c r="D157" s="4" t="s">
        <v>15</v>
      </c>
      <c r="F157" s="4">
        <v>586465</v>
      </c>
      <c r="H157" s="4">
        <v>167562</v>
      </c>
      <c r="J157" s="4">
        <v>158461</v>
      </c>
      <c r="L157" s="4">
        <v>211870</v>
      </c>
      <c r="N157" s="4">
        <v>0</v>
      </c>
      <c r="P157" s="4">
        <v>26399</v>
      </c>
      <c r="R157" s="4">
        <v>5714</v>
      </c>
      <c r="T157" s="4">
        <v>6588</v>
      </c>
      <c r="V157" s="4">
        <v>0</v>
      </c>
      <c r="X157" s="4">
        <v>0</v>
      </c>
      <c r="Z157" s="4">
        <v>0</v>
      </c>
      <c r="AB157" s="4">
        <v>0</v>
      </c>
      <c r="AD157" s="4">
        <v>0</v>
      </c>
      <c r="AF157" s="4">
        <f t="shared" si="7"/>
        <v>1163059</v>
      </c>
    </row>
    <row r="158" spans="1:32" s="4" customFormat="1">
      <c r="A158" s="4">
        <v>197</v>
      </c>
      <c r="B158" s="4" t="s">
        <v>548</v>
      </c>
      <c r="D158" s="4" t="s">
        <v>183</v>
      </c>
      <c r="F158" s="4">
        <v>4182282</v>
      </c>
      <c r="H158" s="4">
        <v>1898509</v>
      </c>
      <c r="J158" s="4">
        <v>1035481</v>
      </c>
      <c r="L158" s="4">
        <v>1241504</v>
      </c>
      <c r="N158" s="4">
        <v>0</v>
      </c>
      <c r="P158" s="4">
        <v>166932</v>
      </c>
      <c r="R158" s="4">
        <v>35020</v>
      </c>
      <c r="T158" s="4">
        <v>405174</v>
      </c>
      <c r="V158" s="4">
        <v>1089</v>
      </c>
      <c r="X158" s="4">
        <v>931</v>
      </c>
      <c r="Z158" s="4">
        <v>0</v>
      </c>
      <c r="AB158" s="4">
        <v>0</v>
      </c>
      <c r="AD158" s="4">
        <v>0</v>
      </c>
      <c r="AF158" s="4">
        <f t="shared" si="7"/>
        <v>8966922</v>
      </c>
    </row>
    <row r="159" spans="1:32" s="4" customFormat="1">
      <c r="A159" s="4">
        <v>195</v>
      </c>
      <c r="B159" s="4" t="s">
        <v>184</v>
      </c>
      <c r="D159" s="4" t="s">
        <v>101</v>
      </c>
      <c r="F159" s="1">
        <v>26952.84</v>
      </c>
      <c r="G159" s="1"/>
      <c r="H159" s="1">
        <v>3920.48</v>
      </c>
      <c r="I159" s="1"/>
      <c r="J159" s="1">
        <v>11633.34</v>
      </c>
      <c r="K159" s="1"/>
      <c r="L159" s="1">
        <v>12526.21</v>
      </c>
      <c r="M159" s="1"/>
      <c r="N159" s="1">
        <v>0</v>
      </c>
      <c r="O159" s="1"/>
      <c r="P159" s="1">
        <v>7719.22</v>
      </c>
      <c r="Q159" s="1"/>
      <c r="R159" s="1">
        <v>271</v>
      </c>
      <c r="S159" s="1"/>
      <c r="T159" s="1">
        <v>0</v>
      </c>
      <c r="U159" s="1"/>
      <c r="V159" s="1">
        <v>0</v>
      </c>
      <c r="W159" s="1"/>
      <c r="X159" s="1">
        <v>0</v>
      </c>
      <c r="Y159" s="1"/>
      <c r="Z159" s="1">
        <v>0</v>
      </c>
      <c r="AA159" s="1"/>
      <c r="AB159" s="1">
        <v>0</v>
      </c>
      <c r="AC159" s="1"/>
      <c r="AD159" s="1">
        <v>191</v>
      </c>
      <c r="AF159" s="4">
        <f t="shared" si="7"/>
        <v>63214.090000000004</v>
      </c>
    </row>
    <row r="160" spans="1:32" s="4" customFormat="1"/>
    <row r="161" spans="1:32" s="4" customFormat="1">
      <c r="AF161" s="27" t="s">
        <v>538</v>
      </c>
    </row>
    <row r="162" spans="1:32">
      <c r="B162" s="3" t="s">
        <v>494</v>
      </c>
    </row>
    <row r="163" spans="1:32">
      <c r="B163" s="3" t="s">
        <v>565</v>
      </c>
    </row>
    <row r="164" spans="1:32">
      <c r="B164" s="24" t="s">
        <v>7</v>
      </c>
    </row>
    <row r="166" spans="1:32" s="19" customFormat="1">
      <c r="B166" s="24"/>
      <c r="L166" s="19" t="s">
        <v>8</v>
      </c>
    </row>
    <row r="167" spans="1:32" s="19" customFormat="1">
      <c r="J167" s="19" t="s">
        <v>320</v>
      </c>
      <c r="L167" s="19" t="s">
        <v>502</v>
      </c>
      <c r="N167" s="19" t="s">
        <v>501</v>
      </c>
      <c r="X167" s="19" t="s">
        <v>327</v>
      </c>
      <c r="AD167" s="19" t="s">
        <v>0</v>
      </c>
    </row>
    <row r="168" spans="1:32" s="19" customFormat="1">
      <c r="H168" s="19" t="s">
        <v>318</v>
      </c>
      <c r="J168" s="19" t="s">
        <v>321</v>
      </c>
      <c r="L168" s="19" t="s">
        <v>322</v>
      </c>
      <c r="N168" s="19" t="s">
        <v>499</v>
      </c>
      <c r="T168" s="19" t="s">
        <v>30</v>
      </c>
      <c r="V168" s="19" t="s">
        <v>325</v>
      </c>
      <c r="X168" s="19" t="s">
        <v>328</v>
      </c>
      <c r="AD168" s="19" t="s">
        <v>293</v>
      </c>
    </row>
    <row r="169" spans="1:32" s="19" customFormat="1" ht="12" customHeight="1">
      <c r="A169" s="19" t="s">
        <v>525</v>
      </c>
      <c r="B169" s="20" t="s">
        <v>8</v>
      </c>
      <c r="C169" s="28"/>
      <c r="D169" s="20" t="s">
        <v>6</v>
      </c>
      <c r="E169" s="28"/>
      <c r="F169" s="20" t="s">
        <v>2</v>
      </c>
      <c r="G169" s="28"/>
      <c r="H169" s="20" t="s">
        <v>508</v>
      </c>
      <c r="I169" s="28"/>
      <c r="J169" s="20" t="s">
        <v>29</v>
      </c>
      <c r="K169" s="28"/>
      <c r="L169" s="20" t="s">
        <v>323</v>
      </c>
      <c r="M169" s="28"/>
      <c r="N169" s="20" t="s">
        <v>500</v>
      </c>
      <c r="O169" s="28"/>
      <c r="P169" s="20" t="s">
        <v>4</v>
      </c>
      <c r="Q169" s="28"/>
      <c r="R169" s="20" t="s">
        <v>0</v>
      </c>
      <c r="S169" s="28"/>
      <c r="T169" s="20" t="s">
        <v>324</v>
      </c>
      <c r="U169" s="28"/>
      <c r="V169" s="20" t="s">
        <v>326</v>
      </c>
      <c r="W169" s="28"/>
      <c r="X169" s="20" t="s">
        <v>329</v>
      </c>
      <c r="Y169" s="28"/>
      <c r="Z169" s="20" t="s">
        <v>476</v>
      </c>
      <c r="AA169" s="28"/>
      <c r="AB169" s="20" t="s">
        <v>477</v>
      </c>
      <c r="AC169" s="28"/>
      <c r="AD169" s="20" t="s">
        <v>330</v>
      </c>
      <c r="AE169" s="28"/>
      <c r="AF169" s="29" t="s">
        <v>28</v>
      </c>
    </row>
    <row r="170" spans="1:32" s="4" customFormat="1">
      <c r="A170" s="4">
        <v>154</v>
      </c>
      <c r="B170" s="3" t="s">
        <v>185</v>
      </c>
      <c r="C170" s="3"/>
      <c r="D170" s="3" t="s">
        <v>186</v>
      </c>
      <c r="E170" s="3"/>
      <c r="F170" s="5">
        <v>1165576</v>
      </c>
      <c r="G170" s="5"/>
      <c r="H170" s="5">
        <v>369284</v>
      </c>
      <c r="I170" s="5"/>
      <c r="J170" s="5">
        <v>236951</v>
      </c>
      <c r="K170" s="5"/>
      <c r="L170" s="5">
        <v>206813</v>
      </c>
      <c r="M170" s="5"/>
      <c r="N170" s="5">
        <v>0</v>
      </c>
      <c r="O170" s="5"/>
      <c r="P170" s="5">
        <v>36291</v>
      </c>
      <c r="Q170" s="5"/>
      <c r="R170" s="5">
        <v>13174</v>
      </c>
      <c r="S170" s="5"/>
      <c r="T170" s="5">
        <v>58057</v>
      </c>
      <c r="U170" s="5"/>
      <c r="V170" s="5">
        <v>0</v>
      </c>
      <c r="W170" s="5"/>
      <c r="X170" s="5">
        <v>0</v>
      </c>
      <c r="Y170" s="5"/>
      <c r="Z170" s="5">
        <v>0</v>
      </c>
      <c r="AA170" s="5"/>
      <c r="AB170" s="5">
        <v>0</v>
      </c>
      <c r="AC170" s="5"/>
      <c r="AD170" s="5">
        <v>0</v>
      </c>
      <c r="AE170" s="5"/>
      <c r="AF170" s="5">
        <f t="shared" ref="AF170:AF201" si="8">SUM(F170:AD170)</f>
        <v>2086146</v>
      </c>
    </row>
    <row r="171" spans="1:32" s="4" customFormat="1">
      <c r="A171" s="4">
        <v>21</v>
      </c>
      <c r="B171" s="4" t="s">
        <v>401</v>
      </c>
      <c r="D171" s="4" t="s">
        <v>13</v>
      </c>
      <c r="F171" s="1">
        <v>508943.74</v>
      </c>
      <c r="G171" s="1"/>
      <c r="H171" s="1">
        <v>144889</v>
      </c>
      <c r="I171" s="1"/>
      <c r="J171" s="1">
        <v>167689.29</v>
      </c>
      <c r="K171" s="1"/>
      <c r="L171" s="1">
        <v>171243.75</v>
      </c>
      <c r="M171" s="1"/>
      <c r="N171" s="1">
        <v>0</v>
      </c>
      <c r="O171" s="1"/>
      <c r="P171" s="1">
        <v>23849.47</v>
      </c>
      <c r="Q171" s="1"/>
      <c r="R171" s="1">
        <v>4649.5200000000004</v>
      </c>
      <c r="S171" s="1"/>
      <c r="T171" s="1">
        <v>12188.46</v>
      </c>
      <c r="U171" s="1"/>
      <c r="V171" s="1">
        <v>0</v>
      </c>
      <c r="W171" s="1"/>
      <c r="X171" s="1">
        <v>0</v>
      </c>
      <c r="Y171" s="1"/>
      <c r="Z171" s="1">
        <v>29916</v>
      </c>
      <c r="AA171" s="1"/>
      <c r="AB171" s="1">
        <v>0</v>
      </c>
      <c r="AC171" s="1"/>
      <c r="AD171" s="1">
        <v>0</v>
      </c>
      <c r="AF171" s="4">
        <f t="shared" si="8"/>
        <v>1063369.23</v>
      </c>
    </row>
    <row r="172" spans="1:32" s="4" customFormat="1">
      <c r="A172" s="4">
        <v>198</v>
      </c>
      <c r="B172" s="4" t="s">
        <v>187</v>
      </c>
      <c r="D172" s="4" t="s">
        <v>183</v>
      </c>
      <c r="F172" s="1">
        <v>257438.01</v>
      </c>
      <c r="G172" s="1"/>
      <c r="H172" s="1">
        <v>122139.54</v>
      </c>
      <c r="I172" s="1"/>
      <c r="J172" s="1">
        <v>144437.39000000001</v>
      </c>
      <c r="K172" s="1"/>
      <c r="L172" s="1">
        <v>85437.1</v>
      </c>
      <c r="M172" s="1"/>
      <c r="N172" s="1">
        <v>0</v>
      </c>
      <c r="O172" s="1"/>
      <c r="P172" s="1">
        <v>16353.82</v>
      </c>
      <c r="Q172" s="1"/>
      <c r="R172" s="1">
        <v>565</v>
      </c>
      <c r="S172" s="1"/>
      <c r="T172" s="1">
        <v>64217.07</v>
      </c>
      <c r="U172" s="1"/>
      <c r="V172" s="1">
        <v>0</v>
      </c>
      <c r="W172" s="1"/>
      <c r="X172" s="1">
        <v>325</v>
      </c>
      <c r="Y172" s="1"/>
      <c r="Z172" s="1">
        <v>0</v>
      </c>
      <c r="AA172" s="1"/>
      <c r="AB172" s="1">
        <v>0</v>
      </c>
      <c r="AC172" s="1"/>
      <c r="AD172" s="1">
        <v>440</v>
      </c>
      <c r="AF172" s="4">
        <f t="shared" si="8"/>
        <v>691352.92999999993</v>
      </c>
    </row>
    <row r="173" spans="1:32" s="4" customFormat="1">
      <c r="A173" s="4">
        <v>242</v>
      </c>
      <c r="B173" s="4" t="s">
        <v>188</v>
      </c>
      <c r="D173" s="4" t="s">
        <v>53</v>
      </c>
      <c r="F173" s="1">
        <v>347746.86</v>
      </c>
      <c r="G173" s="1"/>
      <c r="H173" s="1">
        <v>58410.23</v>
      </c>
      <c r="I173" s="1"/>
      <c r="J173" s="1">
        <v>79891</v>
      </c>
      <c r="K173" s="1"/>
      <c r="L173" s="1">
        <v>80809.59</v>
      </c>
      <c r="M173" s="1"/>
      <c r="N173" s="1">
        <v>0</v>
      </c>
      <c r="O173" s="1"/>
      <c r="P173" s="1">
        <v>9578.56</v>
      </c>
      <c r="Q173" s="1"/>
      <c r="R173" s="1">
        <v>2747.6</v>
      </c>
      <c r="S173" s="1"/>
      <c r="T173" s="1">
        <v>6657.42</v>
      </c>
      <c r="U173" s="1"/>
      <c r="V173" s="1">
        <v>0</v>
      </c>
      <c r="W173" s="1"/>
      <c r="X173" s="1">
        <v>0</v>
      </c>
      <c r="Y173" s="1"/>
      <c r="Z173" s="1">
        <v>0</v>
      </c>
      <c r="AA173" s="1"/>
      <c r="AB173" s="1">
        <v>0</v>
      </c>
      <c r="AC173" s="1"/>
      <c r="AD173" s="1">
        <v>0</v>
      </c>
      <c r="AF173" s="4">
        <f t="shared" si="8"/>
        <v>585841.26</v>
      </c>
    </row>
    <row r="174" spans="1:32" s="4" customFormat="1">
      <c r="A174" s="4">
        <v>99</v>
      </c>
      <c r="B174" s="4" t="s">
        <v>189</v>
      </c>
      <c r="D174" s="4" t="s">
        <v>60</v>
      </c>
      <c r="F174" s="1">
        <v>314739.42</v>
      </c>
      <c r="G174" s="1"/>
      <c r="H174" s="1">
        <v>72947.91</v>
      </c>
      <c r="I174" s="1"/>
      <c r="J174" s="1">
        <v>90401.55</v>
      </c>
      <c r="K174" s="1"/>
      <c r="L174" s="1">
        <v>86181.73</v>
      </c>
      <c r="M174" s="1"/>
      <c r="N174" s="1">
        <v>0</v>
      </c>
      <c r="O174" s="1"/>
      <c r="P174" s="1">
        <v>70029.67</v>
      </c>
      <c r="Q174" s="1"/>
      <c r="R174" s="1">
        <v>3797.31</v>
      </c>
      <c r="S174" s="1"/>
      <c r="T174" s="1">
        <v>10252.68</v>
      </c>
      <c r="U174" s="1"/>
      <c r="V174" s="1">
        <v>0</v>
      </c>
      <c r="W174" s="1"/>
      <c r="X174" s="1">
        <v>0</v>
      </c>
      <c r="Y174" s="1"/>
      <c r="Z174" s="1">
        <v>0</v>
      </c>
      <c r="AA174" s="1"/>
      <c r="AB174" s="1">
        <v>0</v>
      </c>
      <c r="AC174" s="1"/>
      <c r="AD174" s="1">
        <v>0</v>
      </c>
      <c r="AF174" s="4">
        <f t="shared" si="8"/>
        <v>648350.27000000014</v>
      </c>
    </row>
    <row r="175" spans="1:32" s="4" customFormat="1">
      <c r="A175" s="4">
        <v>237</v>
      </c>
      <c r="B175" s="4" t="s">
        <v>190</v>
      </c>
      <c r="D175" s="4" t="s">
        <v>191</v>
      </c>
      <c r="F175" s="4">
        <v>806533</v>
      </c>
      <c r="H175" s="4">
        <v>198393</v>
      </c>
      <c r="J175" s="4">
        <v>136193</v>
      </c>
      <c r="L175" s="4">
        <v>311063</v>
      </c>
      <c r="N175" s="4">
        <v>0</v>
      </c>
      <c r="P175" s="4">
        <v>20221</v>
      </c>
      <c r="R175" s="4">
        <v>95964</v>
      </c>
      <c r="T175" s="4">
        <v>39944</v>
      </c>
      <c r="V175" s="4">
        <v>0</v>
      </c>
      <c r="X175" s="4">
        <v>0</v>
      </c>
      <c r="Z175" s="4">
        <v>0</v>
      </c>
      <c r="AB175" s="4">
        <v>0</v>
      </c>
      <c r="AD175" s="4">
        <v>0</v>
      </c>
      <c r="AF175" s="4">
        <f t="shared" si="8"/>
        <v>1608311</v>
      </c>
    </row>
    <row r="176" spans="1:32" s="4" customFormat="1">
      <c r="A176" s="4">
        <v>243</v>
      </c>
      <c r="B176" s="4" t="s">
        <v>192</v>
      </c>
      <c r="D176" s="4" t="s">
        <v>53</v>
      </c>
      <c r="F176" s="1">
        <v>642258.71</v>
      </c>
      <c r="G176" s="1"/>
      <c r="H176" s="1">
        <v>230401.51</v>
      </c>
      <c r="I176" s="1"/>
      <c r="J176" s="1">
        <v>191709.17</v>
      </c>
      <c r="K176" s="1"/>
      <c r="L176" s="1">
        <v>203865.97</v>
      </c>
      <c r="M176" s="1"/>
      <c r="N176" s="1">
        <v>0</v>
      </c>
      <c r="O176" s="1"/>
      <c r="P176" s="1">
        <v>19206.32</v>
      </c>
      <c r="Q176" s="1"/>
      <c r="R176" s="1">
        <v>4797.79</v>
      </c>
      <c r="S176" s="1"/>
      <c r="T176" s="1">
        <v>3536.22</v>
      </c>
      <c r="U176" s="1"/>
      <c r="V176" s="1">
        <v>0</v>
      </c>
      <c r="W176" s="1"/>
      <c r="X176" s="1">
        <v>0</v>
      </c>
      <c r="Y176" s="1"/>
      <c r="Z176" s="1">
        <v>0</v>
      </c>
      <c r="AA176" s="1"/>
      <c r="AB176" s="1">
        <v>0</v>
      </c>
      <c r="AC176" s="1"/>
      <c r="AD176" s="1">
        <v>0</v>
      </c>
      <c r="AF176" s="4">
        <f t="shared" si="8"/>
        <v>1295775.69</v>
      </c>
    </row>
    <row r="177" spans="1:32" s="4" customFormat="1">
      <c r="A177" s="4">
        <v>211</v>
      </c>
      <c r="B177" s="4" t="s">
        <v>193</v>
      </c>
      <c r="D177" s="4" t="s">
        <v>25</v>
      </c>
      <c r="F177" s="1">
        <v>1162147.52</v>
      </c>
      <c r="G177" s="1"/>
      <c r="H177" s="1">
        <v>249609.61</v>
      </c>
      <c r="I177" s="1"/>
      <c r="J177" s="1">
        <v>396702.15</v>
      </c>
      <c r="K177" s="1"/>
      <c r="L177" s="1">
        <v>324925.23</v>
      </c>
      <c r="M177" s="1"/>
      <c r="N177" s="1">
        <v>0</v>
      </c>
      <c r="O177" s="1"/>
      <c r="P177" s="1">
        <v>49609.35</v>
      </c>
      <c r="Q177" s="1"/>
      <c r="R177" s="1">
        <v>10073.77</v>
      </c>
      <c r="S177" s="1"/>
      <c r="T177" s="1">
        <v>120760.12</v>
      </c>
      <c r="U177" s="1"/>
      <c r="V177" s="1">
        <v>0</v>
      </c>
      <c r="W177" s="1"/>
      <c r="X177" s="1">
        <v>0</v>
      </c>
      <c r="Y177" s="1"/>
      <c r="Z177" s="1">
        <v>31000</v>
      </c>
      <c r="AA177" s="1"/>
      <c r="AB177" s="1">
        <v>0</v>
      </c>
      <c r="AC177" s="1"/>
      <c r="AD177" s="1">
        <v>0</v>
      </c>
      <c r="AF177" s="4">
        <f t="shared" si="8"/>
        <v>2344827.75</v>
      </c>
    </row>
    <row r="178" spans="1:32" s="4" customFormat="1">
      <c r="A178" s="4">
        <v>94</v>
      </c>
      <c r="B178" s="4" t="s">
        <v>337</v>
      </c>
      <c r="D178" s="4" t="s">
        <v>137</v>
      </c>
      <c r="F178" s="1">
        <v>152571.26999999999</v>
      </c>
      <c r="G178" s="1"/>
      <c r="H178" s="1">
        <v>52819.31</v>
      </c>
      <c r="I178" s="1"/>
      <c r="J178" s="1">
        <v>31595.24</v>
      </c>
      <c r="K178" s="1"/>
      <c r="L178" s="1">
        <v>22404.49</v>
      </c>
      <c r="M178" s="1"/>
      <c r="N178" s="1">
        <v>0</v>
      </c>
      <c r="O178" s="1"/>
      <c r="P178" s="1">
        <v>4930.1499999999996</v>
      </c>
      <c r="Q178" s="1"/>
      <c r="R178" s="1">
        <v>3374.49</v>
      </c>
      <c r="S178" s="1"/>
      <c r="T178" s="1">
        <v>199.6</v>
      </c>
      <c r="U178" s="1"/>
      <c r="V178" s="1">
        <v>0</v>
      </c>
      <c r="W178" s="1"/>
      <c r="X178" s="1">
        <v>0</v>
      </c>
      <c r="Y178" s="1"/>
      <c r="Z178" s="1">
        <v>0</v>
      </c>
      <c r="AA178" s="1"/>
      <c r="AB178" s="1">
        <v>0</v>
      </c>
      <c r="AC178" s="1"/>
      <c r="AD178" s="1">
        <v>0</v>
      </c>
      <c r="AF178" s="4">
        <f t="shared" si="8"/>
        <v>267894.54999999993</v>
      </c>
    </row>
    <row r="179" spans="1:32" s="4" customFormat="1">
      <c r="A179" s="4">
        <v>227</v>
      </c>
      <c r="B179" s="4" t="s">
        <v>411</v>
      </c>
      <c r="D179" s="4" t="s">
        <v>55</v>
      </c>
      <c r="F179" s="4">
        <v>484399</v>
      </c>
      <c r="H179" s="4">
        <v>166536</v>
      </c>
      <c r="J179" s="4">
        <v>176571</v>
      </c>
      <c r="L179" s="4">
        <v>109153</v>
      </c>
      <c r="N179" s="4">
        <v>0</v>
      </c>
      <c r="P179" s="4">
        <v>14468</v>
      </c>
      <c r="R179" s="4">
        <v>4242</v>
      </c>
      <c r="T179" s="4">
        <v>14951</v>
      </c>
      <c r="V179" s="4">
        <v>0</v>
      </c>
      <c r="X179" s="4">
        <v>0</v>
      </c>
      <c r="Z179" s="4">
        <v>18357</v>
      </c>
      <c r="AB179" s="4">
        <v>0</v>
      </c>
      <c r="AD179" s="4">
        <v>0</v>
      </c>
      <c r="AF179" s="4">
        <f t="shared" si="8"/>
        <v>988677</v>
      </c>
    </row>
    <row r="180" spans="1:32" s="4" customFormat="1">
      <c r="A180" s="4">
        <v>29</v>
      </c>
      <c r="B180" s="4" t="s">
        <v>194</v>
      </c>
      <c r="D180" s="4" t="s">
        <v>61</v>
      </c>
      <c r="F180" s="1">
        <v>158823.88</v>
      </c>
      <c r="G180" s="1"/>
      <c r="H180" s="1">
        <v>62044.61</v>
      </c>
      <c r="I180" s="1"/>
      <c r="J180" s="1">
        <v>31632.77</v>
      </c>
      <c r="K180" s="1"/>
      <c r="L180" s="1">
        <v>24798.93</v>
      </c>
      <c r="M180" s="1"/>
      <c r="N180" s="1">
        <v>0</v>
      </c>
      <c r="O180" s="1"/>
      <c r="P180" s="1">
        <v>6554.69</v>
      </c>
      <c r="Q180" s="1"/>
      <c r="R180" s="1">
        <v>1372.32</v>
      </c>
      <c r="S180" s="1"/>
      <c r="T180" s="1">
        <v>8512</v>
      </c>
      <c r="U180" s="1"/>
      <c r="V180" s="1">
        <v>0</v>
      </c>
      <c r="W180" s="1"/>
      <c r="X180" s="1">
        <v>0</v>
      </c>
      <c r="Y180" s="1"/>
      <c r="Z180" s="1">
        <v>0</v>
      </c>
      <c r="AA180" s="1"/>
      <c r="AB180" s="1">
        <v>0</v>
      </c>
      <c r="AC180" s="1"/>
      <c r="AD180" s="1">
        <v>0</v>
      </c>
      <c r="AF180" s="4">
        <f t="shared" si="8"/>
        <v>293739.2</v>
      </c>
    </row>
    <row r="181" spans="1:32" s="4" customFormat="1">
      <c r="A181" s="4">
        <v>156</v>
      </c>
      <c r="B181" s="4" t="s">
        <v>549</v>
      </c>
      <c r="D181" s="4" t="s">
        <v>20</v>
      </c>
      <c r="F181" s="4">
        <v>4112686</v>
      </c>
      <c r="H181" s="4">
        <v>1082466</v>
      </c>
      <c r="J181" s="4">
        <v>1666106</v>
      </c>
      <c r="L181" s="4">
        <v>931091</v>
      </c>
      <c r="N181" s="4">
        <v>0</v>
      </c>
      <c r="P181" s="4">
        <v>136392</v>
      </c>
      <c r="R181" s="4">
        <v>26343</v>
      </c>
      <c r="T181" s="4">
        <v>765979</v>
      </c>
      <c r="V181" s="4">
        <v>1660000</v>
      </c>
      <c r="X181" s="4">
        <v>1598813</v>
      </c>
      <c r="Z181" s="4">
        <v>0</v>
      </c>
      <c r="AB181" s="4">
        <v>0</v>
      </c>
      <c r="AD181" s="4">
        <v>0</v>
      </c>
      <c r="AF181" s="4">
        <f t="shared" si="8"/>
        <v>11979876</v>
      </c>
    </row>
    <row r="182" spans="1:32" s="4" customFormat="1">
      <c r="A182" s="4">
        <v>157</v>
      </c>
      <c r="B182" s="4" t="s">
        <v>460</v>
      </c>
      <c r="D182" s="4" t="s">
        <v>404</v>
      </c>
      <c r="F182" s="1">
        <v>395874.16</v>
      </c>
      <c r="G182" s="1"/>
      <c r="H182" s="1">
        <v>103344.97</v>
      </c>
      <c r="I182" s="1"/>
      <c r="J182" s="1">
        <v>92001.14</v>
      </c>
      <c r="K182" s="1"/>
      <c r="L182" s="1">
        <v>87242.33</v>
      </c>
      <c r="M182" s="1"/>
      <c r="N182" s="1">
        <v>0</v>
      </c>
      <c r="O182" s="1"/>
      <c r="P182" s="1">
        <v>18352.810000000001</v>
      </c>
      <c r="Q182" s="1"/>
      <c r="R182" s="1">
        <v>3295</v>
      </c>
      <c r="S182" s="1"/>
      <c r="T182" s="1">
        <v>30068.01</v>
      </c>
      <c r="U182" s="1"/>
      <c r="V182" s="1">
        <v>0</v>
      </c>
      <c r="W182" s="1"/>
      <c r="X182" s="1">
        <v>0</v>
      </c>
      <c r="Y182" s="1"/>
      <c r="Z182" s="1">
        <v>50000</v>
      </c>
      <c r="AA182" s="1"/>
      <c r="AB182" s="1">
        <v>0</v>
      </c>
      <c r="AC182" s="1"/>
      <c r="AD182" s="1">
        <v>0</v>
      </c>
      <c r="AF182" s="4">
        <f t="shared" si="8"/>
        <v>780178.42</v>
      </c>
    </row>
    <row r="183" spans="1:32" s="4" customFormat="1">
      <c r="A183" s="4">
        <v>126</v>
      </c>
      <c r="B183" s="4" t="s">
        <v>14</v>
      </c>
      <c r="D183" s="4" t="s">
        <v>15</v>
      </c>
      <c r="F183" s="4">
        <v>2018693</v>
      </c>
      <c r="H183" s="4">
        <v>0</v>
      </c>
      <c r="J183" s="4">
        <v>557522</v>
      </c>
      <c r="L183" s="4">
        <v>794900</v>
      </c>
      <c r="N183" s="4">
        <v>0</v>
      </c>
      <c r="P183" s="4">
        <v>50463</v>
      </c>
      <c r="R183" s="4">
        <v>11301</v>
      </c>
      <c r="T183" s="4">
        <v>312384</v>
      </c>
      <c r="V183" s="4">
        <v>39000</v>
      </c>
      <c r="X183" s="4">
        <v>19115</v>
      </c>
      <c r="Z183" s="4">
        <v>96615</v>
      </c>
      <c r="AB183" s="4">
        <v>0</v>
      </c>
      <c r="AD183" s="4">
        <v>0</v>
      </c>
      <c r="AF183" s="4">
        <f t="shared" si="8"/>
        <v>3899993</v>
      </c>
    </row>
    <row r="184" spans="1:32" s="4" customFormat="1">
      <c r="A184" s="4">
        <v>160</v>
      </c>
      <c r="B184" s="4" t="s">
        <v>550</v>
      </c>
      <c r="D184" s="4" t="s">
        <v>49</v>
      </c>
      <c r="F184" s="1">
        <v>479320.94</v>
      </c>
      <c r="G184" s="1"/>
      <c r="H184" s="1">
        <v>141777.49</v>
      </c>
      <c r="I184" s="1"/>
      <c r="J184" s="1">
        <v>142888.9</v>
      </c>
      <c r="K184" s="1"/>
      <c r="L184" s="1">
        <v>19699.82</v>
      </c>
      <c r="M184" s="1"/>
      <c r="N184" s="1">
        <v>0</v>
      </c>
      <c r="O184" s="1"/>
      <c r="P184" s="1">
        <v>19055.21</v>
      </c>
      <c r="Q184" s="1"/>
      <c r="R184" s="1">
        <v>11895.12</v>
      </c>
      <c r="S184" s="1"/>
      <c r="T184" s="1">
        <v>25985.599999999999</v>
      </c>
      <c r="U184" s="1"/>
      <c r="V184" s="1">
        <v>0</v>
      </c>
      <c r="W184" s="1"/>
      <c r="X184" s="1">
        <v>0</v>
      </c>
      <c r="Y184" s="1"/>
      <c r="Z184" s="1">
        <v>0</v>
      </c>
      <c r="AA184" s="1"/>
      <c r="AB184" s="1">
        <v>0</v>
      </c>
      <c r="AC184" s="1"/>
      <c r="AD184" s="1">
        <v>0</v>
      </c>
      <c r="AF184" s="4">
        <f t="shared" si="8"/>
        <v>840623.07999999984</v>
      </c>
    </row>
    <row r="185" spans="1:32" s="4" customFormat="1">
      <c r="A185" s="4">
        <v>26</v>
      </c>
      <c r="B185" s="4" t="s">
        <v>195</v>
      </c>
      <c r="D185" s="4" t="s">
        <v>10</v>
      </c>
      <c r="F185" s="4">
        <f>1279176+760114</f>
        <v>2039290</v>
      </c>
      <c r="H185" s="4">
        <v>0</v>
      </c>
      <c r="J185" s="4">
        <v>0</v>
      </c>
      <c r="L185" s="4">
        <f>2301480+115173</f>
        <v>2416653</v>
      </c>
      <c r="N185" s="4">
        <v>711316</v>
      </c>
      <c r="P185" s="4">
        <v>0</v>
      </c>
      <c r="R185" s="4">
        <v>0</v>
      </c>
      <c r="T185" s="4">
        <v>1063970</v>
      </c>
      <c r="V185" s="4">
        <v>0</v>
      </c>
      <c r="X185" s="4">
        <v>0</v>
      </c>
      <c r="Z185" s="4">
        <v>2000000</v>
      </c>
      <c r="AB185" s="4">
        <v>0</v>
      </c>
      <c r="AD185" s="4">
        <v>0</v>
      </c>
      <c r="AF185" s="4">
        <f t="shared" si="8"/>
        <v>8231229</v>
      </c>
    </row>
    <row r="186" spans="1:32" s="4" customFormat="1">
      <c r="A186" s="4">
        <v>67</v>
      </c>
      <c r="B186" s="4" t="s">
        <v>196</v>
      </c>
      <c r="D186" s="4" t="s">
        <v>165</v>
      </c>
      <c r="F186" s="1">
        <v>410042.16</v>
      </c>
      <c r="G186" s="1"/>
      <c r="H186" s="1">
        <v>69476.27</v>
      </c>
      <c r="I186" s="1"/>
      <c r="J186" s="1">
        <v>111404.59</v>
      </c>
      <c r="K186" s="1"/>
      <c r="L186" s="1">
        <v>161227.06</v>
      </c>
      <c r="M186" s="1"/>
      <c r="N186" s="1">
        <v>0</v>
      </c>
      <c r="O186" s="1"/>
      <c r="P186" s="1">
        <v>30226.97</v>
      </c>
      <c r="Q186" s="1"/>
      <c r="R186" s="1">
        <v>2377.5</v>
      </c>
      <c r="S186" s="1"/>
      <c r="T186" s="1">
        <v>40838.519999999997</v>
      </c>
      <c r="U186" s="1"/>
      <c r="V186" s="1">
        <v>0</v>
      </c>
      <c r="W186" s="1"/>
      <c r="X186" s="1">
        <v>0</v>
      </c>
      <c r="Y186" s="1"/>
      <c r="Z186" s="1">
        <v>0</v>
      </c>
      <c r="AA186" s="1"/>
      <c r="AB186" s="1">
        <v>0</v>
      </c>
      <c r="AC186" s="1"/>
      <c r="AD186" s="1">
        <v>55450</v>
      </c>
      <c r="AF186" s="4">
        <f t="shared" si="8"/>
        <v>881043.07000000007</v>
      </c>
    </row>
    <row r="187" spans="1:32" s="4" customFormat="1">
      <c r="A187" s="4">
        <v>165</v>
      </c>
      <c r="B187" s="4" t="s">
        <v>197</v>
      </c>
      <c r="D187" s="4" t="s">
        <v>52</v>
      </c>
      <c r="F187" s="1">
        <v>228378.23</v>
      </c>
      <c r="G187" s="1"/>
      <c r="H187" s="1">
        <v>62301.95</v>
      </c>
      <c r="I187" s="1"/>
      <c r="J187" s="1">
        <v>69253.08</v>
      </c>
      <c r="K187" s="1"/>
      <c r="L187" s="1">
        <v>47000.959999999999</v>
      </c>
      <c r="M187" s="1"/>
      <c r="N187" s="1">
        <v>0</v>
      </c>
      <c r="O187" s="1"/>
      <c r="P187" s="1">
        <v>9270.86</v>
      </c>
      <c r="Q187" s="1"/>
      <c r="R187" s="1">
        <v>1097.8499999999999</v>
      </c>
      <c r="S187" s="1"/>
      <c r="T187" s="1">
        <v>2825.79</v>
      </c>
      <c r="U187" s="1"/>
      <c r="V187" s="1">
        <v>0</v>
      </c>
      <c r="W187" s="1"/>
      <c r="X187" s="1">
        <v>0</v>
      </c>
      <c r="Y187" s="1"/>
      <c r="Z187" s="1">
        <v>0</v>
      </c>
      <c r="AA187" s="1"/>
      <c r="AB187" s="1">
        <v>0</v>
      </c>
      <c r="AC187" s="1"/>
      <c r="AD187" s="1">
        <v>0</v>
      </c>
      <c r="AF187" s="4">
        <f t="shared" si="8"/>
        <v>420128.72</v>
      </c>
    </row>
    <row r="188" spans="1:32" s="4" customFormat="1">
      <c r="A188" s="4">
        <v>212</v>
      </c>
      <c r="B188" s="4" t="s">
        <v>198</v>
      </c>
      <c r="D188" s="4" t="s">
        <v>25</v>
      </c>
      <c r="F188" s="1">
        <v>391758.78</v>
      </c>
      <c r="G188" s="1"/>
      <c r="H188" s="1">
        <v>115714.25</v>
      </c>
      <c r="I188" s="1"/>
      <c r="J188" s="1">
        <v>73262.14</v>
      </c>
      <c r="K188" s="1"/>
      <c r="L188" s="1">
        <v>79867.199999999997</v>
      </c>
      <c r="M188" s="1"/>
      <c r="N188" s="1">
        <v>0</v>
      </c>
      <c r="O188" s="1"/>
      <c r="P188" s="1">
        <v>12785.45</v>
      </c>
      <c r="Q188" s="1"/>
      <c r="R188" s="1">
        <v>21860.9</v>
      </c>
      <c r="S188" s="1"/>
      <c r="T188" s="1">
        <v>1333.65</v>
      </c>
      <c r="U188" s="1"/>
      <c r="V188" s="1">
        <v>0</v>
      </c>
      <c r="W188" s="1"/>
      <c r="X188" s="1">
        <v>0</v>
      </c>
      <c r="Y188" s="1"/>
      <c r="Z188" s="1">
        <v>0</v>
      </c>
      <c r="AA188" s="1"/>
      <c r="AB188" s="1">
        <v>0</v>
      </c>
      <c r="AC188" s="1"/>
      <c r="AD188" s="1">
        <v>0</v>
      </c>
      <c r="AF188" s="4">
        <f t="shared" si="8"/>
        <v>696582.37</v>
      </c>
    </row>
    <row r="189" spans="1:32" s="4" customFormat="1">
      <c r="A189" s="4">
        <v>259</v>
      </c>
      <c r="B189" s="4" t="s">
        <v>306</v>
      </c>
      <c r="D189" s="4" t="s">
        <v>62</v>
      </c>
      <c r="F189" s="1">
        <v>115705.65</v>
      </c>
      <c r="G189" s="1"/>
      <c r="H189" s="1">
        <v>18179.53</v>
      </c>
      <c r="I189" s="1"/>
      <c r="J189" s="1">
        <v>43641.86</v>
      </c>
      <c r="K189" s="1"/>
      <c r="L189" s="1">
        <v>32481.26</v>
      </c>
      <c r="M189" s="1"/>
      <c r="N189" s="1">
        <v>0</v>
      </c>
      <c r="O189" s="1"/>
      <c r="P189" s="1">
        <v>7232.59</v>
      </c>
      <c r="Q189" s="1"/>
      <c r="R189" s="1">
        <v>1922.5</v>
      </c>
      <c r="S189" s="1"/>
      <c r="T189" s="1">
        <v>7235.74</v>
      </c>
      <c r="U189" s="1"/>
      <c r="V189" s="1">
        <v>0</v>
      </c>
      <c r="W189" s="1"/>
      <c r="X189" s="1">
        <v>0</v>
      </c>
      <c r="Y189" s="1"/>
      <c r="Z189" s="1">
        <v>0</v>
      </c>
      <c r="AA189" s="1"/>
      <c r="AB189" s="1">
        <v>0</v>
      </c>
      <c r="AC189" s="1"/>
      <c r="AD189" s="1">
        <v>0</v>
      </c>
      <c r="AF189" s="4">
        <f t="shared" si="8"/>
        <v>226399.12999999998</v>
      </c>
    </row>
    <row r="190" spans="1:32" s="4" customFormat="1">
      <c r="A190" s="4">
        <v>168</v>
      </c>
      <c r="B190" s="4" t="s">
        <v>478</v>
      </c>
      <c r="D190" s="4" t="s">
        <v>63</v>
      </c>
      <c r="F190" s="1">
        <v>248647.08</v>
      </c>
      <c r="G190" s="1"/>
      <c r="H190" s="1">
        <v>90772.5</v>
      </c>
      <c r="I190" s="1"/>
      <c r="J190" s="1">
        <v>86837.52</v>
      </c>
      <c r="K190" s="1"/>
      <c r="L190" s="1">
        <v>66257.39</v>
      </c>
      <c r="M190" s="1"/>
      <c r="N190" s="1">
        <v>0</v>
      </c>
      <c r="O190" s="1"/>
      <c r="P190" s="1">
        <v>7770.78</v>
      </c>
      <c r="Q190" s="1"/>
      <c r="R190" s="1">
        <v>7388</v>
      </c>
      <c r="S190" s="1"/>
      <c r="T190" s="1">
        <v>0</v>
      </c>
      <c r="U190" s="1"/>
      <c r="V190" s="1">
        <v>0</v>
      </c>
      <c r="W190" s="1"/>
      <c r="X190" s="1">
        <v>0</v>
      </c>
      <c r="Y190" s="1"/>
      <c r="Z190" s="1">
        <v>0</v>
      </c>
      <c r="AA190" s="1"/>
      <c r="AB190" s="1">
        <v>0</v>
      </c>
      <c r="AC190" s="1"/>
      <c r="AD190" s="1">
        <v>0</v>
      </c>
      <c r="AF190" s="4">
        <f t="shared" si="8"/>
        <v>507673.27</v>
      </c>
    </row>
    <row r="191" spans="1:32" s="4" customFormat="1">
      <c r="A191" s="4">
        <v>111</v>
      </c>
      <c r="B191" s="4" t="s">
        <v>200</v>
      </c>
      <c r="D191" s="4" t="s">
        <v>88</v>
      </c>
      <c r="F191" s="4">
        <v>73590</v>
      </c>
      <c r="H191" s="4">
        <v>10676</v>
      </c>
      <c r="J191" s="4">
        <v>24737</v>
      </c>
      <c r="L191" s="4">
        <v>15835</v>
      </c>
      <c r="N191" s="4">
        <v>0</v>
      </c>
      <c r="P191" s="4">
        <v>2867</v>
      </c>
      <c r="R191" s="4">
        <v>370</v>
      </c>
      <c r="T191" s="4">
        <v>3750</v>
      </c>
      <c r="V191" s="4">
        <v>0</v>
      </c>
      <c r="X191" s="4">
        <v>0</v>
      </c>
      <c r="Z191" s="4">
        <v>0</v>
      </c>
      <c r="AB191" s="4">
        <v>0</v>
      </c>
      <c r="AD191" s="4">
        <v>0</v>
      </c>
      <c r="AF191" s="4">
        <f t="shared" si="8"/>
        <v>131825</v>
      </c>
    </row>
    <row r="192" spans="1:32" s="4" customFormat="1">
      <c r="A192" s="4">
        <v>248</v>
      </c>
      <c r="B192" s="4" t="s">
        <v>201</v>
      </c>
      <c r="D192" s="4" t="s">
        <v>202</v>
      </c>
      <c r="F192" s="4">
        <v>111763</v>
      </c>
      <c r="H192" s="4">
        <v>18178</v>
      </c>
      <c r="J192" s="4">
        <v>52677</v>
      </c>
      <c r="L192" s="4">
        <f>18532+94</f>
        <v>18626</v>
      </c>
      <c r="N192" s="4">
        <v>0</v>
      </c>
      <c r="P192" s="4">
        <v>7317</v>
      </c>
      <c r="R192" s="4">
        <v>2630</v>
      </c>
      <c r="T192" s="4">
        <f>440656+14024</f>
        <v>454680</v>
      </c>
      <c r="V192" s="4">
        <v>0</v>
      </c>
      <c r="X192" s="4">
        <v>0</v>
      </c>
      <c r="Z192" s="4">
        <v>0</v>
      </c>
      <c r="AB192" s="4">
        <v>0</v>
      </c>
      <c r="AD192" s="4">
        <v>0</v>
      </c>
      <c r="AF192" s="4">
        <f t="shared" si="8"/>
        <v>665871</v>
      </c>
    </row>
    <row r="193" spans="1:32" s="4" customFormat="1">
      <c r="A193" s="4">
        <v>127</v>
      </c>
      <c r="B193" s="4" t="s">
        <v>203</v>
      </c>
      <c r="D193" s="4" t="s">
        <v>15</v>
      </c>
      <c r="F193" s="4">
        <v>1325694</v>
      </c>
      <c r="H193" s="4">
        <v>414649</v>
      </c>
      <c r="J193" s="4">
        <v>383591</v>
      </c>
      <c r="L193" s="4">
        <v>416511</v>
      </c>
      <c r="N193" s="4">
        <v>0</v>
      </c>
      <c r="P193" s="4">
        <v>56071</v>
      </c>
      <c r="R193" s="4">
        <v>9682</v>
      </c>
      <c r="T193" s="4">
        <v>14477</v>
      </c>
      <c r="V193" s="4">
        <v>500000</v>
      </c>
      <c r="X193" s="4">
        <v>404087</v>
      </c>
      <c r="Z193" s="4">
        <v>0</v>
      </c>
      <c r="AB193" s="4">
        <v>0</v>
      </c>
      <c r="AD193" s="4">
        <v>0</v>
      </c>
      <c r="AF193" s="4">
        <f t="shared" si="8"/>
        <v>3524762</v>
      </c>
    </row>
    <row r="194" spans="1:32" s="4" customFormat="1">
      <c r="A194" s="4">
        <v>175</v>
      </c>
      <c r="B194" s="4" t="s">
        <v>204</v>
      </c>
      <c r="D194" s="4" t="s">
        <v>67</v>
      </c>
      <c r="F194" s="4">
        <v>177355</v>
      </c>
      <c r="H194" s="4">
        <v>31595</v>
      </c>
      <c r="J194" s="4">
        <v>84369</v>
      </c>
      <c r="L194" s="4">
        <v>38107</v>
      </c>
      <c r="N194" s="4">
        <v>0</v>
      </c>
      <c r="P194" s="4">
        <v>5860</v>
      </c>
      <c r="R194" s="4">
        <f>4099+11847</f>
        <v>15946</v>
      </c>
      <c r="T194" s="4">
        <v>3578</v>
      </c>
      <c r="V194" s="4">
        <v>0</v>
      </c>
      <c r="X194" s="4">
        <v>0</v>
      </c>
      <c r="Z194" s="4">
        <v>0</v>
      </c>
      <c r="AB194" s="4">
        <v>0</v>
      </c>
      <c r="AD194" s="4">
        <v>0</v>
      </c>
      <c r="AF194" s="4">
        <f t="shared" si="8"/>
        <v>356810</v>
      </c>
    </row>
    <row r="195" spans="1:32" s="4" customFormat="1">
      <c r="A195" s="4">
        <v>150</v>
      </c>
      <c r="B195" s="4" t="s">
        <v>205</v>
      </c>
      <c r="D195" s="4" t="s">
        <v>12</v>
      </c>
      <c r="F195" s="1">
        <v>99165.23</v>
      </c>
      <c r="G195" s="1"/>
      <c r="H195" s="1">
        <v>19987.7</v>
      </c>
      <c r="I195" s="1"/>
      <c r="J195" s="1">
        <v>55778.86</v>
      </c>
      <c r="K195" s="1"/>
      <c r="L195" s="1">
        <v>17307.03</v>
      </c>
      <c r="M195" s="1"/>
      <c r="N195" s="1">
        <v>0</v>
      </c>
      <c r="O195" s="1"/>
      <c r="P195" s="1">
        <v>3750.24</v>
      </c>
      <c r="Q195" s="1"/>
      <c r="R195" s="1">
        <v>2228.89</v>
      </c>
      <c r="S195" s="1"/>
      <c r="T195" s="1">
        <v>11691.89</v>
      </c>
      <c r="U195" s="1"/>
      <c r="V195" s="1">
        <v>0</v>
      </c>
      <c r="W195" s="1"/>
      <c r="X195" s="1">
        <v>0</v>
      </c>
      <c r="Y195" s="1"/>
      <c r="Z195" s="1">
        <v>0</v>
      </c>
      <c r="AA195" s="1"/>
      <c r="AB195" s="1">
        <v>0</v>
      </c>
      <c r="AC195" s="1"/>
      <c r="AD195" s="1">
        <v>0</v>
      </c>
      <c r="AF195" s="4">
        <f t="shared" si="8"/>
        <v>209909.83999999997</v>
      </c>
    </row>
    <row r="196" spans="1:32" s="4" customFormat="1">
      <c r="A196" s="4">
        <v>122</v>
      </c>
      <c r="B196" s="4" t="s">
        <v>402</v>
      </c>
      <c r="D196" s="4" t="s">
        <v>16</v>
      </c>
      <c r="F196" s="4">
        <v>0</v>
      </c>
      <c r="H196" s="4">
        <v>0</v>
      </c>
      <c r="J196" s="4">
        <v>0</v>
      </c>
      <c r="L196" s="4">
        <v>1582655</v>
      </c>
      <c r="N196" s="4">
        <v>0</v>
      </c>
      <c r="P196" s="4">
        <v>0</v>
      </c>
      <c r="R196" s="4">
        <v>0</v>
      </c>
      <c r="T196" s="4">
        <v>21816</v>
      </c>
      <c r="V196" s="4">
        <v>232180</v>
      </c>
      <c r="X196" s="4">
        <v>0</v>
      </c>
      <c r="Z196" s="4">
        <v>0</v>
      </c>
      <c r="AB196" s="4">
        <v>0</v>
      </c>
      <c r="AD196" s="4">
        <v>0</v>
      </c>
      <c r="AF196" s="4">
        <f t="shared" si="8"/>
        <v>1836651</v>
      </c>
    </row>
    <row r="197" spans="1:32" s="4" customFormat="1">
      <c r="A197" s="4">
        <v>178</v>
      </c>
      <c r="B197" s="4" t="s">
        <v>551</v>
      </c>
      <c r="D197" s="4" t="s">
        <v>207</v>
      </c>
      <c r="F197" s="4">
        <v>459553</v>
      </c>
      <c r="H197" s="4">
        <v>0</v>
      </c>
      <c r="J197" s="4">
        <v>0</v>
      </c>
      <c r="L197" s="4">
        <f>2284520+481808</f>
        <v>2766328</v>
      </c>
      <c r="N197" s="4">
        <v>0</v>
      </c>
      <c r="P197" s="4">
        <v>0</v>
      </c>
      <c r="R197" s="4">
        <v>0</v>
      </c>
      <c r="T197" s="4">
        <v>65411</v>
      </c>
      <c r="V197" s="4">
        <v>0</v>
      </c>
      <c r="X197" s="4">
        <v>0</v>
      </c>
      <c r="Z197" s="4">
        <v>184975</v>
      </c>
      <c r="AB197" s="4">
        <v>0</v>
      </c>
      <c r="AD197" s="4">
        <v>0</v>
      </c>
      <c r="AF197" s="4">
        <f t="shared" si="8"/>
        <v>3476267</v>
      </c>
    </row>
    <row r="198" spans="1:32" s="4" customFormat="1">
      <c r="A198" s="4">
        <v>105</v>
      </c>
      <c r="B198" s="4" t="s">
        <v>331</v>
      </c>
      <c r="D198" s="4" t="s">
        <v>59</v>
      </c>
      <c r="F198" s="4">
        <v>440433</v>
      </c>
      <c r="H198" s="4">
        <v>131850</v>
      </c>
      <c r="J198" s="4">
        <f>79798+2717</f>
        <v>82515</v>
      </c>
      <c r="L198" s="4">
        <f>107504+274</f>
        <v>107778</v>
      </c>
      <c r="N198" s="4">
        <v>0</v>
      </c>
      <c r="P198" s="4">
        <v>12375</v>
      </c>
      <c r="R198" s="4">
        <v>4622</v>
      </c>
      <c r="T198" s="4">
        <f>638+890+10679</f>
        <v>12207</v>
      </c>
      <c r="V198" s="4">
        <v>0</v>
      </c>
      <c r="X198" s="4">
        <v>0</v>
      </c>
      <c r="Z198" s="4">
        <v>0</v>
      </c>
      <c r="AB198" s="4">
        <v>0</v>
      </c>
      <c r="AD198" s="4">
        <v>0</v>
      </c>
      <c r="AF198" s="4">
        <f t="shared" si="8"/>
        <v>791780</v>
      </c>
    </row>
    <row r="199" spans="1:32" s="4" customFormat="1">
      <c r="A199" s="4">
        <v>16</v>
      </c>
      <c r="B199" s="4" t="s">
        <v>431</v>
      </c>
      <c r="D199" s="4" t="s">
        <v>208</v>
      </c>
      <c r="F199" s="1">
        <v>1038718.46</v>
      </c>
      <c r="G199" s="1"/>
      <c r="H199" s="1">
        <v>295291.48</v>
      </c>
      <c r="I199" s="1"/>
      <c r="J199" s="1">
        <v>210246.02</v>
      </c>
      <c r="K199" s="1"/>
      <c r="L199" s="1">
        <v>148954.60999999999</v>
      </c>
      <c r="M199" s="1"/>
      <c r="N199" s="1">
        <v>0</v>
      </c>
      <c r="O199" s="1"/>
      <c r="P199" s="1">
        <v>25046.47</v>
      </c>
      <c r="Q199" s="1"/>
      <c r="R199" s="1">
        <v>6612.5</v>
      </c>
      <c r="S199" s="1"/>
      <c r="T199" s="1">
        <v>447511.32</v>
      </c>
      <c r="U199" s="1"/>
      <c r="V199" s="1">
        <v>0</v>
      </c>
      <c r="W199" s="1"/>
      <c r="X199" s="1">
        <v>0</v>
      </c>
      <c r="Y199" s="1"/>
      <c r="Z199" s="1">
        <v>0</v>
      </c>
      <c r="AA199" s="1"/>
      <c r="AB199" s="1">
        <v>0</v>
      </c>
      <c r="AC199" s="1"/>
      <c r="AD199" s="1">
        <v>0</v>
      </c>
      <c r="AF199" s="4">
        <f t="shared" si="8"/>
        <v>2172380.86</v>
      </c>
    </row>
    <row r="200" spans="1:32" s="4" customFormat="1" hidden="1">
      <c r="A200" s="4">
        <v>228</v>
      </c>
      <c r="B200" s="4" t="s">
        <v>412</v>
      </c>
      <c r="D200" s="4" t="s">
        <v>55</v>
      </c>
      <c r="AF200" s="4">
        <f t="shared" si="8"/>
        <v>0</v>
      </c>
    </row>
    <row r="201" spans="1:32" s="4" customFormat="1">
      <c r="A201" s="4">
        <v>33</v>
      </c>
      <c r="B201" s="4" t="s">
        <v>432</v>
      </c>
      <c r="D201" s="4" t="s">
        <v>113</v>
      </c>
      <c r="F201" s="1">
        <v>321041.65000000002</v>
      </c>
      <c r="G201" s="1"/>
      <c r="H201" s="1">
        <v>96601.81</v>
      </c>
      <c r="I201" s="1"/>
      <c r="J201" s="1">
        <v>63420.2</v>
      </c>
      <c r="K201" s="1"/>
      <c r="L201" s="1">
        <v>19738.78</v>
      </c>
      <c r="M201" s="1"/>
      <c r="N201" s="1">
        <v>0</v>
      </c>
      <c r="O201" s="1"/>
      <c r="P201" s="1">
        <v>9217.4</v>
      </c>
      <c r="Q201" s="1"/>
      <c r="R201" s="1">
        <v>3362.82</v>
      </c>
      <c r="S201" s="1"/>
      <c r="T201" s="1">
        <v>3945.93</v>
      </c>
      <c r="U201" s="1"/>
      <c r="V201" s="1">
        <v>0</v>
      </c>
      <c r="W201" s="1"/>
      <c r="X201" s="1">
        <v>0</v>
      </c>
      <c r="Y201" s="1"/>
      <c r="Z201" s="1">
        <v>0</v>
      </c>
      <c r="AA201" s="1"/>
      <c r="AB201" s="1">
        <v>0</v>
      </c>
      <c r="AC201" s="1"/>
      <c r="AD201" s="1">
        <v>149</v>
      </c>
      <c r="AF201" s="4">
        <f t="shared" si="8"/>
        <v>517477.59000000008</v>
      </c>
    </row>
    <row r="202" spans="1:32" s="4" customFormat="1">
      <c r="A202" s="4">
        <v>112</v>
      </c>
      <c r="B202" s="4" t="s">
        <v>338</v>
      </c>
      <c r="D202" s="4" t="s">
        <v>88</v>
      </c>
      <c r="F202" s="4">
        <v>172457</v>
      </c>
      <c r="H202" s="4">
        <v>0</v>
      </c>
      <c r="J202" s="4">
        <v>40306</v>
      </c>
      <c r="L202" s="4">
        <v>38171</v>
      </c>
      <c r="N202" s="4">
        <v>0</v>
      </c>
      <c r="P202" s="4">
        <v>7179</v>
      </c>
      <c r="R202" s="4">
        <v>9829</v>
      </c>
      <c r="T202" s="4">
        <v>42459</v>
      </c>
      <c r="V202" s="4">
        <v>0</v>
      </c>
      <c r="X202" s="4">
        <v>0</v>
      </c>
      <c r="Z202" s="4">
        <v>0</v>
      </c>
      <c r="AB202" s="4">
        <v>0</v>
      </c>
      <c r="AD202" s="4">
        <v>0</v>
      </c>
      <c r="AF202" s="4">
        <f t="shared" ref="AF202:AF236" si="9">SUM(F202:AD202)</f>
        <v>310401</v>
      </c>
    </row>
    <row r="203" spans="1:32" s="4" customFormat="1">
      <c r="A203" s="4">
        <v>60</v>
      </c>
      <c r="B203" s="4" t="s">
        <v>209</v>
      </c>
      <c r="D203" s="4" t="s">
        <v>80</v>
      </c>
      <c r="F203" s="1">
        <v>146646.19</v>
      </c>
      <c r="G203" s="1"/>
      <c r="H203" s="1">
        <v>37371.040000000001</v>
      </c>
      <c r="I203" s="1"/>
      <c r="J203" s="1">
        <v>51145.81</v>
      </c>
      <c r="K203" s="1"/>
      <c r="L203" s="1">
        <v>29468.12</v>
      </c>
      <c r="M203" s="1"/>
      <c r="N203" s="1">
        <v>0</v>
      </c>
      <c r="O203" s="1"/>
      <c r="P203" s="1">
        <v>4644.28</v>
      </c>
      <c r="Q203" s="1"/>
      <c r="R203" s="1">
        <v>839.08</v>
      </c>
      <c r="S203" s="1"/>
      <c r="T203" s="1">
        <v>4566.33</v>
      </c>
      <c r="U203" s="1"/>
      <c r="V203" s="1">
        <v>0</v>
      </c>
      <c r="W203" s="1"/>
      <c r="X203" s="1">
        <v>0</v>
      </c>
      <c r="Y203" s="1"/>
      <c r="Z203" s="1">
        <v>0</v>
      </c>
      <c r="AA203" s="1"/>
      <c r="AB203" s="1">
        <v>0</v>
      </c>
      <c r="AC203" s="1"/>
      <c r="AD203" s="1">
        <v>0</v>
      </c>
      <c r="AF203" s="4">
        <f t="shared" si="9"/>
        <v>274680.85000000009</v>
      </c>
    </row>
    <row r="204" spans="1:32" s="4" customFormat="1">
      <c r="A204" s="4">
        <v>186</v>
      </c>
      <c r="B204" s="4" t="s">
        <v>433</v>
      </c>
      <c r="D204" s="4" t="s">
        <v>65</v>
      </c>
      <c r="F204" s="1">
        <v>56831.75</v>
      </c>
      <c r="G204" s="1"/>
      <c r="H204" s="1">
        <v>9209.49</v>
      </c>
      <c r="I204" s="1"/>
      <c r="J204" s="1">
        <v>25611.599999999999</v>
      </c>
      <c r="K204" s="1"/>
      <c r="L204" s="1">
        <v>16179.83</v>
      </c>
      <c r="M204" s="1"/>
      <c r="N204" s="1">
        <v>0</v>
      </c>
      <c r="O204" s="1"/>
      <c r="P204" s="1">
        <v>4325.01</v>
      </c>
      <c r="Q204" s="1"/>
      <c r="R204" s="1">
        <v>450.8</v>
      </c>
      <c r="S204" s="1"/>
      <c r="T204" s="1">
        <v>377.1</v>
      </c>
      <c r="U204" s="1"/>
      <c r="V204" s="1">
        <v>0</v>
      </c>
      <c r="W204" s="1"/>
      <c r="X204" s="1">
        <v>0</v>
      </c>
      <c r="Y204" s="1"/>
      <c r="Z204" s="1">
        <v>0</v>
      </c>
      <c r="AA204" s="1"/>
      <c r="AB204" s="1">
        <v>0</v>
      </c>
      <c r="AC204" s="1"/>
      <c r="AD204" s="1">
        <v>0</v>
      </c>
      <c r="AF204" s="4">
        <f t="shared" si="9"/>
        <v>112985.58</v>
      </c>
    </row>
    <row r="205" spans="1:32" s="4" customFormat="1">
      <c r="A205" s="4">
        <v>235</v>
      </c>
      <c r="B205" s="4" t="s">
        <v>210</v>
      </c>
      <c r="D205" s="4" t="s">
        <v>26</v>
      </c>
      <c r="F205" s="1">
        <v>163847.04000000001</v>
      </c>
      <c r="G205" s="1"/>
      <c r="H205" s="1">
        <v>47476.9</v>
      </c>
      <c r="I205" s="1"/>
      <c r="J205" s="1">
        <v>53930.92</v>
      </c>
      <c r="K205" s="1"/>
      <c r="L205" s="1">
        <v>30258.11</v>
      </c>
      <c r="M205" s="1"/>
      <c r="N205" s="1">
        <v>0</v>
      </c>
      <c r="O205" s="1"/>
      <c r="P205" s="1">
        <v>11442.95</v>
      </c>
      <c r="Q205" s="1"/>
      <c r="R205" s="1">
        <v>10113.33</v>
      </c>
      <c r="S205" s="1"/>
      <c r="T205" s="1">
        <v>8145</v>
      </c>
      <c r="U205" s="1"/>
      <c r="V205" s="1">
        <v>11000</v>
      </c>
      <c r="W205" s="1"/>
      <c r="X205" s="1">
        <v>12739.5</v>
      </c>
      <c r="Y205" s="1"/>
      <c r="Z205" s="1">
        <v>26729</v>
      </c>
      <c r="AA205" s="1"/>
      <c r="AB205" s="1">
        <v>0</v>
      </c>
      <c r="AC205" s="1"/>
      <c r="AD205" s="1">
        <v>3034</v>
      </c>
      <c r="AF205" s="4">
        <f t="shared" si="9"/>
        <v>378716.75</v>
      </c>
    </row>
    <row r="206" spans="1:32" s="4" customFormat="1">
      <c r="A206" s="4">
        <v>229</v>
      </c>
      <c r="B206" s="4" t="s">
        <v>211</v>
      </c>
      <c r="D206" s="4" t="s">
        <v>55</v>
      </c>
      <c r="F206" s="4">
        <v>349161</v>
      </c>
      <c r="H206" s="4">
        <v>184786</v>
      </c>
      <c r="J206" s="4">
        <v>65040</v>
      </c>
      <c r="L206" s="4">
        <v>36574</v>
      </c>
      <c r="N206" s="4">
        <v>0</v>
      </c>
      <c r="P206" s="4">
        <v>13599</v>
      </c>
      <c r="R206" s="4">
        <v>6044</v>
      </c>
      <c r="T206" s="4">
        <v>11436</v>
      </c>
      <c r="V206" s="4">
        <v>0</v>
      </c>
      <c r="X206" s="4">
        <v>0</v>
      </c>
      <c r="Z206" s="4">
        <v>0</v>
      </c>
      <c r="AB206" s="4">
        <v>0</v>
      </c>
      <c r="AD206" s="4">
        <v>0</v>
      </c>
      <c r="AF206" s="4">
        <f t="shared" si="9"/>
        <v>666640</v>
      </c>
    </row>
    <row r="207" spans="1:32" s="4" customFormat="1">
      <c r="A207" s="4">
        <v>85</v>
      </c>
      <c r="B207" s="4" t="s">
        <v>214</v>
      </c>
      <c r="D207" s="4" t="s">
        <v>41</v>
      </c>
      <c r="F207" s="1">
        <v>75232.600000000006</v>
      </c>
      <c r="G207" s="1"/>
      <c r="H207" s="1">
        <v>11826.18</v>
      </c>
      <c r="I207" s="1"/>
      <c r="J207" s="1">
        <v>25726.27</v>
      </c>
      <c r="K207" s="1"/>
      <c r="L207" s="1">
        <v>14705.58</v>
      </c>
      <c r="M207" s="1"/>
      <c r="N207" s="1">
        <v>0</v>
      </c>
      <c r="O207" s="1"/>
      <c r="P207" s="1">
        <v>3163.96</v>
      </c>
      <c r="Q207" s="1"/>
      <c r="R207" s="1">
        <v>358</v>
      </c>
      <c r="S207" s="1"/>
      <c r="T207" s="1">
        <v>1045.3800000000001</v>
      </c>
      <c r="U207" s="1"/>
      <c r="V207" s="1">
        <v>0</v>
      </c>
      <c r="W207" s="1"/>
      <c r="X207" s="1">
        <v>0</v>
      </c>
      <c r="Y207" s="1"/>
      <c r="Z207" s="1">
        <v>0</v>
      </c>
      <c r="AA207" s="1"/>
      <c r="AB207" s="1">
        <v>0</v>
      </c>
      <c r="AC207" s="1"/>
      <c r="AD207" s="1">
        <v>0</v>
      </c>
      <c r="AF207" s="4">
        <f t="shared" si="9"/>
        <v>132057.97</v>
      </c>
    </row>
    <row r="208" spans="1:32" s="4" customFormat="1">
      <c r="A208" s="4">
        <v>250</v>
      </c>
      <c r="B208" s="4" t="s">
        <v>215</v>
      </c>
      <c r="D208" s="4" t="s">
        <v>64</v>
      </c>
      <c r="F208" s="1">
        <v>198691.08</v>
      </c>
      <c r="G208" s="1"/>
      <c r="H208" s="1">
        <v>69197.740000000005</v>
      </c>
      <c r="I208" s="1"/>
      <c r="J208" s="1">
        <v>43752.75</v>
      </c>
      <c r="K208" s="1"/>
      <c r="L208" s="1">
        <v>25704.3</v>
      </c>
      <c r="M208" s="1"/>
      <c r="N208" s="1">
        <v>0</v>
      </c>
      <c r="O208" s="1"/>
      <c r="P208" s="1">
        <v>5258.01</v>
      </c>
      <c r="Q208" s="1"/>
      <c r="R208" s="1">
        <v>3904.56</v>
      </c>
      <c r="S208" s="1"/>
      <c r="T208" s="1">
        <v>7860</v>
      </c>
      <c r="U208" s="1"/>
      <c r="V208" s="1">
        <v>0</v>
      </c>
      <c r="W208" s="1"/>
      <c r="X208" s="1">
        <v>0</v>
      </c>
      <c r="Y208" s="1"/>
      <c r="Z208" s="1">
        <v>0</v>
      </c>
      <c r="AA208" s="1"/>
      <c r="AB208" s="1">
        <v>0</v>
      </c>
      <c r="AC208" s="1"/>
      <c r="AD208" s="1">
        <v>0</v>
      </c>
      <c r="AF208" s="4">
        <f t="shared" si="9"/>
        <v>354368.44</v>
      </c>
    </row>
    <row r="209" spans="1:32" s="4" customFormat="1">
      <c r="A209" s="4">
        <v>213</v>
      </c>
      <c r="B209" s="4" t="s">
        <v>216</v>
      </c>
      <c r="D209" s="4" t="s">
        <v>25</v>
      </c>
      <c r="F209" s="4">
        <f>278636+292684</f>
        <v>571320</v>
      </c>
      <c r="H209" s="4">
        <v>0</v>
      </c>
      <c r="J209" s="4">
        <v>0</v>
      </c>
      <c r="L209" s="4">
        <f>729214+103788</f>
        <v>833002</v>
      </c>
      <c r="N209" s="4">
        <v>153434</v>
      </c>
      <c r="P209" s="4">
        <v>0</v>
      </c>
      <c r="R209" s="4">
        <v>0</v>
      </c>
      <c r="T209" s="4">
        <v>878577</v>
      </c>
      <c r="V209" s="4">
        <v>0</v>
      </c>
      <c r="X209" s="4">
        <v>0</v>
      </c>
      <c r="Z209" s="4">
        <v>0</v>
      </c>
      <c r="AB209" s="4">
        <v>0</v>
      </c>
      <c r="AD209" s="4">
        <v>0</v>
      </c>
      <c r="AF209" s="4">
        <f t="shared" si="9"/>
        <v>2436333</v>
      </c>
    </row>
    <row r="210" spans="1:32" s="4" customFormat="1">
      <c r="B210" s="3" t="s">
        <v>567</v>
      </c>
      <c r="C210" s="3"/>
      <c r="D210" s="3" t="s">
        <v>55</v>
      </c>
      <c r="F210" s="4">
        <v>374292</v>
      </c>
      <c r="H210" s="4">
        <f>51013+41097</f>
        <v>92110</v>
      </c>
      <c r="J210" s="4">
        <f>28956+179961+58616+19537+584773+1123163</f>
        <v>1995006</v>
      </c>
      <c r="L210" s="4">
        <f>4073+888+120764+6518</f>
        <v>132243</v>
      </c>
      <c r="N210" s="4">
        <v>0</v>
      </c>
      <c r="P210" s="4">
        <v>6406</v>
      </c>
      <c r="R210" s="4">
        <f>2183+248890</f>
        <v>251073</v>
      </c>
      <c r="T210" s="4">
        <v>165872</v>
      </c>
      <c r="V210" s="4">
        <v>0</v>
      </c>
      <c r="X210" s="4">
        <v>0</v>
      </c>
      <c r="Z210" s="4">
        <v>0</v>
      </c>
      <c r="AB210" s="4">
        <v>0</v>
      </c>
      <c r="AD210" s="4">
        <v>0</v>
      </c>
      <c r="AF210" s="4">
        <f t="shared" si="9"/>
        <v>3017002</v>
      </c>
    </row>
    <row r="211" spans="1:32" s="4" customFormat="1" ht="12" customHeight="1">
      <c r="A211" s="4">
        <v>251</v>
      </c>
      <c r="B211" s="4" t="s">
        <v>414</v>
      </c>
      <c r="D211" s="4" t="s">
        <v>64</v>
      </c>
      <c r="F211" s="4">
        <v>152835</v>
      </c>
      <c r="H211" s="4">
        <v>42534</v>
      </c>
      <c r="J211" s="4">
        <v>127828</v>
      </c>
      <c r="L211" s="4">
        <v>18130</v>
      </c>
      <c r="N211" s="4">
        <v>0</v>
      </c>
      <c r="P211" s="4">
        <v>8305</v>
      </c>
      <c r="R211" s="4">
        <v>1732</v>
      </c>
      <c r="T211" s="4">
        <v>6690</v>
      </c>
      <c r="V211" s="4">
        <v>0</v>
      </c>
      <c r="X211" s="4">
        <v>0</v>
      </c>
      <c r="Z211" s="4">
        <v>9633</v>
      </c>
      <c r="AB211" s="4">
        <v>0</v>
      </c>
      <c r="AD211" s="4">
        <v>0</v>
      </c>
      <c r="AF211" s="4">
        <f t="shared" si="9"/>
        <v>367687</v>
      </c>
    </row>
    <row r="212" spans="1:32" s="4" customFormat="1">
      <c r="A212" s="4">
        <v>113</v>
      </c>
      <c r="B212" s="4" t="s">
        <v>217</v>
      </c>
      <c r="D212" s="4" t="s">
        <v>88</v>
      </c>
      <c r="F212" s="1">
        <v>496093.84</v>
      </c>
      <c r="G212" s="1"/>
      <c r="H212" s="1">
        <v>137020.1</v>
      </c>
      <c r="I212" s="1"/>
      <c r="J212" s="1">
        <v>139356.07999999999</v>
      </c>
      <c r="K212" s="1"/>
      <c r="L212" s="1">
        <v>41895.730000000003</v>
      </c>
      <c r="M212" s="1"/>
      <c r="N212" s="1">
        <v>0</v>
      </c>
      <c r="O212" s="1"/>
      <c r="P212" s="1">
        <v>13445.32</v>
      </c>
      <c r="Q212" s="1"/>
      <c r="R212" s="1">
        <v>5370.62</v>
      </c>
      <c r="S212" s="1"/>
      <c r="T212" s="1">
        <v>20697.05</v>
      </c>
      <c r="U212" s="1"/>
      <c r="V212" s="1">
        <v>0</v>
      </c>
      <c r="W212" s="1"/>
      <c r="X212" s="1">
        <v>0</v>
      </c>
      <c r="Y212" s="1"/>
      <c r="Z212" s="1">
        <v>0</v>
      </c>
      <c r="AA212" s="1"/>
      <c r="AB212" s="1">
        <v>0</v>
      </c>
      <c r="AC212" s="1"/>
      <c r="AD212" s="1">
        <v>0</v>
      </c>
      <c r="AF212" s="4">
        <f t="shared" si="9"/>
        <v>853878.74</v>
      </c>
    </row>
    <row r="213" spans="1:32" s="4" customFormat="1">
      <c r="A213" s="4">
        <v>183</v>
      </c>
      <c r="B213" s="4" t="s">
        <v>218</v>
      </c>
      <c r="D213" s="4" t="s">
        <v>156</v>
      </c>
      <c r="F213" s="4">
        <v>142200</v>
      </c>
      <c r="H213" s="4">
        <v>40293</v>
      </c>
      <c r="J213" s="4">
        <v>34343</v>
      </c>
      <c r="L213" s="4">
        <v>38131</v>
      </c>
      <c r="N213" s="4">
        <v>0</v>
      </c>
      <c r="P213" s="4">
        <v>11364</v>
      </c>
      <c r="R213" s="4">
        <v>3775</v>
      </c>
      <c r="T213" s="4">
        <v>5728</v>
      </c>
      <c r="V213" s="4">
        <v>0</v>
      </c>
      <c r="X213" s="4">
        <v>0</v>
      </c>
      <c r="Z213" s="4">
        <v>0</v>
      </c>
      <c r="AB213" s="4">
        <v>0</v>
      </c>
      <c r="AD213" s="4">
        <v>0</v>
      </c>
      <c r="AF213" s="4">
        <f t="shared" si="9"/>
        <v>275834</v>
      </c>
    </row>
    <row r="214" spans="1:32" s="4" customFormat="1">
      <c r="A214" s="4">
        <v>116</v>
      </c>
      <c r="B214" s="4" t="s">
        <v>219</v>
      </c>
      <c r="D214" s="4" t="s">
        <v>168</v>
      </c>
      <c r="F214" s="4">
        <v>148954</v>
      </c>
      <c r="H214" s="4">
        <v>263</v>
      </c>
      <c r="J214" s="4">
        <v>56080</v>
      </c>
      <c r="L214" s="4">
        <v>20490</v>
      </c>
      <c r="N214" s="4">
        <v>0</v>
      </c>
      <c r="P214" s="4">
        <v>3793</v>
      </c>
      <c r="R214" s="4">
        <v>1834</v>
      </c>
      <c r="T214" s="4">
        <v>8361</v>
      </c>
      <c r="V214" s="4">
        <v>0</v>
      </c>
      <c r="X214" s="4">
        <v>0</v>
      </c>
      <c r="Z214" s="4">
        <v>0</v>
      </c>
      <c r="AB214" s="4">
        <v>0</v>
      </c>
      <c r="AD214" s="4">
        <v>0</v>
      </c>
      <c r="AF214" s="4">
        <f t="shared" si="9"/>
        <v>239775</v>
      </c>
    </row>
    <row r="215" spans="1:32" s="4" customFormat="1">
      <c r="A215" s="4">
        <v>146</v>
      </c>
      <c r="B215" s="4" t="s">
        <v>434</v>
      </c>
      <c r="D215" s="4" t="s">
        <v>56</v>
      </c>
      <c r="F215" s="1">
        <v>534080.1</v>
      </c>
      <c r="G215" s="1"/>
      <c r="H215" s="1">
        <v>181329.2</v>
      </c>
      <c r="I215" s="1"/>
      <c r="J215" s="1">
        <v>183660.57</v>
      </c>
      <c r="K215" s="1"/>
      <c r="L215" s="1">
        <v>175044.2</v>
      </c>
      <c r="M215" s="1"/>
      <c r="N215" s="1">
        <v>0</v>
      </c>
      <c r="O215" s="1"/>
      <c r="P215" s="1">
        <v>18967.7</v>
      </c>
      <c r="Q215" s="1"/>
      <c r="R215" s="1">
        <v>1485.64</v>
      </c>
      <c r="S215" s="1"/>
      <c r="T215" s="1">
        <v>7566.99</v>
      </c>
      <c r="U215" s="1"/>
      <c r="V215" s="1">
        <v>0</v>
      </c>
      <c r="W215" s="1"/>
      <c r="X215" s="1">
        <v>0</v>
      </c>
      <c r="Y215" s="1"/>
      <c r="Z215" s="1">
        <v>100000</v>
      </c>
      <c r="AA215" s="1"/>
      <c r="AB215" s="1">
        <v>0</v>
      </c>
      <c r="AC215" s="1"/>
      <c r="AD215" s="1">
        <v>0</v>
      </c>
      <c r="AF215" s="4">
        <f t="shared" si="9"/>
        <v>1202134.3999999999</v>
      </c>
    </row>
    <row r="216" spans="1:32" s="4" customFormat="1">
      <c r="A216" s="4">
        <v>246</v>
      </c>
      <c r="B216" s="4" t="s">
        <v>222</v>
      </c>
      <c r="D216" s="4" t="s">
        <v>223</v>
      </c>
      <c r="F216" s="4">
        <f>129273+159690</f>
        <v>288963</v>
      </c>
      <c r="H216" s="4">
        <v>0</v>
      </c>
      <c r="J216" s="4">
        <v>0</v>
      </c>
      <c r="L216" s="4">
        <f>442101+52763</f>
        <v>494864</v>
      </c>
      <c r="N216" s="4">
        <v>115864</v>
      </c>
      <c r="P216" s="4">
        <v>0</v>
      </c>
      <c r="R216" s="4">
        <v>0</v>
      </c>
      <c r="T216" s="4">
        <v>0</v>
      </c>
      <c r="V216" s="4">
        <v>0</v>
      </c>
      <c r="X216" s="4">
        <v>0</v>
      </c>
      <c r="Z216" s="4">
        <v>0</v>
      </c>
      <c r="AB216" s="4">
        <v>0</v>
      </c>
      <c r="AD216" s="4">
        <v>0</v>
      </c>
      <c r="AF216" s="4">
        <f t="shared" si="9"/>
        <v>899691</v>
      </c>
    </row>
    <row r="217" spans="1:32" s="4" customFormat="1">
      <c r="A217" s="4">
        <v>136</v>
      </c>
      <c r="B217" s="4" t="s">
        <v>224</v>
      </c>
      <c r="D217" s="4" t="s">
        <v>40</v>
      </c>
      <c r="F217" s="1">
        <v>404401.63</v>
      </c>
      <c r="G217" s="1"/>
      <c r="H217" s="1">
        <v>105822.7</v>
      </c>
      <c r="I217" s="1"/>
      <c r="J217" s="1">
        <v>72386.649999999994</v>
      </c>
      <c r="K217" s="1"/>
      <c r="L217" s="1">
        <v>141028.65</v>
      </c>
      <c r="M217" s="1"/>
      <c r="N217" s="1">
        <v>0</v>
      </c>
      <c r="O217" s="1"/>
      <c r="P217" s="1">
        <v>37314.01</v>
      </c>
      <c r="Q217" s="1"/>
      <c r="R217" s="1">
        <v>677.78</v>
      </c>
      <c r="S217" s="1"/>
      <c r="T217" s="1">
        <v>40744.71</v>
      </c>
      <c r="U217" s="1"/>
      <c r="V217" s="1">
        <v>0</v>
      </c>
      <c r="W217" s="1"/>
      <c r="X217" s="1">
        <v>0</v>
      </c>
      <c r="Y217" s="1"/>
      <c r="Z217" s="1">
        <v>0</v>
      </c>
      <c r="AA217" s="1"/>
      <c r="AB217" s="1">
        <v>0</v>
      </c>
      <c r="AC217" s="1"/>
      <c r="AD217" s="1">
        <v>0</v>
      </c>
      <c r="AF217" s="4">
        <f t="shared" si="9"/>
        <v>802376.13</v>
      </c>
    </row>
    <row r="218" spans="1:32" s="4" customFormat="1">
      <c r="A218" s="4">
        <v>106</v>
      </c>
      <c r="B218" s="4" t="s">
        <v>225</v>
      </c>
      <c r="D218" s="4" t="s">
        <v>59</v>
      </c>
      <c r="F218" s="1">
        <v>161596.07</v>
      </c>
      <c r="G218" s="1"/>
      <c r="H218" s="1">
        <v>27291.200000000001</v>
      </c>
      <c r="I218" s="1"/>
      <c r="J218" s="1">
        <v>29688.92</v>
      </c>
      <c r="K218" s="1"/>
      <c r="L218" s="1">
        <v>24432.55</v>
      </c>
      <c r="M218" s="1"/>
      <c r="N218" s="1">
        <v>0</v>
      </c>
      <c r="O218" s="1"/>
      <c r="P218" s="1">
        <v>7263.13</v>
      </c>
      <c r="Q218" s="1"/>
      <c r="R218" s="1">
        <v>5460.8</v>
      </c>
      <c r="S218" s="1"/>
      <c r="T218" s="1">
        <v>1953.18</v>
      </c>
      <c r="U218" s="1"/>
      <c r="V218" s="1">
        <v>0</v>
      </c>
      <c r="W218" s="1"/>
      <c r="X218" s="1">
        <v>0</v>
      </c>
      <c r="Y218" s="1"/>
      <c r="Z218" s="1">
        <v>0</v>
      </c>
      <c r="AA218" s="1"/>
      <c r="AB218" s="1">
        <v>0</v>
      </c>
      <c r="AC218" s="1"/>
      <c r="AD218" s="1">
        <v>0</v>
      </c>
      <c r="AF218" s="4">
        <f t="shared" si="9"/>
        <v>257685.84999999998</v>
      </c>
    </row>
    <row r="219" spans="1:32" s="4" customFormat="1">
      <c r="A219" s="4">
        <v>184</v>
      </c>
      <c r="B219" s="4" t="s">
        <v>226</v>
      </c>
      <c r="D219" s="4" t="s">
        <v>227</v>
      </c>
      <c r="F219" s="4">
        <v>437135</v>
      </c>
      <c r="H219" s="4">
        <v>121900</v>
      </c>
      <c r="J219" s="4">
        <v>81366</v>
      </c>
      <c r="L219" s="4">
        <v>45314</v>
      </c>
      <c r="N219" s="4">
        <v>0</v>
      </c>
      <c r="P219" s="4">
        <v>13016</v>
      </c>
      <c r="R219" s="4">
        <v>10179</v>
      </c>
      <c r="T219" s="4">
        <v>4436</v>
      </c>
      <c r="V219" s="4">
        <v>0</v>
      </c>
      <c r="X219" s="4">
        <v>0</v>
      </c>
      <c r="Z219" s="4">
        <v>0</v>
      </c>
      <c r="AB219" s="4">
        <v>0</v>
      </c>
      <c r="AD219" s="4">
        <v>0</v>
      </c>
      <c r="AF219" s="4">
        <f t="shared" si="9"/>
        <v>713346</v>
      </c>
    </row>
    <row r="220" spans="1:32" s="4" customFormat="1">
      <c r="A220" s="4">
        <v>252</v>
      </c>
      <c r="B220" s="4" t="s">
        <v>229</v>
      </c>
      <c r="D220" s="4" t="s">
        <v>64</v>
      </c>
      <c r="F220" s="1">
        <v>175556.4</v>
      </c>
      <c r="G220" s="1"/>
      <c r="H220" s="1">
        <v>30258.76</v>
      </c>
      <c r="I220" s="1"/>
      <c r="J220" s="1">
        <v>51976.03</v>
      </c>
      <c r="K220" s="1"/>
      <c r="L220" s="1">
        <v>50651.81</v>
      </c>
      <c r="M220" s="1"/>
      <c r="N220" s="1">
        <v>0</v>
      </c>
      <c r="O220" s="1"/>
      <c r="P220" s="1">
        <v>11839.93</v>
      </c>
      <c r="Q220" s="1"/>
      <c r="R220" s="1">
        <v>1454</v>
      </c>
      <c r="S220" s="1"/>
      <c r="T220" s="1">
        <v>1820.92</v>
      </c>
      <c r="U220" s="1"/>
      <c r="V220" s="1">
        <v>170000</v>
      </c>
      <c r="W220" s="1"/>
      <c r="X220" s="1">
        <v>6849.42</v>
      </c>
      <c r="Y220" s="1"/>
      <c r="Z220" s="1">
        <v>0</v>
      </c>
      <c r="AA220" s="1"/>
      <c r="AB220" s="1">
        <v>149407</v>
      </c>
      <c r="AC220" s="1"/>
      <c r="AD220" s="1">
        <v>0</v>
      </c>
      <c r="AF220" s="4">
        <f t="shared" si="9"/>
        <v>649814.27</v>
      </c>
    </row>
    <row r="221" spans="1:32" s="4" customFormat="1">
      <c r="A221" s="4">
        <v>219</v>
      </c>
      <c r="B221" s="4" t="s">
        <v>230</v>
      </c>
      <c r="D221" s="4" t="s">
        <v>22</v>
      </c>
      <c r="F221" s="1">
        <v>227402.8</v>
      </c>
      <c r="G221" s="1"/>
      <c r="H221" s="1">
        <v>45148.71</v>
      </c>
      <c r="I221" s="1"/>
      <c r="J221" s="1">
        <v>115963.73</v>
      </c>
      <c r="K221" s="1"/>
      <c r="L221" s="1">
        <v>40548.07</v>
      </c>
      <c r="M221" s="1"/>
      <c r="N221" s="1">
        <v>0</v>
      </c>
      <c r="O221" s="1"/>
      <c r="P221" s="1">
        <v>3098.56</v>
      </c>
      <c r="Q221" s="1"/>
      <c r="R221" s="1">
        <v>2319.84</v>
      </c>
      <c r="S221" s="1"/>
      <c r="T221" s="1">
        <v>0</v>
      </c>
      <c r="U221" s="1"/>
      <c r="V221" s="1">
        <v>0</v>
      </c>
      <c r="W221" s="1"/>
      <c r="X221" s="1">
        <v>0</v>
      </c>
      <c r="Y221" s="1"/>
      <c r="Z221" s="1">
        <v>0</v>
      </c>
      <c r="AA221" s="1"/>
      <c r="AB221" s="1">
        <v>0</v>
      </c>
      <c r="AC221" s="1"/>
      <c r="AD221" s="1">
        <v>0</v>
      </c>
      <c r="AF221" s="4">
        <f t="shared" si="9"/>
        <v>434481.71</v>
      </c>
    </row>
    <row r="222" spans="1:32" s="4" customFormat="1">
      <c r="A222" s="4">
        <v>176</v>
      </c>
      <c r="B222" s="4" t="s">
        <v>231</v>
      </c>
      <c r="D222" s="4" t="s">
        <v>67</v>
      </c>
      <c r="F222" s="4">
        <v>95592</v>
      </c>
      <c r="H222" s="4">
        <v>15059</v>
      </c>
      <c r="J222" s="4">
        <v>40511</v>
      </c>
      <c r="L222" s="4">
        <v>24112</v>
      </c>
      <c r="N222" s="4">
        <v>0</v>
      </c>
      <c r="P222" s="4">
        <v>8597</v>
      </c>
      <c r="R222" s="4">
        <v>868</v>
      </c>
      <c r="T222" s="4">
        <v>43034</v>
      </c>
      <c r="V222" s="4">
        <v>0</v>
      </c>
      <c r="X222" s="4">
        <v>0</v>
      </c>
      <c r="Z222" s="4">
        <v>0</v>
      </c>
      <c r="AB222" s="4">
        <v>0</v>
      </c>
      <c r="AD222" s="4">
        <v>0</v>
      </c>
      <c r="AF222" s="4">
        <f t="shared" si="9"/>
        <v>227773</v>
      </c>
    </row>
    <row r="223" spans="1:32" s="4" customFormat="1">
      <c r="A223" s="4">
        <v>187</v>
      </c>
      <c r="B223" s="4" t="s">
        <v>552</v>
      </c>
      <c r="D223" s="4" t="s">
        <v>65</v>
      </c>
      <c r="F223" s="1">
        <v>482063.54</v>
      </c>
      <c r="G223" s="1"/>
      <c r="H223" s="1">
        <v>110275.87</v>
      </c>
      <c r="I223" s="1"/>
      <c r="J223" s="1">
        <v>253981.11</v>
      </c>
      <c r="K223" s="1"/>
      <c r="L223" s="1">
        <v>68527.759999999995</v>
      </c>
      <c r="M223" s="1"/>
      <c r="N223" s="1">
        <v>0</v>
      </c>
      <c r="O223" s="1"/>
      <c r="P223" s="1">
        <v>30503.38</v>
      </c>
      <c r="Q223" s="1"/>
      <c r="R223" s="1">
        <v>22572.240000000002</v>
      </c>
      <c r="S223" s="1"/>
      <c r="T223" s="1">
        <v>2659.99</v>
      </c>
      <c r="U223" s="1"/>
      <c r="V223" s="1">
        <v>0</v>
      </c>
      <c r="W223" s="1"/>
      <c r="X223" s="1">
        <v>0</v>
      </c>
      <c r="Y223" s="1"/>
      <c r="Z223" s="1">
        <v>0</v>
      </c>
      <c r="AA223" s="1"/>
      <c r="AB223" s="1">
        <v>0</v>
      </c>
      <c r="AC223" s="1"/>
      <c r="AD223" s="1">
        <v>0</v>
      </c>
      <c r="AF223" s="4">
        <f t="shared" si="9"/>
        <v>970583.8899999999</v>
      </c>
    </row>
    <row r="224" spans="1:32" s="4" customFormat="1">
      <c r="A224" s="4">
        <v>128</v>
      </c>
      <c r="B224" s="4" t="s">
        <v>232</v>
      </c>
      <c r="D224" s="4" t="s">
        <v>15</v>
      </c>
      <c r="F224" s="1">
        <v>501013.59</v>
      </c>
      <c r="G224" s="1"/>
      <c r="H224" s="1">
        <v>161870.43</v>
      </c>
      <c r="I224" s="1"/>
      <c r="J224" s="1">
        <v>123135.49</v>
      </c>
      <c r="K224" s="1"/>
      <c r="L224" s="1">
        <v>98305.24</v>
      </c>
      <c r="M224" s="1"/>
      <c r="N224" s="1">
        <v>0</v>
      </c>
      <c r="O224" s="1"/>
      <c r="P224" s="1">
        <v>20867.580000000002</v>
      </c>
      <c r="Q224" s="1"/>
      <c r="R224" s="1">
        <v>20024.02</v>
      </c>
      <c r="S224" s="1"/>
      <c r="T224" s="1">
        <v>5669.62</v>
      </c>
      <c r="U224" s="1"/>
      <c r="V224" s="1">
        <v>0</v>
      </c>
      <c r="W224" s="1"/>
      <c r="X224" s="1">
        <v>0</v>
      </c>
      <c r="Y224" s="1"/>
      <c r="Z224" s="1">
        <v>0</v>
      </c>
      <c r="AA224" s="1"/>
      <c r="AB224" s="1">
        <v>0</v>
      </c>
      <c r="AC224" s="1"/>
      <c r="AD224" s="1">
        <v>30</v>
      </c>
      <c r="AF224" s="4">
        <f t="shared" si="9"/>
        <v>930915.97</v>
      </c>
    </row>
    <row r="225" spans="1:32" s="4" customFormat="1">
      <c r="A225" s="4">
        <v>188</v>
      </c>
      <c r="B225" s="4" t="s">
        <v>233</v>
      </c>
      <c r="D225" s="4" t="s">
        <v>234</v>
      </c>
      <c r="F225" s="4">
        <v>0</v>
      </c>
      <c r="H225" s="4">
        <v>0</v>
      </c>
      <c r="J225" s="4">
        <v>0</v>
      </c>
      <c r="L225" s="4">
        <v>2033904</v>
      </c>
      <c r="N225" s="4">
        <v>0</v>
      </c>
      <c r="P225" s="4">
        <v>0</v>
      </c>
      <c r="R225" s="4">
        <v>0</v>
      </c>
      <c r="T225" s="4">
        <v>39872</v>
      </c>
      <c r="V225" s="4">
        <v>0</v>
      </c>
      <c r="X225" s="4">
        <v>0</v>
      </c>
      <c r="Z225" s="4">
        <v>0</v>
      </c>
      <c r="AB225" s="4">
        <v>0</v>
      </c>
      <c r="AD225" s="4">
        <v>0</v>
      </c>
      <c r="AF225" s="4">
        <f t="shared" si="9"/>
        <v>2073776</v>
      </c>
    </row>
    <row r="226" spans="1:32" s="4" customFormat="1">
      <c r="A226" s="4">
        <v>72</v>
      </c>
      <c r="B226" s="4" t="s">
        <v>309</v>
      </c>
      <c r="D226" s="4" t="s">
        <v>66</v>
      </c>
      <c r="F226" s="1">
        <v>367188.33</v>
      </c>
      <c r="G226" s="1"/>
      <c r="H226" s="1">
        <v>134059.28</v>
      </c>
      <c r="I226" s="1"/>
      <c r="J226" s="1">
        <v>209725.32</v>
      </c>
      <c r="K226" s="1"/>
      <c r="L226" s="1">
        <v>75998.63</v>
      </c>
      <c r="M226" s="1"/>
      <c r="N226" s="1">
        <v>0</v>
      </c>
      <c r="O226" s="1"/>
      <c r="P226" s="1">
        <v>11674.66</v>
      </c>
      <c r="Q226" s="1"/>
      <c r="R226" s="1">
        <v>9907.4500000000007</v>
      </c>
      <c r="S226" s="1"/>
      <c r="T226" s="1">
        <v>1086.32</v>
      </c>
      <c r="U226" s="1"/>
      <c r="V226" s="1">
        <v>0</v>
      </c>
      <c r="W226" s="1"/>
      <c r="X226" s="1">
        <v>0</v>
      </c>
      <c r="Y226" s="1"/>
      <c r="Z226" s="1">
        <v>0</v>
      </c>
      <c r="AA226" s="1"/>
      <c r="AB226" s="1">
        <v>0</v>
      </c>
      <c r="AC226" s="1"/>
      <c r="AD226" s="1">
        <v>0</v>
      </c>
      <c r="AF226" s="4">
        <f t="shared" si="9"/>
        <v>809639.98999999987</v>
      </c>
    </row>
    <row r="227" spans="1:32" s="4" customFormat="1" hidden="1">
      <c r="A227" s="4">
        <v>163</v>
      </c>
      <c r="B227" s="4" t="s">
        <v>532</v>
      </c>
      <c r="D227" s="4" t="s">
        <v>52</v>
      </c>
      <c r="AF227" s="4">
        <f t="shared" si="9"/>
        <v>0</v>
      </c>
    </row>
    <row r="228" spans="1:32" s="4" customFormat="1">
      <c r="A228" s="4">
        <v>151</v>
      </c>
      <c r="B228" s="4" t="s">
        <v>235</v>
      </c>
      <c r="D228" s="4" t="s">
        <v>12</v>
      </c>
      <c r="F228" s="1">
        <v>296547.96999999997</v>
      </c>
      <c r="G228" s="1"/>
      <c r="H228" s="1">
        <v>59972.160000000003</v>
      </c>
      <c r="I228" s="1"/>
      <c r="J228" s="1">
        <v>67191.39</v>
      </c>
      <c r="K228" s="1"/>
      <c r="L228" s="1">
        <v>80661.289999999994</v>
      </c>
      <c r="M228" s="1"/>
      <c r="N228" s="1">
        <v>0</v>
      </c>
      <c r="O228" s="1"/>
      <c r="P228" s="1">
        <v>9508.35</v>
      </c>
      <c r="Q228" s="1"/>
      <c r="R228" s="1">
        <v>40025.79</v>
      </c>
      <c r="S228" s="1"/>
      <c r="T228" s="1">
        <v>25988.86</v>
      </c>
      <c r="U228" s="1"/>
      <c r="V228" s="1">
        <v>0</v>
      </c>
      <c r="W228" s="1"/>
      <c r="X228" s="1">
        <v>0</v>
      </c>
      <c r="Y228" s="1"/>
      <c r="Z228" s="1">
        <v>0</v>
      </c>
      <c r="AA228" s="1"/>
      <c r="AB228" s="1">
        <v>0</v>
      </c>
      <c r="AC228" s="1"/>
      <c r="AD228" s="1">
        <v>0</v>
      </c>
      <c r="AF228" s="4">
        <f t="shared" si="9"/>
        <v>579895.80999999994</v>
      </c>
    </row>
    <row r="229" spans="1:32" s="4" customFormat="1">
      <c r="A229" s="4">
        <v>192</v>
      </c>
      <c r="B229" s="4" t="s">
        <v>553</v>
      </c>
      <c r="D229" s="4" t="s">
        <v>171</v>
      </c>
      <c r="F229" s="4">
        <v>1426348</v>
      </c>
      <c r="H229" s="4">
        <v>435297</v>
      </c>
      <c r="J229" s="4">
        <v>266148</v>
      </c>
      <c r="L229" s="4">
        <v>234725</v>
      </c>
      <c r="N229" s="4">
        <v>0</v>
      </c>
      <c r="P229" s="4">
        <v>30783</v>
      </c>
      <c r="R229" s="4">
        <v>11717</v>
      </c>
      <c r="T229" s="4">
        <v>45269</v>
      </c>
      <c r="V229" s="4">
        <v>0</v>
      </c>
      <c r="X229" s="4">
        <v>0</v>
      </c>
      <c r="Z229" s="4">
        <v>108903</v>
      </c>
      <c r="AB229" s="4">
        <v>0</v>
      </c>
      <c r="AD229" s="4">
        <v>0</v>
      </c>
      <c r="AF229" s="4">
        <f t="shared" si="9"/>
        <v>2559190</v>
      </c>
    </row>
    <row r="230" spans="1:32" s="4" customFormat="1">
      <c r="B230" s="4" t="s">
        <v>568</v>
      </c>
      <c r="D230" s="4" t="s">
        <v>156</v>
      </c>
      <c r="F230" s="4">
        <v>373773</v>
      </c>
      <c r="H230" s="4">
        <v>88465</v>
      </c>
      <c r="J230" s="4">
        <f>84232+25</f>
        <v>84257</v>
      </c>
      <c r="L230" s="4">
        <v>142066</v>
      </c>
      <c r="N230" s="4">
        <v>0</v>
      </c>
      <c r="P230" s="4">
        <v>10103</v>
      </c>
      <c r="R230" s="4">
        <v>4085</v>
      </c>
      <c r="T230" s="4">
        <v>9007</v>
      </c>
      <c r="V230" s="4">
        <v>0</v>
      </c>
      <c r="X230" s="4">
        <v>0</v>
      </c>
      <c r="Z230" s="4">
        <v>0</v>
      </c>
      <c r="AB230" s="4">
        <v>0</v>
      </c>
      <c r="AD230" s="4">
        <v>0</v>
      </c>
      <c r="AF230" s="4">
        <f t="shared" si="9"/>
        <v>711756</v>
      </c>
    </row>
    <row r="231" spans="1:32" s="4" customFormat="1">
      <c r="A231" s="4">
        <v>55</v>
      </c>
      <c r="B231" s="4" t="s">
        <v>416</v>
      </c>
      <c r="D231" s="4" t="s">
        <v>19</v>
      </c>
      <c r="F231" s="4">
        <v>2657459</v>
      </c>
      <c r="H231" s="4">
        <v>620349</v>
      </c>
      <c r="J231" s="4">
        <v>579165</v>
      </c>
      <c r="L231" s="4">
        <v>645813</v>
      </c>
      <c r="N231" s="4">
        <v>0</v>
      </c>
      <c r="P231" s="4">
        <v>96717</v>
      </c>
      <c r="R231" s="4">
        <v>17621</v>
      </c>
      <c r="T231" s="4">
        <v>208669</v>
      </c>
      <c r="V231" s="4">
        <v>0</v>
      </c>
      <c r="X231" s="4">
        <v>0</v>
      </c>
      <c r="Z231" s="4">
        <v>106367</v>
      </c>
      <c r="AB231" s="4">
        <v>0</v>
      </c>
      <c r="AD231" s="4">
        <v>0</v>
      </c>
      <c r="AF231" s="4">
        <f t="shared" si="9"/>
        <v>4932160</v>
      </c>
    </row>
    <row r="232" spans="1:32" s="4" customFormat="1">
      <c r="A232" s="4">
        <v>202</v>
      </c>
      <c r="B232" s="4" t="s">
        <v>23</v>
      </c>
      <c r="D232" s="4" t="s">
        <v>24</v>
      </c>
      <c r="F232" s="4">
        <v>1438407</v>
      </c>
      <c r="H232" s="4">
        <v>622814</v>
      </c>
      <c r="J232" s="4">
        <v>400902</v>
      </c>
      <c r="L232" s="4">
        <v>240984</v>
      </c>
      <c r="N232" s="4">
        <v>0</v>
      </c>
      <c r="P232" s="4">
        <v>54345</v>
      </c>
      <c r="R232" s="4">
        <v>2515</v>
      </c>
      <c r="T232" s="4">
        <v>28912</v>
      </c>
      <c r="V232" s="4">
        <v>0</v>
      </c>
      <c r="X232" s="4">
        <v>0</v>
      </c>
      <c r="Z232" s="4">
        <v>0</v>
      </c>
      <c r="AB232" s="4">
        <v>0</v>
      </c>
      <c r="AD232" s="4">
        <v>0</v>
      </c>
      <c r="AF232" s="4">
        <f t="shared" si="9"/>
        <v>2788879</v>
      </c>
    </row>
    <row r="233" spans="1:32" s="4" customFormat="1">
      <c r="A233" s="4">
        <v>196</v>
      </c>
      <c r="B233" s="4" t="s">
        <v>554</v>
      </c>
      <c r="D233" s="4" t="s">
        <v>101</v>
      </c>
      <c r="F233" s="4">
        <v>734346</v>
      </c>
      <c r="H233" s="4">
        <v>164710</v>
      </c>
      <c r="J233" s="4">
        <v>191973</v>
      </c>
      <c r="L233" s="4">
        <v>155216</v>
      </c>
      <c r="N233" s="4">
        <v>0</v>
      </c>
      <c r="P233" s="4">
        <v>0</v>
      </c>
      <c r="R233" s="4">
        <v>4028</v>
      </c>
      <c r="T233" s="4">
        <v>9593</v>
      </c>
      <c r="V233" s="4">
        <v>0</v>
      </c>
      <c r="X233" s="4">
        <v>0</v>
      </c>
      <c r="Z233" s="4">
        <v>0</v>
      </c>
      <c r="AB233" s="4">
        <v>0</v>
      </c>
      <c r="AD233" s="4">
        <v>0</v>
      </c>
      <c r="AF233" s="4">
        <f t="shared" si="9"/>
        <v>1259866</v>
      </c>
    </row>
    <row r="234" spans="1:32" s="4" customFormat="1">
      <c r="B234" s="4" t="s">
        <v>569</v>
      </c>
      <c r="C234" s="13"/>
      <c r="D234" s="13" t="s">
        <v>527</v>
      </c>
      <c r="F234" s="4">
        <f>11956325+4356836</f>
        <v>16313161</v>
      </c>
      <c r="H234" s="4">
        <v>0</v>
      </c>
      <c r="J234" s="4">
        <v>0</v>
      </c>
      <c r="L234" s="4">
        <f>25398385+1491889</f>
        <v>26890274</v>
      </c>
      <c r="N234" s="4">
        <v>10835165</v>
      </c>
      <c r="P234" s="4">
        <v>0</v>
      </c>
      <c r="R234" s="4">
        <v>0</v>
      </c>
      <c r="T234" s="4">
        <v>0</v>
      </c>
      <c r="V234" s="4">
        <v>0</v>
      </c>
      <c r="X234" s="4">
        <v>0</v>
      </c>
      <c r="Z234" s="4">
        <v>6680238</v>
      </c>
      <c r="AB234" s="4">
        <v>0</v>
      </c>
      <c r="AD234" s="4">
        <v>0</v>
      </c>
      <c r="AF234" s="4">
        <f t="shared" si="9"/>
        <v>60718838</v>
      </c>
    </row>
    <row r="235" spans="1:32" s="4" customFormat="1">
      <c r="A235" s="4">
        <v>102</v>
      </c>
      <c r="B235" s="4" t="s">
        <v>236</v>
      </c>
      <c r="D235" s="4" t="s">
        <v>45</v>
      </c>
      <c r="F235" s="1">
        <v>280211.01</v>
      </c>
      <c r="G235" s="1"/>
      <c r="H235" s="1">
        <v>89759.39</v>
      </c>
      <c r="I235" s="1"/>
      <c r="J235" s="1">
        <v>82715.25</v>
      </c>
      <c r="K235" s="1"/>
      <c r="L235" s="1">
        <v>30528.29</v>
      </c>
      <c r="M235" s="1"/>
      <c r="N235" s="1">
        <v>0</v>
      </c>
      <c r="O235" s="1"/>
      <c r="P235" s="1">
        <v>11786.24</v>
      </c>
      <c r="Q235" s="1"/>
      <c r="R235" s="1">
        <v>12752.81</v>
      </c>
      <c r="S235" s="1"/>
      <c r="T235" s="1">
        <v>2458.69</v>
      </c>
      <c r="U235" s="1"/>
      <c r="V235" s="1">
        <v>9251.5499999999993</v>
      </c>
      <c r="W235" s="1"/>
      <c r="X235" s="1">
        <v>1460.27</v>
      </c>
      <c r="Y235" s="1"/>
      <c r="Z235" s="1">
        <v>0</v>
      </c>
      <c r="AA235" s="1"/>
      <c r="AB235" s="1">
        <v>0</v>
      </c>
      <c r="AC235" s="1"/>
      <c r="AD235" s="1">
        <v>0</v>
      </c>
      <c r="AF235" s="4">
        <f t="shared" si="9"/>
        <v>520923.5</v>
      </c>
    </row>
    <row r="236" spans="1:32" s="4" customFormat="1">
      <c r="A236" s="22">
        <v>197.1</v>
      </c>
      <c r="B236" s="3" t="s">
        <v>530</v>
      </c>
      <c r="C236" s="3"/>
      <c r="D236" s="3" t="s">
        <v>531</v>
      </c>
      <c r="E236" s="3"/>
      <c r="F236" s="1">
        <v>618959.27</v>
      </c>
      <c r="G236" s="1"/>
      <c r="H236" s="1">
        <v>246063.71</v>
      </c>
      <c r="I236" s="1"/>
      <c r="J236" s="1">
        <v>262418.87</v>
      </c>
      <c r="K236" s="1"/>
      <c r="L236" s="1">
        <v>126031.72</v>
      </c>
      <c r="M236" s="1"/>
      <c r="N236" s="1">
        <v>0</v>
      </c>
      <c r="O236" s="1"/>
      <c r="P236" s="1">
        <v>24535.42</v>
      </c>
      <c r="Q236" s="1"/>
      <c r="R236" s="1">
        <v>6857</v>
      </c>
      <c r="S236" s="1"/>
      <c r="T236" s="1">
        <v>71449.42</v>
      </c>
      <c r="U236" s="1"/>
      <c r="V236" s="1">
        <v>0</v>
      </c>
      <c r="W236" s="1"/>
      <c r="X236" s="1">
        <v>0</v>
      </c>
      <c r="Y236" s="1"/>
      <c r="Z236" s="1">
        <v>0</v>
      </c>
      <c r="AA236" s="1"/>
      <c r="AB236" s="1">
        <v>3000</v>
      </c>
      <c r="AC236" s="1"/>
      <c r="AD236" s="1">
        <v>48</v>
      </c>
      <c r="AF236" s="4">
        <f t="shared" si="9"/>
        <v>1359363.41</v>
      </c>
    </row>
    <row r="237" spans="1:32" s="4" customFormat="1" hidden="1"/>
    <row r="238" spans="1:32" s="4" customFormat="1">
      <c r="AF238" s="27" t="s">
        <v>538</v>
      </c>
    </row>
    <row r="239" spans="1:32">
      <c r="B239" s="3" t="s">
        <v>494</v>
      </c>
    </row>
    <row r="240" spans="1:32">
      <c r="B240" s="3" t="s">
        <v>565</v>
      </c>
    </row>
    <row r="241" spans="1:32">
      <c r="B241" s="24" t="s">
        <v>7</v>
      </c>
    </row>
    <row r="243" spans="1:32" s="19" customFormat="1">
      <c r="B243" s="24"/>
      <c r="L243" s="19" t="s">
        <v>8</v>
      </c>
    </row>
    <row r="244" spans="1:32" s="19" customFormat="1">
      <c r="J244" s="19" t="s">
        <v>320</v>
      </c>
      <c r="L244" s="19" t="s">
        <v>502</v>
      </c>
      <c r="N244" s="19" t="s">
        <v>501</v>
      </c>
      <c r="X244" s="19" t="s">
        <v>327</v>
      </c>
      <c r="AD244" s="19" t="s">
        <v>0</v>
      </c>
    </row>
    <row r="245" spans="1:32" s="19" customFormat="1">
      <c r="H245" s="19" t="s">
        <v>318</v>
      </c>
      <c r="J245" s="19" t="s">
        <v>321</v>
      </c>
      <c r="L245" s="19" t="s">
        <v>322</v>
      </c>
      <c r="N245" s="19" t="s">
        <v>499</v>
      </c>
      <c r="T245" s="19" t="s">
        <v>30</v>
      </c>
      <c r="V245" s="19" t="s">
        <v>325</v>
      </c>
      <c r="X245" s="19" t="s">
        <v>328</v>
      </c>
      <c r="AD245" s="19" t="s">
        <v>293</v>
      </c>
    </row>
    <row r="246" spans="1:32" s="19" customFormat="1" ht="12" customHeight="1">
      <c r="A246" s="19" t="s">
        <v>525</v>
      </c>
      <c r="B246" s="20" t="s">
        <v>8</v>
      </c>
      <c r="C246" s="28"/>
      <c r="D246" s="20" t="s">
        <v>6</v>
      </c>
      <c r="E246" s="28"/>
      <c r="F246" s="20" t="s">
        <v>2</v>
      </c>
      <c r="G246" s="28"/>
      <c r="H246" s="20" t="s">
        <v>508</v>
      </c>
      <c r="I246" s="28"/>
      <c r="J246" s="20" t="s">
        <v>29</v>
      </c>
      <c r="K246" s="28"/>
      <c r="L246" s="20" t="s">
        <v>323</v>
      </c>
      <c r="M246" s="28"/>
      <c r="N246" s="20" t="s">
        <v>500</v>
      </c>
      <c r="O246" s="28"/>
      <c r="P246" s="20" t="s">
        <v>4</v>
      </c>
      <c r="Q246" s="28"/>
      <c r="R246" s="20" t="s">
        <v>0</v>
      </c>
      <c r="S246" s="28"/>
      <c r="T246" s="20" t="s">
        <v>324</v>
      </c>
      <c r="U246" s="28"/>
      <c r="V246" s="20" t="s">
        <v>326</v>
      </c>
      <c r="W246" s="28"/>
      <c r="X246" s="20" t="s">
        <v>329</v>
      </c>
      <c r="Y246" s="28"/>
      <c r="Z246" s="20" t="s">
        <v>476</v>
      </c>
      <c r="AA246" s="28"/>
      <c r="AB246" s="20" t="s">
        <v>477</v>
      </c>
      <c r="AC246" s="28"/>
      <c r="AD246" s="20" t="s">
        <v>330</v>
      </c>
      <c r="AE246" s="28"/>
      <c r="AF246" s="29" t="s">
        <v>28</v>
      </c>
    </row>
    <row r="247" spans="1:32" s="4" customFormat="1">
      <c r="A247" s="4">
        <v>193</v>
      </c>
      <c r="B247" s="3" t="s">
        <v>237</v>
      </c>
      <c r="C247" s="3"/>
      <c r="D247" s="3" t="s">
        <v>171</v>
      </c>
      <c r="E247" s="3"/>
      <c r="F247" s="2">
        <v>654377.97</v>
      </c>
      <c r="G247" s="2"/>
      <c r="H247" s="2">
        <v>182579.19</v>
      </c>
      <c r="I247" s="2"/>
      <c r="J247" s="2">
        <v>515013.88</v>
      </c>
      <c r="K247" s="2"/>
      <c r="L247" s="2">
        <v>159561.15</v>
      </c>
      <c r="M247" s="2"/>
      <c r="N247" s="2">
        <v>0</v>
      </c>
      <c r="O247" s="2"/>
      <c r="P247" s="2">
        <v>24109.08</v>
      </c>
      <c r="Q247" s="2"/>
      <c r="R247" s="2">
        <v>502.99</v>
      </c>
      <c r="S247" s="2"/>
      <c r="T247" s="2">
        <v>37474.230000000003</v>
      </c>
      <c r="U247" s="2"/>
      <c r="V247" s="2">
        <v>0</v>
      </c>
      <c r="W247" s="2"/>
      <c r="X247" s="2">
        <v>0</v>
      </c>
      <c r="Y247" s="2"/>
      <c r="Z247" s="2">
        <v>0</v>
      </c>
      <c r="AA247" s="2"/>
      <c r="AB247" s="2">
        <v>0</v>
      </c>
      <c r="AC247" s="2"/>
      <c r="AD247" s="2">
        <v>0</v>
      </c>
      <c r="AE247" s="5"/>
      <c r="AF247" s="5">
        <f t="shared" ref="AF247:AF278" si="10">SUM(F247:AD247)</f>
        <v>1573618.49</v>
      </c>
    </row>
    <row r="248" spans="1:32" s="4" customFormat="1">
      <c r="A248" s="4">
        <v>153</v>
      </c>
      <c r="B248" s="4" t="s">
        <v>310</v>
      </c>
      <c r="D248" s="4" t="s">
        <v>213</v>
      </c>
      <c r="F248" s="4">
        <v>6075145</v>
      </c>
      <c r="H248" s="4">
        <v>1860811</v>
      </c>
      <c r="J248" s="4">
        <v>1928457</v>
      </c>
      <c r="L248" s="4">
        <v>1428290</v>
      </c>
      <c r="N248" s="4">
        <v>0</v>
      </c>
      <c r="P248" s="4">
        <v>186186</v>
      </c>
      <c r="R248" s="4">
        <v>32955</v>
      </c>
      <c r="T248" s="4">
        <v>1917760</v>
      </c>
      <c r="V248" s="4">
        <v>0</v>
      </c>
      <c r="X248" s="4">
        <v>0</v>
      </c>
      <c r="Z248" s="4">
        <v>200</v>
      </c>
      <c r="AB248" s="4">
        <v>0</v>
      </c>
      <c r="AD248" s="4">
        <v>0</v>
      </c>
      <c r="AF248" s="4">
        <f t="shared" si="10"/>
        <v>13429804</v>
      </c>
    </row>
    <row r="249" spans="1:32" s="4" customFormat="1">
      <c r="A249" s="4">
        <v>238</v>
      </c>
      <c r="B249" s="4" t="s">
        <v>239</v>
      </c>
      <c r="D249" s="4" t="s">
        <v>191</v>
      </c>
      <c r="F249" s="4">
        <v>136958</v>
      </c>
      <c r="H249" s="4">
        <v>44452</v>
      </c>
      <c r="J249" s="4">
        <v>69844</v>
      </c>
      <c r="L249" s="4">
        <v>35747</v>
      </c>
      <c r="N249" s="4">
        <v>0</v>
      </c>
      <c r="P249" s="4">
        <v>4528</v>
      </c>
      <c r="R249" s="4">
        <v>100</v>
      </c>
      <c r="T249" s="4">
        <v>0</v>
      </c>
      <c r="V249" s="4">
        <v>21491</v>
      </c>
      <c r="X249" s="4">
        <v>20561</v>
      </c>
      <c r="Z249" s="4">
        <v>0</v>
      </c>
      <c r="AB249" s="4">
        <v>0</v>
      </c>
      <c r="AD249" s="4">
        <v>0</v>
      </c>
      <c r="AF249" s="4">
        <f t="shared" si="10"/>
        <v>333681</v>
      </c>
    </row>
    <row r="250" spans="1:32" s="4" customFormat="1">
      <c r="A250" s="4">
        <v>100</v>
      </c>
      <c r="B250" s="4" t="s">
        <v>311</v>
      </c>
      <c r="D250" s="4" t="s">
        <v>60</v>
      </c>
      <c r="F250" s="1">
        <v>59295.59</v>
      </c>
      <c r="G250" s="1"/>
      <c r="H250" s="1">
        <v>9381.25</v>
      </c>
      <c r="I250" s="1"/>
      <c r="J250" s="1">
        <v>26711.17</v>
      </c>
      <c r="K250" s="1"/>
      <c r="L250" s="1">
        <v>10286.77</v>
      </c>
      <c r="M250" s="1"/>
      <c r="N250" s="1">
        <v>0</v>
      </c>
      <c r="O250" s="1"/>
      <c r="P250" s="1">
        <v>3728.52</v>
      </c>
      <c r="Q250" s="1"/>
      <c r="R250" s="1">
        <v>1126</v>
      </c>
      <c r="S250" s="1"/>
      <c r="T250" s="1">
        <v>1278.8599999999999</v>
      </c>
      <c r="U250" s="1"/>
      <c r="V250" s="1">
        <v>0</v>
      </c>
      <c r="W250" s="1"/>
      <c r="X250" s="1">
        <v>0</v>
      </c>
      <c r="Y250" s="1"/>
      <c r="Z250" s="1">
        <v>0</v>
      </c>
      <c r="AA250" s="1"/>
      <c r="AB250" s="1">
        <v>0</v>
      </c>
      <c r="AC250" s="1"/>
      <c r="AD250" s="1">
        <v>0</v>
      </c>
      <c r="AF250" s="4">
        <f t="shared" si="10"/>
        <v>111808.16</v>
      </c>
    </row>
    <row r="251" spans="1:32" s="4" customFormat="1">
      <c r="A251" s="4">
        <v>68</v>
      </c>
      <c r="B251" s="4" t="s">
        <v>437</v>
      </c>
      <c r="D251" s="4" t="s">
        <v>165</v>
      </c>
      <c r="F251" s="1">
        <v>604853.34</v>
      </c>
      <c r="G251" s="1"/>
      <c r="H251" s="1">
        <v>151112.85999999999</v>
      </c>
      <c r="I251" s="1"/>
      <c r="J251" s="1">
        <v>611471.96</v>
      </c>
      <c r="K251" s="1"/>
      <c r="L251" s="1">
        <v>171458.35</v>
      </c>
      <c r="M251" s="1"/>
      <c r="N251" s="1">
        <v>0</v>
      </c>
      <c r="O251" s="1"/>
      <c r="P251" s="1">
        <v>17291.14</v>
      </c>
      <c r="Q251" s="1"/>
      <c r="R251" s="1">
        <v>7789.86</v>
      </c>
      <c r="S251" s="1"/>
      <c r="T251" s="1">
        <v>2713137.13</v>
      </c>
      <c r="U251" s="1"/>
      <c r="V251" s="1">
        <v>0</v>
      </c>
      <c r="W251" s="1"/>
      <c r="X251" s="1">
        <v>0</v>
      </c>
      <c r="Y251" s="1"/>
      <c r="Z251" s="1">
        <v>1585392</v>
      </c>
      <c r="AA251" s="1"/>
      <c r="AB251" s="1">
        <v>0</v>
      </c>
      <c r="AC251" s="1"/>
      <c r="AD251" s="1">
        <v>12</v>
      </c>
      <c r="AF251" s="4">
        <f t="shared" si="10"/>
        <v>5862518.6399999997</v>
      </c>
    </row>
    <row r="252" spans="1:32" s="4" customFormat="1">
      <c r="A252" s="4">
        <v>15</v>
      </c>
      <c r="B252" s="4" t="s">
        <v>241</v>
      </c>
      <c r="D252" s="4" t="s">
        <v>42</v>
      </c>
      <c r="F252" s="1">
        <v>87332.73</v>
      </c>
      <c r="G252" s="1"/>
      <c r="H252" s="1">
        <v>13680.96</v>
      </c>
      <c r="I252" s="1"/>
      <c r="J252" s="1">
        <v>39113.32</v>
      </c>
      <c r="K252" s="1"/>
      <c r="L252" s="1">
        <v>27159.83</v>
      </c>
      <c r="M252" s="1"/>
      <c r="N252" s="1">
        <v>0</v>
      </c>
      <c r="O252" s="1"/>
      <c r="P252" s="1">
        <v>2791.9</v>
      </c>
      <c r="Q252" s="1"/>
      <c r="R252" s="1">
        <v>5159.45</v>
      </c>
      <c r="S252" s="1"/>
      <c r="T252" s="1">
        <v>0</v>
      </c>
      <c r="U252" s="1"/>
      <c r="V252" s="1">
        <v>0</v>
      </c>
      <c r="W252" s="1"/>
      <c r="X252" s="1">
        <v>0</v>
      </c>
      <c r="Y252" s="1"/>
      <c r="Z252" s="1">
        <v>0</v>
      </c>
      <c r="AA252" s="1"/>
      <c r="AB252" s="1">
        <v>0</v>
      </c>
      <c r="AC252" s="1"/>
      <c r="AD252" s="1">
        <v>4000</v>
      </c>
      <c r="AF252" s="4">
        <f t="shared" si="10"/>
        <v>179238.19000000003</v>
      </c>
    </row>
    <row r="253" spans="1:32" s="4" customFormat="1">
      <c r="A253" s="4">
        <v>161</v>
      </c>
      <c r="B253" s="4" t="s">
        <v>340</v>
      </c>
      <c r="D253" s="4" t="s">
        <v>49</v>
      </c>
      <c r="F253" s="1">
        <v>85083.68</v>
      </c>
      <c r="G253" s="1"/>
      <c r="H253" s="1">
        <v>31541.56</v>
      </c>
      <c r="I253" s="1"/>
      <c r="J253" s="1">
        <v>20293.72</v>
      </c>
      <c r="K253" s="1"/>
      <c r="L253" s="1">
        <v>15140.09</v>
      </c>
      <c r="M253" s="1"/>
      <c r="N253" s="1">
        <v>0</v>
      </c>
      <c r="O253" s="1"/>
      <c r="P253" s="1">
        <v>12757.96</v>
      </c>
      <c r="Q253" s="1"/>
      <c r="R253" s="1">
        <v>1870</v>
      </c>
      <c r="S253" s="1"/>
      <c r="T253" s="1">
        <v>2387.61</v>
      </c>
      <c r="U253" s="1"/>
      <c r="V253" s="1">
        <v>0</v>
      </c>
      <c r="W253" s="1"/>
      <c r="X253" s="1">
        <v>0</v>
      </c>
      <c r="Y253" s="1"/>
      <c r="Z253" s="1">
        <v>0</v>
      </c>
      <c r="AA253" s="1"/>
      <c r="AB253" s="1">
        <v>8397</v>
      </c>
      <c r="AC253" s="1"/>
      <c r="AD253" s="1">
        <v>0</v>
      </c>
      <c r="AF253" s="4">
        <f t="shared" si="10"/>
        <v>177471.61999999997</v>
      </c>
    </row>
    <row r="254" spans="1:32" s="4" customFormat="1">
      <c r="A254" s="4">
        <v>56</v>
      </c>
      <c r="B254" s="4" t="s">
        <v>242</v>
      </c>
      <c r="D254" s="4" t="s">
        <v>19</v>
      </c>
      <c r="F254" s="4">
        <v>2286595</v>
      </c>
      <c r="H254" s="4">
        <v>533751</v>
      </c>
      <c r="J254" s="4">
        <v>421162</v>
      </c>
      <c r="L254" s="4">
        <v>512409</v>
      </c>
      <c r="N254" s="4">
        <v>0</v>
      </c>
      <c r="P254" s="4">
        <v>79027</v>
      </c>
      <c r="R254" s="4">
        <v>14431</v>
      </c>
      <c r="T254" s="4">
        <v>386422</v>
      </c>
      <c r="V254" s="4">
        <v>185000</v>
      </c>
      <c r="X254" s="4">
        <v>55875</v>
      </c>
      <c r="Z254" s="4">
        <v>190000</v>
      </c>
      <c r="AB254" s="4">
        <v>0</v>
      </c>
      <c r="AD254" s="4">
        <v>0</v>
      </c>
      <c r="AF254" s="4">
        <f t="shared" si="10"/>
        <v>4664672</v>
      </c>
    </row>
    <row r="255" spans="1:32" s="4" customFormat="1">
      <c r="A255" s="4">
        <v>214</v>
      </c>
      <c r="B255" s="4" t="s">
        <v>243</v>
      </c>
      <c r="D255" s="4" t="s">
        <v>25</v>
      </c>
      <c r="F255" s="4">
        <v>776658</v>
      </c>
      <c r="H255" s="4">
        <f>124240+119748+2511</f>
        <v>246499</v>
      </c>
      <c r="J255" s="4">
        <f>1186+12801+3444+10367+48409+52083+59357+13818</f>
        <v>201465</v>
      </c>
      <c r="L255" s="4">
        <f>110602+12760+17381+40338+3270+144</f>
        <v>184495</v>
      </c>
      <c r="N255" s="4">
        <v>0</v>
      </c>
      <c r="P255" s="4">
        <f>19048+4837+2722+2770</f>
        <v>29377</v>
      </c>
      <c r="R255" s="4">
        <f>5452+324</f>
        <v>5776</v>
      </c>
      <c r="T255" s="4">
        <v>4783</v>
      </c>
      <c r="V255" s="4">
        <v>0</v>
      </c>
      <c r="X255" s="4">
        <v>0</v>
      </c>
      <c r="Z255" s="4">
        <v>0</v>
      </c>
      <c r="AB255" s="4">
        <v>0</v>
      </c>
      <c r="AD255" s="4">
        <v>0</v>
      </c>
      <c r="AF255" s="4">
        <f t="shared" si="10"/>
        <v>1449053</v>
      </c>
    </row>
    <row r="256" spans="1:32" s="4" customFormat="1">
      <c r="A256" s="4">
        <v>253</v>
      </c>
      <c r="B256" s="4" t="s">
        <v>244</v>
      </c>
      <c r="D256" s="4" t="s">
        <v>64</v>
      </c>
      <c r="F256" s="4">
        <v>426651</v>
      </c>
      <c r="H256" s="4">
        <v>137974</v>
      </c>
      <c r="J256" s="4">
        <v>109989</v>
      </c>
      <c r="L256" s="4">
        <v>103684</v>
      </c>
      <c r="N256" s="4">
        <v>0</v>
      </c>
      <c r="P256" s="4">
        <v>14245</v>
      </c>
      <c r="R256" s="4">
        <v>7156</v>
      </c>
      <c r="T256" s="4">
        <v>45092</v>
      </c>
      <c r="V256" s="4">
        <v>0</v>
      </c>
      <c r="X256" s="4">
        <v>0</v>
      </c>
      <c r="Z256" s="4">
        <v>0</v>
      </c>
      <c r="AB256" s="4">
        <v>0</v>
      </c>
      <c r="AD256" s="4">
        <v>0</v>
      </c>
      <c r="AF256" s="4">
        <f t="shared" si="10"/>
        <v>844791</v>
      </c>
    </row>
    <row r="257" spans="1:32" s="4" customFormat="1">
      <c r="A257" s="4">
        <v>36</v>
      </c>
      <c r="B257" s="4" t="s">
        <v>245</v>
      </c>
      <c r="D257" s="4" t="s">
        <v>68</v>
      </c>
      <c r="F257" s="1">
        <v>142256.76999999999</v>
      </c>
      <c r="G257" s="1"/>
      <c r="H257" s="1">
        <v>42338.9</v>
      </c>
      <c r="I257" s="1"/>
      <c r="J257" s="1">
        <v>35416.089999999997</v>
      </c>
      <c r="K257" s="1"/>
      <c r="L257" s="1">
        <v>57294.28</v>
      </c>
      <c r="M257" s="1"/>
      <c r="N257" s="1">
        <v>0</v>
      </c>
      <c r="O257" s="1"/>
      <c r="P257" s="1">
        <v>10751.58</v>
      </c>
      <c r="Q257" s="1"/>
      <c r="R257" s="1">
        <v>2533.77</v>
      </c>
      <c r="S257" s="1"/>
      <c r="T257" s="1">
        <v>3273.84</v>
      </c>
      <c r="U257" s="1"/>
      <c r="V257" s="1">
        <v>0</v>
      </c>
      <c r="W257" s="1"/>
      <c r="X257" s="1">
        <v>0</v>
      </c>
      <c r="Y257" s="1"/>
      <c r="Z257" s="1">
        <v>0</v>
      </c>
      <c r="AA257" s="1"/>
      <c r="AB257" s="1">
        <v>0</v>
      </c>
      <c r="AC257" s="1"/>
      <c r="AD257" s="1">
        <v>0</v>
      </c>
      <c r="AF257" s="4">
        <f t="shared" si="10"/>
        <v>293865.23000000004</v>
      </c>
    </row>
    <row r="258" spans="1:32" s="4" customFormat="1">
      <c r="A258" s="4">
        <v>30</v>
      </c>
      <c r="B258" s="4" t="s">
        <v>344</v>
      </c>
      <c r="D258" s="4" t="s">
        <v>61</v>
      </c>
      <c r="F258" s="1">
        <v>161133.93</v>
      </c>
      <c r="G258" s="1"/>
      <c r="H258" s="1">
        <v>74461.53</v>
      </c>
      <c r="I258" s="1"/>
      <c r="J258" s="1">
        <v>71801.11</v>
      </c>
      <c r="K258" s="1"/>
      <c r="L258" s="1">
        <v>36320.559999999998</v>
      </c>
      <c r="M258" s="1"/>
      <c r="N258" s="1">
        <v>0</v>
      </c>
      <c r="O258" s="1"/>
      <c r="P258" s="1">
        <v>14979.06</v>
      </c>
      <c r="Q258" s="1"/>
      <c r="R258" s="1">
        <v>5238.08</v>
      </c>
      <c r="S258" s="1"/>
      <c r="T258" s="1">
        <v>3247.13</v>
      </c>
      <c r="U258" s="1"/>
      <c r="V258" s="1">
        <v>0</v>
      </c>
      <c r="W258" s="1"/>
      <c r="X258" s="1">
        <v>0</v>
      </c>
      <c r="Y258" s="1"/>
      <c r="Z258" s="1">
        <v>10000</v>
      </c>
      <c r="AA258" s="1"/>
      <c r="AB258" s="1">
        <v>0</v>
      </c>
      <c r="AC258" s="1"/>
      <c r="AD258" s="1">
        <v>0</v>
      </c>
      <c r="AF258" s="4">
        <f t="shared" si="10"/>
        <v>377181.4</v>
      </c>
    </row>
    <row r="259" spans="1:32" s="4" customFormat="1">
      <c r="A259" s="4">
        <v>43</v>
      </c>
      <c r="B259" s="4" t="s">
        <v>246</v>
      </c>
      <c r="D259" s="4" t="s">
        <v>50</v>
      </c>
      <c r="F259" s="4">
        <v>466500</v>
      </c>
      <c r="H259" s="4">
        <v>102068</v>
      </c>
      <c r="J259" s="4">
        <v>124968</v>
      </c>
      <c r="L259" s="4">
        <v>114940</v>
      </c>
      <c r="N259" s="4">
        <v>0</v>
      </c>
      <c r="P259" s="4">
        <v>12462</v>
      </c>
      <c r="R259" s="4">
        <v>5493</v>
      </c>
      <c r="T259" s="4">
        <v>13518</v>
      </c>
      <c r="V259" s="4">
        <v>0</v>
      </c>
      <c r="X259" s="4">
        <v>0</v>
      </c>
      <c r="Z259" s="4">
        <v>4912</v>
      </c>
      <c r="AB259" s="4">
        <v>0</v>
      </c>
      <c r="AD259" s="4">
        <v>0</v>
      </c>
      <c r="AF259" s="4">
        <f t="shared" si="10"/>
        <v>844861</v>
      </c>
    </row>
    <row r="260" spans="1:32" s="4" customFormat="1">
      <c r="A260" s="4">
        <v>244</v>
      </c>
      <c r="B260" s="4" t="s">
        <v>247</v>
      </c>
      <c r="D260" s="4" t="s">
        <v>53</v>
      </c>
      <c r="F260" s="4">
        <v>399541</v>
      </c>
      <c r="H260" s="4">
        <v>51168</v>
      </c>
      <c r="J260" s="4">
        <v>102728</v>
      </c>
      <c r="L260" s="4">
        <v>18464</v>
      </c>
      <c r="N260" s="4">
        <v>0</v>
      </c>
      <c r="P260" s="4">
        <v>3041</v>
      </c>
      <c r="R260" s="4">
        <v>6580</v>
      </c>
      <c r="T260" s="4">
        <v>403</v>
      </c>
      <c r="V260" s="4">
        <v>0</v>
      </c>
      <c r="X260" s="4">
        <v>0</v>
      </c>
      <c r="Z260" s="4">
        <v>0</v>
      </c>
      <c r="AB260" s="4">
        <v>0</v>
      </c>
      <c r="AD260" s="4">
        <v>0</v>
      </c>
      <c r="AF260" s="4">
        <f t="shared" si="10"/>
        <v>581925</v>
      </c>
    </row>
    <row r="261" spans="1:32" s="4" customFormat="1">
      <c r="A261" s="4">
        <v>69</v>
      </c>
      <c r="B261" s="4" t="s">
        <v>312</v>
      </c>
      <c r="D261" s="4" t="s">
        <v>165</v>
      </c>
      <c r="F261" s="4">
        <v>1380056</v>
      </c>
      <c r="H261" s="4">
        <v>515265</v>
      </c>
      <c r="J261" s="4">
        <v>612087</v>
      </c>
      <c r="L261" s="4">
        <v>242041</v>
      </c>
      <c r="N261" s="4">
        <v>0</v>
      </c>
      <c r="P261" s="4">
        <v>60501</v>
      </c>
      <c r="R261" s="4">
        <v>16208</v>
      </c>
      <c r="T261" s="4">
        <v>112738</v>
      </c>
      <c r="V261" s="4">
        <v>0</v>
      </c>
      <c r="X261" s="4">
        <v>0</v>
      </c>
      <c r="Z261" s="4">
        <v>1411</v>
      </c>
      <c r="AB261" s="4">
        <v>0</v>
      </c>
      <c r="AD261" s="4">
        <v>0</v>
      </c>
      <c r="AF261" s="4">
        <f t="shared" si="10"/>
        <v>2940307</v>
      </c>
    </row>
    <row r="262" spans="1:32" s="4" customFormat="1">
      <c r="A262" s="4">
        <v>177</v>
      </c>
      <c r="B262" s="4" t="s">
        <v>248</v>
      </c>
      <c r="D262" s="4" t="s">
        <v>67</v>
      </c>
      <c r="F262" s="1">
        <v>166660.31</v>
      </c>
      <c r="G262" s="1"/>
      <c r="H262" s="1">
        <v>27046.03</v>
      </c>
      <c r="I262" s="1"/>
      <c r="J262" s="1">
        <v>29834.84</v>
      </c>
      <c r="K262" s="1"/>
      <c r="L262" s="1">
        <v>23748.51</v>
      </c>
      <c r="M262" s="1"/>
      <c r="N262" s="1">
        <v>0</v>
      </c>
      <c r="O262" s="1"/>
      <c r="P262" s="1">
        <v>2497.33</v>
      </c>
      <c r="Q262" s="1"/>
      <c r="R262" s="1">
        <v>1036</v>
      </c>
      <c r="S262" s="1"/>
      <c r="T262" s="1">
        <v>0</v>
      </c>
      <c r="U262" s="1"/>
      <c r="V262" s="1">
        <v>0</v>
      </c>
      <c r="W262" s="1"/>
      <c r="X262" s="1">
        <v>0</v>
      </c>
      <c r="Y262" s="1"/>
      <c r="Z262" s="1">
        <v>75000</v>
      </c>
      <c r="AA262" s="1"/>
      <c r="AB262" s="1">
        <v>0</v>
      </c>
      <c r="AC262" s="1"/>
      <c r="AD262" s="1">
        <v>0</v>
      </c>
      <c r="AF262" s="4">
        <f t="shared" si="10"/>
        <v>325823.02</v>
      </c>
    </row>
    <row r="263" spans="1:32" s="4" customFormat="1">
      <c r="A263" s="4">
        <v>206</v>
      </c>
      <c r="B263" s="4" t="s">
        <v>249</v>
      </c>
      <c r="D263" s="4" t="s">
        <v>44</v>
      </c>
      <c r="F263" s="1">
        <v>78747.360000000001</v>
      </c>
      <c r="G263" s="1"/>
      <c r="H263" s="1">
        <v>12320.31</v>
      </c>
      <c r="I263" s="1"/>
      <c r="J263" s="1">
        <v>32677.24</v>
      </c>
      <c r="K263" s="1"/>
      <c r="L263" s="1">
        <v>21154.46</v>
      </c>
      <c r="M263" s="1"/>
      <c r="N263" s="1">
        <v>0</v>
      </c>
      <c r="O263" s="1"/>
      <c r="P263" s="1">
        <v>4445.7700000000004</v>
      </c>
      <c r="Q263" s="1"/>
      <c r="R263" s="1">
        <v>8269.66</v>
      </c>
      <c r="S263" s="1"/>
      <c r="T263" s="1">
        <v>1866.7</v>
      </c>
      <c r="U263" s="1"/>
      <c r="V263" s="1">
        <v>7275.24</v>
      </c>
      <c r="W263" s="1"/>
      <c r="X263" s="1">
        <v>1652.85</v>
      </c>
      <c r="Y263" s="1"/>
      <c r="Z263" s="1">
        <v>8928</v>
      </c>
      <c r="AA263" s="1"/>
      <c r="AB263" s="1">
        <v>0</v>
      </c>
      <c r="AC263" s="1"/>
      <c r="AD263" s="1">
        <v>0</v>
      </c>
      <c r="AF263" s="4">
        <f t="shared" si="10"/>
        <v>177337.59</v>
      </c>
    </row>
    <row r="264" spans="1:32" s="4" customFormat="1">
      <c r="A264" s="4">
        <v>57</v>
      </c>
      <c r="B264" s="4" t="s">
        <v>250</v>
      </c>
      <c r="D264" s="4" t="s">
        <v>19</v>
      </c>
      <c r="F264" s="4">
        <v>3041316</v>
      </c>
      <c r="H264" s="4">
        <v>850875</v>
      </c>
      <c r="J264" s="4">
        <v>835072</v>
      </c>
      <c r="L264" s="4">
        <v>546763</v>
      </c>
      <c r="N264" s="4">
        <v>0</v>
      </c>
      <c r="P264" s="4">
        <v>79546</v>
      </c>
      <c r="R264" s="4">
        <v>31088</v>
      </c>
      <c r="T264" s="4">
        <v>19205</v>
      </c>
      <c r="V264" s="4">
        <v>0</v>
      </c>
      <c r="X264" s="4">
        <v>0</v>
      </c>
      <c r="Z264" s="4">
        <v>157795</v>
      </c>
      <c r="AB264" s="4">
        <v>10000</v>
      </c>
      <c r="AD264" s="4">
        <v>0</v>
      </c>
      <c r="AF264" s="4">
        <f t="shared" si="10"/>
        <v>5571660</v>
      </c>
    </row>
    <row r="265" spans="1:32" s="4" customFormat="1">
      <c r="A265" s="4">
        <v>118</v>
      </c>
      <c r="B265" s="4" t="s">
        <v>417</v>
      </c>
      <c r="D265" s="4" t="s">
        <v>168</v>
      </c>
      <c r="F265" s="4">
        <v>129020</v>
      </c>
      <c r="H265" s="4">
        <v>37705</v>
      </c>
      <c r="J265" s="4">
        <v>75881</v>
      </c>
      <c r="L265" s="4">
        <v>1040</v>
      </c>
      <c r="N265" s="4">
        <v>0</v>
      </c>
      <c r="P265" s="4">
        <v>2149</v>
      </c>
      <c r="R265" s="4">
        <v>68082</v>
      </c>
      <c r="T265" s="4">
        <v>0</v>
      </c>
      <c r="V265" s="4">
        <v>0</v>
      </c>
      <c r="X265" s="4">
        <v>0</v>
      </c>
      <c r="Z265" s="4">
        <v>0</v>
      </c>
      <c r="AB265" s="4">
        <v>0</v>
      </c>
      <c r="AD265" s="4">
        <v>0</v>
      </c>
      <c r="AF265" s="4">
        <f t="shared" si="10"/>
        <v>313877</v>
      </c>
    </row>
    <row r="266" spans="1:32" s="4" customFormat="1">
      <c r="A266" s="4">
        <v>79</v>
      </c>
      <c r="B266" s="4" t="s">
        <v>252</v>
      </c>
      <c r="D266" s="4" t="s">
        <v>91</v>
      </c>
      <c r="F266" s="4">
        <v>1820349</v>
      </c>
      <c r="H266" s="4">
        <v>582029</v>
      </c>
      <c r="J266" s="4">
        <v>907371</v>
      </c>
      <c r="L266" s="4">
        <v>190541</v>
      </c>
      <c r="N266" s="4">
        <v>0</v>
      </c>
      <c r="P266" s="4">
        <v>88069</v>
      </c>
      <c r="R266" s="4">
        <v>33040</v>
      </c>
      <c r="T266" s="4">
        <v>20555</v>
      </c>
      <c r="V266" s="4">
        <v>0</v>
      </c>
      <c r="X266" s="4">
        <v>0</v>
      </c>
      <c r="Z266" s="4">
        <v>0</v>
      </c>
      <c r="AB266" s="4">
        <v>0</v>
      </c>
      <c r="AD266" s="4">
        <v>0</v>
      </c>
      <c r="AF266" s="4">
        <f t="shared" si="10"/>
        <v>3641954</v>
      </c>
    </row>
    <row r="267" spans="1:32" s="4" customFormat="1">
      <c r="A267" s="4">
        <v>22</v>
      </c>
      <c r="B267" s="4" t="s">
        <v>313</v>
      </c>
      <c r="D267" s="4" t="s">
        <v>13</v>
      </c>
      <c r="F267" s="1">
        <v>248210.07</v>
      </c>
      <c r="G267" s="1"/>
      <c r="H267" s="1">
        <v>64836.05</v>
      </c>
      <c r="I267" s="1"/>
      <c r="J267" s="1">
        <v>79362.87</v>
      </c>
      <c r="K267" s="1"/>
      <c r="L267" s="1">
        <v>45003.040000000001</v>
      </c>
      <c r="M267" s="1"/>
      <c r="N267" s="1">
        <v>0</v>
      </c>
      <c r="O267" s="1"/>
      <c r="P267" s="1">
        <v>8458.74</v>
      </c>
      <c r="Q267" s="1"/>
      <c r="R267" s="1">
        <v>2579.12</v>
      </c>
      <c r="S267" s="1"/>
      <c r="T267" s="1">
        <v>19951.88</v>
      </c>
      <c r="U267" s="1"/>
      <c r="V267" s="1">
        <v>0</v>
      </c>
      <c r="W267" s="1"/>
      <c r="X267" s="1">
        <v>0</v>
      </c>
      <c r="Y267" s="1"/>
      <c r="Z267" s="1">
        <v>0</v>
      </c>
      <c r="AA267" s="1"/>
      <c r="AB267" s="1">
        <v>0</v>
      </c>
      <c r="AC267" s="1"/>
      <c r="AD267" s="1">
        <v>0</v>
      </c>
      <c r="AF267" s="4">
        <f t="shared" si="10"/>
        <v>468401.76999999996</v>
      </c>
    </row>
    <row r="268" spans="1:32" s="4" customFormat="1">
      <c r="A268" s="4">
        <v>18</v>
      </c>
      <c r="B268" s="4" t="s">
        <v>341</v>
      </c>
      <c r="D268" s="4" t="s">
        <v>43</v>
      </c>
      <c r="F268" s="1">
        <v>270895.15000000002</v>
      </c>
      <c r="G268" s="1"/>
      <c r="H268" s="1">
        <v>64483.49</v>
      </c>
      <c r="I268" s="1"/>
      <c r="J268" s="1">
        <v>73618.600000000006</v>
      </c>
      <c r="K268" s="1"/>
      <c r="L268" s="1">
        <v>32842.19</v>
      </c>
      <c r="M268" s="1"/>
      <c r="N268" s="1">
        <v>0</v>
      </c>
      <c r="O268" s="1"/>
      <c r="P268" s="1">
        <v>17669.36</v>
      </c>
      <c r="Q268" s="1"/>
      <c r="R268" s="1">
        <v>5309.99</v>
      </c>
      <c r="S268" s="1"/>
      <c r="T268" s="1">
        <v>109040.49</v>
      </c>
      <c r="U268" s="1"/>
      <c r="V268" s="1">
        <v>6683</v>
      </c>
      <c r="W268" s="1"/>
      <c r="X268" s="1">
        <v>4194.03</v>
      </c>
      <c r="Y268" s="1"/>
      <c r="Z268" s="1">
        <v>0</v>
      </c>
      <c r="AA268" s="1"/>
      <c r="AB268" s="1">
        <v>0</v>
      </c>
      <c r="AC268" s="1"/>
      <c r="AD268" s="1">
        <v>0</v>
      </c>
      <c r="AF268" s="4">
        <f t="shared" si="10"/>
        <v>584736.30000000005</v>
      </c>
    </row>
    <row r="269" spans="1:32" s="4" customFormat="1">
      <c r="A269" s="4">
        <v>215</v>
      </c>
      <c r="B269" s="4" t="s">
        <v>539</v>
      </c>
      <c r="D269" s="4" t="s">
        <v>25</v>
      </c>
      <c r="F269" s="4">
        <f>2180903+1701491</f>
        <v>3882394</v>
      </c>
      <c r="H269" s="4">
        <v>0</v>
      </c>
      <c r="J269" s="4">
        <v>0</v>
      </c>
      <c r="L269" s="4">
        <f>6926343+597420</f>
        <v>7523763</v>
      </c>
      <c r="N269" s="4">
        <v>1221170</v>
      </c>
      <c r="P269" s="4">
        <v>0</v>
      </c>
      <c r="R269" s="4">
        <v>0</v>
      </c>
      <c r="T269" s="4">
        <v>386403</v>
      </c>
      <c r="V269" s="4">
        <v>0</v>
      </c>
      <c r="X269" s="4">
        <v>0</v>
      </c>
      <c r="Z269" s="4">
        <v>566</v>
      </c>
      <c r="AB269" s="4">
        <v>0</v>
      </c>
      <c r="AD269" s="4">
        <v>0</v>
      </c>
      <c r="AF269" s="4">
        <f t="shared" si="10"/>
        <v>13014296</v>
      </c>
    </row>
    <row r="270" spans="1:32" s="4" customFormat="1">
      <c r="A270" s="4">
        <v>120</v>
      </c>
      <c r="B270" s="4" t="s">
        <v>254</v>
      </c>
      <c r="D270" s="4" t="s">
        <v>255</v>
      </c>
      <c r="F270" s="4">
        <v>1438724</v>
      </c>
      <c r="H270" s="4">
        <v>611984</v>
      </c>
      <c r="J270" s="4">
        <v>475362</v>
      </c>
      <c r="L270" s="4">
        <v>215407</v>
      </c>
      <c r="N270" s="4">
        <v>0</v>
      </c>
      <c r="P270" s="4">
        <v>59303</v>
      </c>
      <c r="R270" s="4">
        <v>11102</v>
      </c>
      <c r="T270" s="4">
        <v>85995</v>
      </c>
      <c r="V270" s="4">
        <v>0</v>
      </c>
      <c r="X270" s="4">
        <v>0</v>
      </c>
      <c r="Z270" s="4">
        <v>15</v>
      </c>
      <c r="AB270" s="4">
        <v>0</v>
      </c>
      <c r="AD270" s="4">
        <v>0</v>
      </c>
      <c r="AF270" s="4">
        <f t="shared" si="10"/>
        <v>2897892</v>
      </c>
    </row>
    <row r="271" spans="1:32" s="4" customFormat="1">
      <c r="A271" s="4">
        <v>220</v>
      </c>
      <c r="B271" s="4" t="s">
        <v>256</v>
      </c>
      <c r="D271" s="4" t="s">
        <v>22</v>
      </c>
      <c r="F271" s="4">
        <f>461318+215109</f>
        <v>676427</v>
      </c>
      <c r="H271" s="4">
        <v>0</v>
      </c>
      <c r="J271" s="4">
        <v>0</v>
      </c>
      <c r="L271" s="4">
        <v>1016750</v>
      </c>
      <c r="N271" s="4">
        <v>441247</v>
      </c>
      <c r="P271" s="4">
        <v>0</v>
      </c>
      <c r="R271" s="4">
        <v>0</v>
      </c>
      <c r="T271" s="4">
        <v>23416</v>
      </c>
      <c r="V271" s="4">
        <v>0</v>
      </c>
      <c r="X271" s="4">
        <v>0</v>
      </c>
      <c r="Z271" s="4">
        <v>0</v>
      </c>
      <c r="AB271" s="4">
        <v>0</v>
      </c>
      <c r="AD271" s="4">
        <v>0</v>
      </c>
      <c r="AF271" s="4">
        <f t="shared" si="10"/>
        <v>2157840</v>
      </c>
    </row>
    <row r="272" spans="1:32" s="4" customFormat="1">
      <c r="A272" s="4">
        <v>86</v>
      </c>
      <c r="B272" s="4" t="s">
        <v>257</v>
      </c>
      <c r="D272" s="4" t="s">
        <v>41</v>
      </c>
      <c r="F272" s="1">
        <v>202758.04</v>
      </c>
      <c r="G272" s="1"/>
      <c r="H272" s="1">
        <v>74963.509999999995</v>
      </c>
      <c r="I272" s="1"/>
      <c r="J272" s="1">
        <v>67136.28</v>
      </c>
      <c r="K272" s="1"/>
      <c r="L272" s="1">
        <v>27219.61</v>
      </c>
      <c r="M272" s="1"/>
      <c r="N272" s="1">
        <v>0</v>
      </c>
      <c r="O272" s="1"/>
      <c r="P272" s="1">
        <v>7143.51</v>
      </c>
      <c r="Q272" s="1"/>
      <c r="R272" s="1">
        <v>4958.1899999999996</v>
      </c>
      <c r="S272" s="1"/>
      <c r="T272" s="1">
        <v>7798.7</v>
      </c>
      <c r="U272" s="1"/>
      <c r="V272" s="1">
        <v>0</v>
      </c>
      <c r="W272" s="1"/>
      <c r="X272" s="1">
        <v>0</v>
      </c>
      <c r="Y272" s="1"/>
      <c r="Z272" s="1">
        <v>0</v>
      </c>
      <c r="AA272" s="1"/>
      <c r="AB272" s="1">
        <v>0</v>
      </c>
      <c r="AC272" s="1"/>
      <c r="AD272" s="1">
        <v>0</v>
      </c>
      <c r="AF272" s="4">
        <f t="shared" si="10"/>
        <v>391977.83999999997</v>
      </c>
    </row>
    <row r="273" spans="1:32" s="4" customFormat="1">
      <c r="A273" s="4">
        <v>119</v>
      </c>
      <c r="B273" s="4" t="s">
        <v>258</v>
      </c>
      <c r="D273" s="4" t="s">
        <v>168</v>
      </c>
      <c r="F273" s="1">
        <v>292313.14</v>
      </c>
      <c r="G273" s="1"/>
      <c r="H273" s="1">
        <v>115992.45</v>
      </c>
      <c r="I273" s="1"/>
      <c r="J273" s="1">
        <v>35827.620000000003</v>
      </c>
      <c r="K273" s="1"/>
      <c r="L273" s="1">
        <v>44642.54</v>
      </c>
      <c r="M273" s="1"/>
      <c r="N273" s="1">
        <v>0</v>
      </c>
      <c r="O273" s="1"/>
      <c r="P273" s="1">
        <v>6279.58</v>
      </c>
      <c r="Q273" s="1"/>
      <c r="R273" s="1">
        <v>4742.5</v>
      </c>
      <c r="S273" s="1"/>
      <c r="T273" s="1">
        <v>13164.37</v>
      </c>
      <c r="U273" s="1"/>
      <c r="V273" s="1">
        <v>0</v>
      </c>
      <c r="W273" s="1"/>
      <c r="X273" s="1">
        <v>0</v>
      </c>
      <c r="Y273" s="1"/>
      <c r="Z273" s="1">
        <v>15000</v>
      </c>
      <c r="AA273" s="1"/>
      <c r="AB273" s="1">
        <v>0</v>
      </c>
      <c r="AC273" s="1"/>
      <c r="AD273" s="1">
        <v>73</v>
      </c>
      <c r="AF273" s="4">
        <f t="shared" si="10"/>
        <v>528035.19999999995</v>
      </c>
    </row>
    <row r="274" spans="1:32" s="4" customFormat="1" hidden="1">
      <c r="A274" s="4">
        <v>221</v>
      </c>
      <c r="B274" s="4" t="s">
        <v>259</v>
      </c>
      <c r="D274" s="4" t="s">
        <v>22</v>
      </c>
      <c r="AF274" s="4">
        <f t="shared" si="10"/>
        <v>0</v>
      </c>
    </row>
    <row r="275" spans="1:32" s="4" customFormat="1" hidden="1">
      <c r="A275" s="22">
        <v>92.1</v>
      </c>
      <c r="B275" s="4" t="s">
        <v>526</v>
      </c>
      <c r="C275" s="3"/>
      <c r="D275" s="3" t="s">
        <v>527</v>
      </c>
      <c r="E275" s="3"/>
      <c r="AF275" s="4">
        <f t="shared" si="10"/>
        <v>0</v>
      </c>
    </row>
    <row r="276" spans="1:32" s="4" customFormat="1" hidden="1">
      <c r="A276" s="4">
        <v>71</v>
      </c>
      <c r="B276" s="4" t="s">
        <v>523</v>
      </c>
      <c r="D276" s="4" t="s">
        <v>66</v>
      </c>
      <c r="AF276" s="4">
        <f t="shared" si="10"/>
        <v>0</v>
      </c>
    </row>
    <row r="277" spans="1:32" s="4" customFormat="1">
      <c r="A277" s="4">
        <v>207</v>
      </c>
      <c r="B277" s="4" t="s">
        <v>260</v>
      </c>
      <c r="D277" s="4" t="s">
        <v>44</v>
      </c>
      <c r="F277" s="1">
        <v>702893.11</v>
      </c>
      <c r="G277" s="1"/>
      <c r="H277" s="1">
        <v>207762.57</v>
      </c>
      <c r="I277" s="1"/>
      <c r="J277" s="1">
        <v>167307.23000000001</v>
      </c>
      <c r="K277" s="1"/>
      <c r="L277" s="1">
        <v>173568.15</v>
      </c>
      <c r="M277" s="1"/>
      <c r="N277" s="1">
        <v>0</v>
      </c>
      <c r="O277" s="1"/>
      <c r="P277" s="1">
        <v>24140.87</v>
      </c>
      <c r="Q277" s="1"/>
      <c r="R277" s="1">
        <v>11483.29</v>
      </c>
      <c r="S277" s="1"/>
      <c r="T277" s="1">
        <v>130970.34</v>
      </c>
      <c r="U277" s="1"/>
      <c r="V277" s="1">
        <v>0</v>
      </c>
      <c r="W277" s="1"/>
      <c r="X277" s="1">
        <v>0</v>
      </c>
      <c r="Y277" s="1"/>
      <c r="Z277" s="1">
        <v>260000</v>
      </c>
      <c r="AA277" s="1"/>
      <c r="AB277" s="1">
        <v>0</v>
      </c>
      <c r="AC277" s="1"/>
      <c r="AD277" s="1">
        <v>212</v>
      </c>
      <c r="AF277" s="4">
        <f t="shared" si="10"/>
        <v>1678337.56</v>
      </c>
    </row>
    <row r="278" spans="1:32" s="4" customFormat="1">
      <c r="A278" s="4">
        <v>166</v>
      </c>
      <c r="B278" s="4" t="s">
        <v>418</v>
      </c>
      <c r="D278" s="4" t="s">
        <v>52</v>
      </c>
      <c r="F278" s="4">
        <f>21719+41109</f>
        <v>62828</v>
      </c>
      <c r="H278" s="4">
        <v>0</v>
      </c>
      <c r="J278" s="4">
        <v>0</v>
      </c>
      <c r="L278" s="4">
        <f>438039+7939</f>
        <v>445978</v>
      </c>
      <c r="N278" s="4">
        <v>42754</v>
      </c>
      <c r="P278" s="4">
        <v>0</v>
      </c>
      <c r="R278" s="4">
        <v>0</v>
      </c>
      <c r="T278" s="4">
        <v>40959</v>
      </c>
      <c r="V278" s="4">
        <v>0</v>
      </c>
      <c r="X278" s="4">
        <v>0</v>
      </c>
      <c r="Z278" s="4">
        <v>0</v>
      </c>
      <c r="AB278" s="4">
        <v>0</v>
      </c>
      <c r="AD278" s="4">
        <v>0</v>
      </c>
      <c r="AF278" s="4">
        <f t="shared" si="10"/>
        <v>592519</v>
      </c>
    </row>
    <row r="279" spans="1:32" s="4" customFormat="1">
      <c r="A279" s="4">
        <v>147</v>
      </c>
      <c r="B279" s="4" t="s">
        <v>555</v>
      </c>
      <c r="D279" s="4" t="s">
        <v>261</v>
      </c>
      <c r="F279" s="4">
        <v>0</v>
      </c>
      <c r="H279" s="4">
        <v>0</v>
      </c>
      <c r="J279" s="4">
        <v>5413710</v>
      </c>
      <c r="L279" s="4">
        <f>23546223+3510837</f>
        <v>27057060</v>
      </c>
      <c r="N279" s="4">
        <v>0</v>
      </c>
      <c r="P279" s="4">
        <v>0</v>
      </c>
      <c r="R279" s="4">
        <v>0</v>
      </c>
      <c r="T279" s="4">
        <v>3710712</v>
      </c>
      <c r="V279" s="4">
        <v>16704</v>
      </c>
      <c r="X279" s="4">
        <v>3212</v>
      </c>
      <c r="Z279" s="4">
        <v>0</v>
      </c>
      <c r="AB279" s="4">
        <v>0</v>
      </c>
      <c r="AD279" s="4">
        <v>0</v>
      </c>
      <c r="AF279" s="4">
        <f t="shared" ref="AF279:AF306" si="11">SUM(F279:AD279)</f>
        <v>36201398</v>
      </c>
    </row>
    <row r="280" spans="1:32" s="4" customFormat="1">
      <c r="A280" s="4">
        <v>167</v>
      </c>
      <c r="B280" s="4" t="s">
        <v>556</v>
      </c>
      <c r="D280" s="4" t="s">
        <v>52</v>
      </c>
      <c r="F280" s="4">
        <v>751238</v>
      </c>
      <c r="H280" s="4">
        <v>305814</v>
      </c>
      <c r="J280" s="4">
        <v>187264</v>
      </c>
      <c r="L280" s="4">
        <v>142823</v>
      </c>
      <c r="N280" s="4">
        <v>0</v>
      </c>
      <c r="P280" s="4">
        <v>28175</v>
      </c>
      <c r="R280" s="4">
        <v>4733</v>
      </c>
      <c r="T280" s="4">
        <v>44138</v>
      </c>
      <c r="V280" s="4">
        <v>0</v>
      </c>
      <c r="X280" s="4">
        <v>0</v>
      </c>
      <c r="Z280" s="4">
        <v>100000</v>
      </c>
      <c r="AB280" s="4">
        <v>0</v>
      </c>
      <c r="AD280" s="4">
        <v>0</v>
      </c>
      <c r="AF280" s="4">
        <f t="shared" si="11"/>
        <v>1564185</v>
      </c>
    </row>
    <row r="281" spans="1:32" s="4" customFormat="1">
      <c r="A281" s="4">
        <v>236</v>
      </c>
      <c r="B281" s="4" t="s">
        <v>557</v>
      </c>
      <c r="D281" s="4" t="s">
        <v>26</v>
      </c>
      <c r="F281" s="4">
        <f>247514+482669</f>
        <v>730183</v>
      </c>
      <c r="H281" s="4">
        <v>0</v>
      </c>
      <c r="J281" s="4">
        <v>0</v>
      </c>
      <c r="L281" s="4">
        <f>1139611+12811</f>
        <v>1152422</v>
      </c>
      <c r="N281" s="4">
        <v>105389</v>
      </c>
      <c r="P281" s="4">
        <v>0</v>
      </c>
      <c r="R281" s="4">
        <v>0</v>
      </c>
      <c r="T281" s="4">
        <v>103722</v>
      </c>
      <c r="V281" s="4">
        <v>115000</v>
      </c>
      <c r="X281" s="4">
        <v>25530</v>
      </c>
      <c r="Z281" s="4">
        <v>0</v>
      </c>
      <c r="AB281" s="4">
        <v>0</v>
      </c>
      <c r="AD281" s="4">
        <v>0</v>
      </c>
      <c r="AF281" s="4">
        <f t="shared" si="11"/>
        <v>2232246</v>
      </c>
    </row>
    <row r="282" spans="1:32" s="4" customFormat="1">
      <c r="A282" s="4">
        <v>222</v>
      </c>
      <c r="B282" s="4" t="s">
        <v>316</v>
      </c>
      <c r="D282" s="4" t="s">
        <v>22</v>
      </c>
      <c r="F282" s="4">
        <f>657358+423573</f>
        <v>1080931</v>
      </c>
      <c r="H282" s="4">
        <v>0</v>
      </c>
      <c r="J282" s="4">
        <v>0</v>
      </c>
      <c r="L282" s="4">
        <v>1114962</v>
      </c>
      <c r="N282" s="4">
        <v>272733</v>
      </c>
      <c r="P282" s="4">
        <v>0</v>
      </c>
      <c r="R282" s="4">
        <v>0</v>
      </c>
      <c r="T282" s="4">
        <v>84723</v>
      </c>
      <c r="V282" s="4">
        <v>106000</v>
      </c>
      <c r="X282" s="4">
        <v>19754</v>
      </c>
      <c r="Z282" s="4">
        <v>0</v>
      </c>
      <c r="AB282" s="4">
        <v>500000</v>
      </c>
      <c r="AD282" s="4">
        <v>0</v>
      </c>
      <c r="AF282" s="4">
        <f t="shared" si="11"/>
        <v>3179103</v>
      </c>
    </row>
    <row r="283" spans="1:32" s="4" customFormat="1">
      <c r="A283" s="4">
        <v>24</v>
      </c>
      <c r="B283" s="4" t="s">
        <v>263</v>
      </c>
      <c r="D283" s="4" t="s">
        <v>46</v>
      </c>
      <c r="F283" s="4">
        <v>284191</v>
      </c>
      <c r="H283" s="4">
        <v>59332</v>
      </c>
      <c r="J283" s="4">
        <v>102171</v>
      </c>
      <c r="L283" s="4">
        <v>25531</v>
      </c>
      <c r="N283" s="4">
        <v>0</v>
      </c>
      <c r="P283" s="4">
        <v>7474</v>
      </c>
      <c r="R283" s="4">
        <v>1968</v>
      </c>
      <c r="T283" s="4">
        <v>0</v>
      </c>
      <c r="V283" s="4">
        <v>0</v>
      </c>
      <c r="X283" s="4">
        <v>0</v>
      </c>
      <c r="Z283" s="4">
        <v>0</v>
      </c>
      <c r="AB283" s="4">
        <v>0</v>
      </c>
      <c r="AD283" s="4">
        <v>0</v>
      </c>
      <c r="AF283" s="4">
        <f t="shared" si="11"/>
        <v>480667</v>
      </c>
    </row>
    <row r="284" spans="1:32" s="4" customFormat="1">
      <c r="B284" s="4" t="s">
        <v>264</v>
      </c>
      <c r="D284" s="4" t="s">
        <v>91</v>
      </c>
      <c r="F284" s="4">
        <v>2794770</v>
      </c>
      <c r="H284" s="4">
        <v>962550</v>
      </c>
      <c r="J284" s="4">
        <v>717282</v>
      </c>
      <c r="L284" s="4">
        <v>920344</v>
      </c>
      <c r="N284" s="4">
        <v>0</v>
      </c>
      <c r="P284" s="4">
        <v>98863</v>
      </c>
      <c r="R284" s="4">
        <v>11357</v>
      </c>
      <c r="T284" s="4">
        <f>125245+131725</f>
        <v>256970</v>
      </c>
      <c r="V284" s="4">
        <v>0</v>
      </c>
      <c r="X284" s="4">
        <v>0</v>
      </c>
      <c r="Z284" s="4">
        <v>40034</v>
      </c>
      <c r="AB284" s="4">
        <v>0</v>
      </c>
      <c r="AD284" s="4">
        <v>0</v>
      </c>
      <c r="AF284" s="4">
        <f t="shared" si="11"/>
        <v>5802170</v>
      </c>
    </row>
    <row r="285" spans="1:32" s="4" customFormat="1">
      <c r="A285" s="4">
        <v>260</v>
      </c>
      <c r="B285" s="4" t="s">
        <v>342</v>
      </c>
      <c r="D285" s="4" t="s">
        <v>62</v>
      </c>
      <c r="F285" s="1">
        <v>195407.6</v>
      </c>
      <c r="G285" s="1"/>
      <c r="H285" s="1">
        <v>55322.59</v>
      </c>
      <c r="I285" s="1"/>
      <c r="J285" s="1">
        <v>56611.12</v>
      </c>
      <c r="K285" s="1"/>
      <c r="L285" s="1">
        <v>65298.27</v>
      </c>
      <c r="M285" s="1"/>
      <c r="N285" s="1">
        <v>0</v>
      </c>
      <c r="O285" s="1"/>
      <c r="P285" s="1">
        <v>12713.5</v>
      </c>
      <c r="Q285" s="1"/>
      <c r="R285" s="1">
        <v>18869.75</v>
      </c>
      <c r="S285" s="1"/>
      <c r="T285" s="1">
        <v>4705.41</v>
      </c>
      <c r="U285" s="1"/>
      <c r="V285" s="1">
        <v>0</v>
      </c>
      <c r="W285" s="1"/>
      <c r="X285" s="1">
        <v>0</v>
      </c>
      <c r="Y285" s="1"/>
      <c r="Z285" s="1">
        <v>96230</v>
      </c>
      <c r="AA285" s="1"/>
      <c r="AB285" s="1">
        <v>0</v>
      </c>
      <c r="AC285" s="1"/>
      <c r="AD285" s="1">
        <v>0</v>
      </c>
      <c r="AF285" s="4">
        <f t="shared" si="11"/>
        <v>505158.24</v>
      </c>
    </row>
    <row r="286" spans="1:32" s="4" customFormat="1">
      <c r="B286" s="4" t="s">
        <v>570</v>
      </c>
      <c r="D286" s="4" t="s">
        <v>66</v>
      </c>
      <c r="F286" s="4">
        <v>151249</v>
      </c>
      <c r="H286" s="4">
        <v>1170</v>
      </c>
      <c r="J286" s="4">
        <v>0</v>
      </c>
      <c r="L286" s="4">
        <v>14137</v>
      </c>
      <c r="N286" s="4">
        <v>0</v>
      </c>
      <c r="P286" s="4">
        <v>2952</v>
      </c>
      <c r="R286" s="4">
        <v>134891</v>
      </c>
      <c r="T286" s="4">
        <v>0</v>
      </c>
      <c r="V286" s="4">
        <v>2152</v>
      </c>
      <c r="X286" s="4">
        <v>0</v>
      </c>
      <c r="Z286" s="4">
        <v>0</v>
      </c>
      <c r="AB286" s="4">
        <v>0</v>
      </c>
      <c r="AD286" s="4">
        <v>0</v>
      </c>
      <c r="AF286" s="4">
        <f t="shared" si="11"/>
        <v>306551</v>
      </c>
    </row>
    <row r="287" spans="1:32" s="4" customFormat="1">
      <c r="A287" s="4">
        <v>230</v>
      </c>
      <c r="B287" s="4" t="s">
        <v>558</v>
      </c>
      <c r="D287" s="4" t="s">
        <v>55</v>
      </c>
      <c r="F287" s="4">
        <v>2928905</v>
      </c>
      <c r="H287" s="4">
        <v>1139233</v>
      </c>
      <c r="J287" s="4">
        <v>532355</v>
      </c>
      <c r="L287" s="4">
        <v>675832</v>
      </c>
      <c r="N287" s="4">
        <v>0</v>
      </c>
      <c r="P287" s="4">
        <v>119361</v>
      </c>
      <c r="R287" s="4">
        <v>16294</v>
      </c>
      <c r="T287" s="4">
        <v>187722</v>
      </c>
      <c r="V287" s="4">
        <v>176339</v>
      </c>
      <c r="X287" s="4">
        <v>2774</v>
      </c>
      <c r="Z287" s="4">
        <v>674981</v>
      </c>
      <c r="AB287" s="4">
        <v>0</v>
      </c>
      <c r="AD287" s="4">
        <v>0</v>
      </c>
      <c r="AF287" s="4">
        <f t="shared" si="11"/>
        <v>6453796</v>
      </c>
    </row>
    <row r="288" spans="1:32" s="4" customFormat="1">
      <c r="A288" s="4">
        <v>245</v>
      </c>
      <c r="B288" s="4" t="s">
        <v>559</v>
      </c>
      <c r="D288" s="4" t="s">
        <v>27</v>
      </c>
      <c r="F288" s="4">
        <v>1273094</v>
      </c>
      <c r="H288" s="4">
        <v>0</v>
      </c>
      <c r="J288" s="4">
        <v>0</v>
      </c>
      <c r="L288" s="4">
        <f>309641+192601</f>
        <v>502242</v>
      </c>
      <c r="N288" s="4">
        <v>0</v>
      </c>
      <c r="P288" s="4">
        <v>0</v>
      </c>
      <c r="R288" s="4">
        <v>0</v>
      </c>
      <c r="T288" s="4">
        <v>4857</v>
      </c>
      <c r="V288" s="4">
        <v>0</v>
      </c>
      <c r="X288" s="4">
        <v>0</v>
      </c>
      <c r="Z288" s="4">
        <v>0</v>
      </c>
      <c r="AB288" s="4">
        <v>0</v>
      </c>
      <c r="AD288" s="4">
        <v>0</v>
      </c>
      <c r="AF288" s="4">
        <f t="shared" si="11"/>
        <v>1780193</v>
      </c>
    </row>
    <row r="289" spans="1:110" s="4" customFormat="1">
      <c r="A289" s="4">
        <v>171</v>
      </c>
      <c r="B289" s="4" t="s">
        <v>266</v>
      </c>
      <c r="D289" s="4" t="s">
        <v>54</v>
      </c>
      <c r="F289" s="4">
        <v>3472199</v>
      </c>
      <c r="H289" s="4">
        <v>1216764</v>
      </c>
      <c r="J289" s="4">
        <v>911031</v>
      </c>
      <c r="L289" s="4">
        <v>1017698</v>
      </c>
      <c r="N289" s="4">
        <v>0</v>
      </c>
      <c r="P289" s="4">
        <v>198733</v>
      </c>
      <c r="R289" s="4">
        <v>8362</v>
      </c>
      <c r="T289" s="4">
        <v>323992</v>
      </c>
      <c r="V289" s="4">
        <v>0</v>
      </c>
      <c r="X289" s="4">
        <v>0</v>
      </c>
      <c r="Z289" s="4">
        <v>0</v>
      </c>
      <c r="AB289" s="4">
        <v>0</v>
      </c>
      <c r="AD289" s="4">
        <v>0</v>
      </c>
      <c r="AF289" s="4">
        <f t="shared" si="11"/>
        <v>7148779</v>
      </c>
    </row>
    <row r="290" spans="1:110" s="4" customFormat="1">
      <c r="A290" s="4">
        <v>87</v>
      </c>
      <c r="B290" s="4" t="s">
        <v>438</v>
      </c>
      <c r="D290" s="4" t="s">
        <v>41</v>
      </c>
      <c r="F290" s="1">
        <v>223377.04</v>
      </c>
      <c r="G290" s="1"/>
      <c r="H290" s="1">
        <v>37792.300000000003</v>
      </c>
      <c r="I290" s="1"/>
      <c r="J290" s="1">
        <v>61798.89</v>
      </c>
      <c r="K290" s="1"/>
      <c r="L290" s="1">
        <v>23053.83</v>
      </c>
      <c r="M290" s="1"/>
      <c r="N290" s="1">
        <v>0</v>
      </c>
      <c r="O290" s="1"/>
      <c r="P290" s="1">
        <v>4805.58</v>
      </c>
      <c r="Q290" s="1"/>
      <c r="R290" s="1">
        <v>3954.55</v>
      </c>
      <c r="S290" s="1"/>
      <c r="T290" s="1">
        <v>3007.46</v>
      </c>
      <c r="U290" s="1"/>
      <c r="V290" s="1">
        <v>0</v>
      </c>
      <c r="W290" s="1"/>
      <c r="X290" s="1">
        <v>0</v>
      </c>
      <c r="Y290" s="1"/>
      <c r="Z290" s="1">
        <v>0</v>
      </c>
      <c r="AA290" s="1"/>
      <c r="AB290" s="1">
        <v>0</v>
      </c>
      <c r="AC290" s="1"/>
      <c r="AD290" s="1">
        <v>0</v>
      </c>
      <c r="AF290" s="4">
        <f t="shared" si="11"/>
        <v>357789.65000000008</v>
      </c>
    </row>
    <row r="291" spans="1:110" s="4" customFormat="1">
      <c r="A291" s="4">
        <v>247</v>
      </c>
      <c r="B291" s="4" t="s">
        <v>560</v>
      </c>
      <c r="D291" s="4" t="s">
        <v>223</v>
      </c>
      <c r="F291" s="4">
        <f>985138+572602</f>
        <v>1557740</v>
      </c>
      <c r="H291" s="4">
        <v>0</v>
      </c>
      <c r="J291" s="4">
        <v>0</v>
      </c>
      <c r="L291" s="4">
        <f>2112056+366132</f>
        <v>2478188</v>
      </c>
      <c r="N291" s="4">
        <v>517647</v>
      </c>
      <c r="P291" s="4">
        <v>0</v>
      </c>
      <c r="R291" s="4">
        <v>0</v>
      </c>
      <c r="T291" s="4">
        <v>800082</v>
      </c>
      <c r="V291" s="4">
        <v>230000</v>
      </c>
      <c r="X291" s="4">
        <v>233306</v>
      </c>
      <c r="Z291" s="4">
        <v>205554</v>
      </c>
      <c r="AB291" s="4">
        <v>0</v>
      </c>
      <c r="AD291" s="4">
        <v>0</v>
      </c>
      <c r="AF291" s="4">
        <f t="shared" si="11"/>
        <v>6022517</v>
      </c>
    </row>
    <row r="292" spans="1:110" s="4" customFormat="1">
      <c r="A292" s="4">
        <v>254</v>
      </c>
      <c r="B292" s="4" t="s">
        <v>268</v>
      </c>
      <c r="D292" s="4" t="s">
        <v>64</v>
      </c>
      <c r="F292" s="1">
        <v>150183.89000000001</v>
      </c>
      <c r="G292" s="1"/>
      <c r="H292" s="1">
        <v>33149.769999999997</v>
      </c>
      <c r="I292" s="1"/>
      <c r="J292" s="1">
        <v>49498.879999999997</v>
      </c>
      <c r="K292" s="1"/>
      <c r="L292" s="1">
        <v>23622.79</v>
      </c>
      <c r="M292" s="1"/>
      <c r="N292" s="1">
        <v>0</v>
      </c>
      <c r="O292" s="1"/>
      <c r="P292" s="1">
        <v>4211.84</v>
      </c>
      <c r="Q292" s="1"/>
      <c r="R292" s="1">
        <v>4161.5200000000004</v>
      </c>
      <c r="S292" s="1"/>
      <c r="T292" s="1">
        <v>504.35</v>
      </c>
      <c r="U292" s="1"/>
      <c r="V292" s="1">
        <v>0</v>
      </c>
      <c r="W292" s="1"/>
      <c r="X292" s="1">
        <v>0</v>
      </c>
      <c r="Y292" s="1"/>
      <c r="Z292" s="1">
        <v>0</v>
      </c>
      <c r="AA292" s="1"/>
      <c r="AB292" s="1">
        <v>0</v>
      </c>
      <c r="AC292" s="1"/>
      <c r="AD292" s="1">
        <v>0</v>
      </c>
      <c r="AF292" s="4">
        <f t="shared" si="11"/>
        <v>265333.03999999998</v>
      </c>
    </row>
    <row r="293" spans="1:110" s="4" customFormat="1">
      <c r="A293" s="4">
        <v>255</v>
      </c>
      <c r="B293" s="4" t="s">
        <v>269</v>
      </c>
      <c r="D293" s="4" t="s">
        <v>64</v>
      </c>
      <c r="F293" s="1">
        <v>939773.92</v>
      </c>
      <c r="G293" s="1"/>
      <c r="H293" s="1">
        <v>293281.75</v>
      </c>
      <c r="I293" s="1"/>
      <c r="J293" s="1">
        <v>249822.05</v>
      </c>
      <c r="K293" s="1"/>
      <c r="L293" s="1">
        <v>214668</v>
      </c>
      <c r="M293" s="1"/>
      <c r="N293" s="1">
        <v>0</v>
      </c>
      <c r="O293" s="1"/>
      <c r="P293" s="1">
        <v>41904.879999999997</v>
      </c>
      <c r="Q293" s="1"/>
      <c r="R293" s="1">
        <v>3930.58</v>
      </c>
      <c r="S293" s="1"/>
      <c r="T293" s="1">
        <v>32782.339999999997</v>
      </c>
      <c r="U293" s="1"/>
      <c r="V293" s="1">
        <v>0</v>
      </c>
      <c r="W293" s="1"/>
      <c r="X293" s="1">
        <v>0</v>
      </c>
      <c r="Y293" s="1"/>
      <c r="Z293" s="1">
        <v>0</v>
      </c>
      <c r="AA293" s="1"/>
      <c r="AB293" s="1">
        <v>0</v>
      </c>
      <c r="AC293" s="1"/>
      <c r="AD293" s="1">
        <v>0</v>
      </c>
      <c r="AF293" s="4">
        <f t="shared" si="11"/>
        <v>1776163.52</v>
      </c>
    </row>
    <row r="294" spans="1:110" s="4" customFormat="1">
      <c r="A294" s="4">
        <v>44</v>
      </c>
      <c r="B294" s="4" t="s">
        <v>270</v>
      </c>
      <c r="D294" s="4" t="s">
        <v>50</v>
      </c>
      <c r="F294" s="1">
        <v>166576.13</v>
      </c>
      <c r="G294" s="1"/>
      <c r="H294" s="1">
        <v>54396.62</v>
      </c>
      <c r="I294" s="1"/>
      <c r="J294" s="1">
        <v>63798.85</v>
      </c>
      <c r="K294" s="1"/>
      <c r="L294" s="1">
        <v>88008.73</v>
      </c>
      <c r="M294" s="1"/>
      <c r="N294" s="1">
        <v>0</v>
      </c>
      <c r="O294" s="1"/>
      <c r="P294" s="1">
        <v>5754.07</v>
      </c>
      <c r="Q294" s="1"/>
      <c r="R294" s="1">
        <v>8966</v>
      </c>
      <c r="S294" s="1"/>
      <c r="T294" s="1">
        <v>9208.26</v>
      </c>
      <c r="U294" s="1"/>
      <c r="V294" s="1">
        <v>0</v>
      </c>
      <c r="W294" s="1"/>
      <c r="X294" s="1">
        <v>0</v>
      </c>
      <c r="Y294" s="1"/>
      <c r="Z294" s="1">
        <v>0</v>
      </c>
      <c r="AA294" s="1"/>
      <c r="AB294" s="1">
        <v>0</v>
      </c>
      <c r="AC294" s="1"/>
      <c r="AD294" s="1">
        <v>0</v>
      </c>
      <c r="AF294" s="4">
        <f t="shared" si="11"/>
        <v>396708.66</v>
      </c>
    </row>
    <row r="295" spans="1:110" s="4" customFormat="1">
      <c r="A295" s="4">
        <v>78</v>
      </c>
      <c r="B295" s="4" t="s">
        <v>522</v>
      </c>
      <c r="D295" s="4" t="s">
        <v>91</v>
      </c>
      <c r="F295" s="4">
        <v>2144528</v>
      </c>
      <c r="H295" s="4">
        <v>864254</v>
      </c>
      <c r="J295" s="4">
        <v>792736</v>
      </c>
      <c r="L295" s="4">
        <v>601971</v>
      </c>
      <c r="N295" s="4">
        <v>0</v>
      </c>
      <c r="P295" s="4">
        <v>130631</v>
      </c>
      <c r="R295" s="4">
        <v>16791</v>
      </c>
      <c r="T295" s="4">
        <v>69010</v>
      </c>
      <c r="V295" s="4">
        <v>1071304</v>
      </c>
      <c r="X295" s="4">
        <v>16262</v>
      </c>
      <c r="Z295" s="4">
        <v>39496</v>
      </c>
      <c r="AB295" s="4">
        <v>0</v>
      </c>
      <c r="AD295" s="4">
        <v>0</v>
      </c>
      <c r="AF295" s="4">
        <f t="shared" si="11"/>
        <v>5746983</v>
      </c>
    </row>
    <row r="296" spans="1:110" s="4" customFormat="1">
      <c r="A296" s="4">
        <v>256</v>
      </c>
      <c r="B296" s="4" t="s">
        <v>271</v>
      </c>
      <c r="D296" s="4" t="s">
        <v>64</v>
      </c>
      <c r="F296" s="1">
        <v>204526.44</v>
      </c>
      <c r="G296" s="1"/>
      <c r="H296" s="1">
        <v>76769.649999999994</v>
      </c>
      <c r="I296" s="1"/>
      <c r="J296" s="1">
        <v>47955.83</v>
      </c>
      <c r="K296" s="1"/>
      <c r="L296" s="1">
        <v>54627.6</v>
      </c>
      <c r="M296" s="1"/>
      <c r="N296" s="1">
        <v>0</v>
      </c>
      <c r="O296" s="1"/>
      <c r="P296" s="1">
        <v>5388.07</v>
      </c>
      <c r="Q296" s="1"/>
      <c r="R296" s="1">
        <v>3909.86</v>
      </c>
      <c r="S296" s="1"/>
      <c r="T296" s="1">
        <v>15964.62</v>
      </c>
      <c r="U296" s="1"/>
      <c r="V296" s="1">
        <v>0</v>
      </c>
      <c r="W296" s="1"/>
      <c r="X296" s="1">
        <v>0</v>
      </c>
      <c r="Y296" s="1"/>
      <c r="Z296" s="1">
        <v>0</v>
      </c>
      <c r="AA296" s="1"/>
      <c r="AB296" s="1">
        <v>0</v>
      </c>
      <c r="AC296" s="1"/>
      <c r="AD296" s="1">
        <v>3422</v>
      </c>
      <c r="AF296" s="4">
        <f t="shared" si="11"/>
        <v>412564.06999999995</v>
      </c>
    </row>
    <row r="297" spans="1:110" s="4" customFormat="1">
      <c r="A297" s="4">
        <v>129</v>
      </c>
      <c r="B297" s="4" t="s">
        <v>439</v>
      </c>
      <c r="D297" s="4" t="s">
        <v>15</v>
      </c>
      <c r="F297" s="1">
        <v>666130.31000000006</v>
      </c>
      <c r="G297" s="1"/>
      <c r="H297" s="1">
        <v>298319.67</v>
      </c>
      <c r="I297" s="1"/>
      <c r="J297" s="1">
        <v>133648.98000000001</v>
      </c>
      <c r="K297" s="1"/>
      <c r="L297" s="1">
        <v>198454.65</v>
      </c>
      <c r="M297" s="1"/>
      <c r="N297" s="1">
        <v>0</v>
      </c>
      <c r="O297" s="1"/>
      <c r="P297" s="1">
        <v>18640.72</v>
      </c>
      <c r="Q297" s="1"/>
      <c r="R297" s="1">
        <v>5698.97</v>
      </c>
      <c r="S297" s="1"/>
      <c r="T297" s="1">
        <v>8825.39</v>
      </c>
      <c r="U297" s="1"/>
      <c r="V297" s="1">
        <v>0</v>
      </c>
      <c r="W297" s="1"/>
      <c r="X297" s="1">
        <v>0</v>
      </c>
      <c r="Y297" s="1"/>
      <c r="Z297" s="1">
        <v>400000</v>
      </c>
      <c r="AA297" s="1"/>
      <c r="AB297" s="1">
        <v>0</v>
      </c>
      <c r="AC297" s="1"/>
      <c r="AD297" s="1">
        <v>0</v>
      </c>
      <c r="AF297" s="4">
        <f t="shared" si="11"/>
        <v>1729718.6899999997</v>
      </c>
    </row>
    <row r="298" spans="1:110" s="4" customFormat="1">
      <c r="A298" s="4">
        <v>114</v>
      </c>
      <c r="B298" s="4" t="s">
        <v>272</v>
      </c>
      <c r="D298" s="4" t="s">
        <v>88</v>
      </c>
      <c r="F298" s="4">
        <v>480457</v>
      </c>
      <c r="H298" s="4">
        <v>106379</v>
      </c>
      <c r="J298" s="4">
        <v>68964</v>
      </c>
      <c r="L298" s="4">
        <v>16267</v>
      </c>
      <c r="N298" s="4">
        <v>0</v>
      </c>
      <c r="P298" s="4">
        <v>11110</v>
      </c>
      <c r="R298" s="4">
        <v>25371</v>
      </c>
      <c r="T298" s="4">
        <v>1712</v>
      </c>
      <c r="V298" s="4">
        <v>0</v>
      </c>
      <c r="X298" s="4">
        <v>0</v>
      </c>
      <c r="Z298" s="4">
        <v>0</v>
      </c>
      <c r="AB298" s="4">
        <v>0</v>
      </c>
      <c r="AD298" s="4">
        <v>0</v>
      </c>
      <c r="AF298" s="4">
        <f t="shared" si="11"/>
        <v>710260</v>
      </c>
    </row>
    <row r="299" spans="1:110" s="4" customFormat="1">
      <c r="A299" s="4">
        <v>249</v>
      </c>
      <c r="B299" s="4" t="s">
        <v>561</v>
      </c>
      <c r="D299" s="4" t="s">
        <v>202</v>
      </c>
      <c r="F299" s="4">
        <v>888496</v>
      </c>
      <c r="H299" s="4">
        <v>289681</v>
      </c>
      <c r="J299" s="4">
        <v>202181</v>
      </c>
      <c r="L299" s="4">
        <v>91172</v>
      </c>
      <c r="N299" s="4">
        <v>0</v>
      </c>
      <c r="P299" s="4">
        <v>37147</v>
      </c>
      <c r="R299" s="4">
        <v>23048</v>
      </c>
      <c r="T299" s="4">
        <v>213169</v>
      </c>
      <c r="V299" s="4">
        <v>0</v>
      </c>
      <c r="X299" s="4">
        <v>0</v>
      </c>
      <c r="Z299" s="4">
        <v>0</v>
      </c>
      <c r="AB299" s="4">
        <v>0</v>
      </c>
      <c r="AD299" s="4">
        <v>0</v>
      </c>
      <c r="AF299" s="4">
        <f t="shared" si="11"/>
        <v>1744894</v>
      </c>
    </row>
    <row r="300" spans="1:110" s="4" customFormat="1">
      <c r="A300" s="4">
        <v>130</v>
      </c>
      <c r="B300" s="4" t="s">
        <v>273</v>
      </c>
      <c r="D300" s="4" t="s">
        <v>15</v>
      </c>
      <c r="F300" s="4">
        <v>2905770</v>
      </c>
      <c r="H300" s="4">
        <v>0</v>
      </c>
      <c r="J300" s="4">
        <v>349128</v>
      </c>
      <c r="L300" s="4">
        <v>693763</v>
      </c>
      <c r="N300" s="4">
        <v>251792</v>
      </c>
      <c r="P300" s="4">
        <v>53537</v>
      </c>
      <c r="R300" s="4">
        <v>12928</v>
      </c>
      <c r="T300" s="4">
        <v>7300</v>
      </c>
      <c r="V300" s="4">
        <v>0</v>
      </c>
      <c r="X300" s="4">
        <v>0</v>
      </c>
      <c r="Z300" s="4">
        <v>0</v>
      </c>
      <c r="AB300" s="4">
        <v>0</v>
      </c>
      <c r="AD300" s="4">
        <v>0</v>
      </c>
      <c r="AF300" s="4">
        <f t="shared" si="11"/>
        <v>4274218</v>
      </c>
      <c r="DF300" s="4">
        <v>0</v>
      </c>
    </row>
    <row r="301" spans="1:110" s="4" customFormat="1">
      <c r="A301" s="4">
        <v>37</v>
      </c>
      <c r="B301" s="4" t="s">
        <v>274</v>
      </c>
      <c r="D301" s="4" t="s">
        <v>68</v>
      </c>
      <c r="F301" s="1">
        <v>379879.91</v>
      </c>
      <c r="G301" s="1"/>
      <c r="H301" s="1">
        <v>108253.96</v>
      </c>
      <c r="I301" s="1"/>
      <c r="J301" s="1">
        <v>190498.3</v>
      </c>
      <c r="K301" s="1"/>
      <c r="L301" s="1">
        <v>43349.68</v>
      </c>
      <c r="M301" s="1"/>
      <c r="N301" s="1">
        <v>0</v>
      </c>
      <c r="O301" s="1"/>
      <c r="P301" s="1">
        <v>20895.900000000001</v>
      </c>
      <c r="Q301" s="1"/>
      <c r="R301" s="1">
        <v>5500.13</v>
      </c>
      <c r="S301" s="1"/>
      <c r="T301" s="1">
        <v>2431.9699999999998</v>
      </c>
      <c r="U301" s="1"/>
      <c r="V301" s="1">
        <v>0</v>
      </c>
      <c r="W301" s="1"/>
      <c r="X301" s="1">
        <v>0</v>
      </c>
      <c r="Y301" s="1"/>
      <c r="Z301" s="1">
        <v>125000</v>
      </c>
      <c r="AA301" s="1"/>
      <c r="AB301" s="1">
        <v>0</v>
      </c>
      <c r="AC301" s="1"/>
      <c r="AD301" s="1">
        <v>0</v>
      </c>
      <c r="AF301" s="4">
        <f t="shared" si="11"/>
        <v>875809.85</v>
      </c>
    </row>
    <row r="302" spans="1:110" s="4" customFormat="1">
      <c r="A302" s="4">
        <v>257</v>
      </c>
      <c r="B302" s="4" t="s">
        <v>562</v>
      </c>
      <c r="D302" s="4" t="s">
        <v>64</v>
      </c>
      <c r="F302" s="4">
        <v>786987</v>
      </c>
      <c r="H302" s="4">
        <v>198147</v>
      </c>
      <c r="J302" s="4">
        <v>221545</v>
      </c>
      <c r="L302" s="4">
        <v>133205</v>
      </c>
      <c r="N302" s="4">
        <v>23495</v>
      </c>
      <c r="P302" s="4">
        <v>14991</v>
      </c>
      <c r="R302" s="4">
        <v>148831</v>
      </c>
      <c r="T302" s="4">
        <v>0</v>
      </c>
      <c r="V302" s="4">
        <v>38057</v>
      </c>
      <c r="X302" s="4">
        <v>42189</v>
      </c>
      <c r="Z302" s="4">
        <v>0</v>
      </c>
      <c r="AB302" s="4">
        <v>0</v>
      </c>
      <c r="AD302" s="4">
        <v>0</v>
      </c>
      <c r="AF302" s="4">
        <f t="shared" si="11"/>
        <v>1607447</v>
      </c>
    </row>
    <row r="303" spans="1:110" s="4" customFormat="1">
      <c r="A303" s="4">
        <v>61</v>
      </c>
      <c r="B303" s="4" t="s">
        <v>275</v>
      </c>
      <c r="D303" s="4" t="s">
        <v>80</v>
      </c>
      <c r="F303" s="1">
        <v>130693.51</v>
      </c>
      <c r="G303" s="1"/>
      <c r="H303" s="1">
        <v>30520.7</v>
      </c>
      <c r="I303" s="1"/>
      <c r="J303" s="1">
        <v>86547.35</v>
      </c>
      <c r="K303" s="1"/>
      <c r="L303" s="1">
        <v>41409.550000000003</v>
      </c>
      <c r="M303" s="1"/>
      <c r="N303" s="1">
        <v>0</v>
      </c>
      <c r="O303" s="1"/>
      <c r="P303" s="1">
        <v>7535.27</v>
      </c>
      <c r="Q303" s="1"/>
      <c r="R303" s="1">
        <v>1326.95</v>
      </c>
      <c r="S303" s="1"/>
      <c r="T303" s="1">
        <v>4158.99</v>
      </c>
      <c r="U303" s="1"/>
      <c r="V303" s="1">
        <v>0</v>
      </c>
      <c r="W303" s="1"/>
      <c r="X303" s="1">
        <v>0</v>
      </c>
      <c r="Y303" s="1"/>
      <c r="Z303" s="1">
        <v>0</v>
      </c>
      <c r="AA303" s="1"/>
      <c r="AB303" s="1">
        <v>0</v>
      </c>
      <c r="AC303" s="1"/>
      <c r="AD303" s="1">
        <v>0</v>
      </c>
      <c r="AF303" s="4">
        <f t="shared" si="11"/>
        <v>302192.32</v>
      </c>
    </row>
    <row r="304" spans="1:110" s="4" customFormat="1">
      <c r="A304" s="4">
        <v>65</v>
      </c>
      <c r="B304" s="4" t="s">
        <v>317</v>
      </c>
      <c r="D304" s="4" t="s">
        <v>69</v>
      </c>
      <c r="F304" s="1">
        <v>95180.13</v>
      </c>
      <c r="G304" s="1"/>
      <c r="H304" s="1">
        <v>14663.78</v>
      </c>
      <c r="I304" s="1"/>
      <c r="J304" s="1">
        <v>21317.21</v>
      </c>
      <c r="K304" s="1"/>
      <c r="L304" s="1">
        <v>15584.71</v>
      </c>
      <c r="M304" s="1"/>
      <c r="N304" s="1">
        <v>0</v>
      </c>
      <c r="O304" s="1"/>
      <c r="P304" s="1">
        <v>1645.99</v>
      </c>
      <c r="Q304" s="1"/>
      <c r="R304" s="1">
        <v>383</v>
      </c>
      <c r="S304" s="1"/>
      <c r="T304" s="1">
        <v>482.95</v>
      </c>
      <c r="U304" s="1"/>
      <c r="V304" s="1">
        <v>0</v>
      </c>
      <c r="W304" s="1"/>
      <c r="X304" s="1">
        <v>0</v>
      </c>
      <c r="Y304" s="1"/>
      <c r="Z304" s="1">
        <v>0</v>
      </c>
      <c r="AA304" s="1"/>
      <c r="AB304" s="1">
        <v>0</v>
      </c>
      <c r="AC304" s="1"/>
      <c r="AD304" s="1">
        <v>0</v>
      </c>
      <c r="AF304" s="4">
        <f t="shared" si="11"/>
        <v>149257.76999999999</v>
      </c>
    </row>
    <row r="305" spans="1:32" s="4" customFormat="1">
      <c r="A305" s="4">
        <v>81</v>
      </c>
      <c r="B305" s="4" t="s">
        <v>276</v>
      </c>
      <c r="D305" s="4" t="s">
        <v>91</v>
      </c>
      <c r="F305" s="4">
        <f>1891188+1343441</f>
        <v>3234629</v>
      </c>
      <c r="H305" s="4">
        <v>0</v>
      </c>
      <c r="J305" s="4">
        <v>0</v>
      </c>
      <c r="L305" s="4">
        <f>3568028+858650</f>
        <v>4426678</v>
      </c>
      <c r="N305" s="4">
        <v>686709</v>
      </c>
      <c r="P305" s="4">
        <v>0</v>
      </c>
      <c r="R305" s="4">
        <v>0</v>
      </c>
      <c r="T305" s="4">
        <v>206217</v>
      </c>
      <c r="V305" s="4">
        <v>0</v>
      </c>
      <c r="X305" s="4">
        <v>0</v>
      </c>
      <c r="Z305" s="4">
        <v>358770</v>
      </c>
      <c r="AB305" s="4">
        <v>0</v>
      </c>
      <c r="AD305" s="4">
        <v>0</v>
      </c>
      <c r="AF305" s="4">
        <f t="shared" si="11"/>
        <v>8913003</v>
      </c>
    </row>
    <row r="306" spans="1:32" s="4" customFormat="1">
      <c r="A306" s="4">
        <v>172</v>
      </c>
      <c r="B306" s="4" t="s">
        <v>440</v>
      </c>
      <c r="D306" s="4" t="s">
        <v>54</v>
      </c>
      <c r="F306" s="1">
        <v>927507.2</v>
      </c>
      <c r="G306" s="1"/>
      <c r="H306" s="1">
        <v>213110.8</v>
      </c>
      <c r="I306" s="1"/>
      <c r="J306" s="1">
        <v>142723.85</v>
      </c>
      <c r="K306" s="1"/>
      <c r="L306" s="1">
        <v>206204.52</v>
      </c>
      <c r="M306" s="1"/>
      <c r="N306" s="1">
        <v>0</v>
      </c>
      <c r="O306" s="1"/>
      <c r="P306" s="1">
        <v>29113.88</v>
      </c>
      <c r="Q306" s="1"/>
      <c r="R306" s="1">
        <v>4163.71</v>
      </c>
      <c r="S306" s="1"/>
      <c r="T306" s="1">
        <v>3491.58</v>
      </c>
      <c r="U306" s="1"/>
      <c r="V306" s="1">
        <v>0</v>
      </c>
      <c r="W306" s="1"/>
      <c r="X306" s="1">
        <v>0</v>
      </c>
      <c r="Y306" s="1"/>
      <c r="Z306" s="1">
        <v>0</v>
      </c>
      <c r="AA306" s="1"/>
      <c r="AB306" s="1">
        <v>0</v>
      </c>
      <c r="AC306" s="1"/>
      <c r="AD306" s="1">
        <v>0</v>
      </c>
      <c r="AF306" s="4">
        <f t="shared" si="11"/>
        <v>1526315.54</v>
      </c>
    </row>
    <row r="307" spans="1:32" s="4" customFormat="1"/>
    <row r="308" spans="1:32" s="4" customFormat="1"/>
    <row r="309" spans="1:32" s="4" customFormat="1"/>
    <row r="310" spans="1:32" s="4" customFormat="1">
      <c r="AF310" s="6"/>
    </row>
    <row r="311" spans="1:32" s="4" customFormat="1">
      <c r="AF311" s="6"/>
    </row>
    <row r="312" spans="1:32" s="4" customFormat="1">
      <c r="AF312" s="6"/>
    </row>
    <row r="313" spans="1:32" s="4" customFormat="1">
      <c r="AF313" s="6"/>
    </row>
    <row r="314" spans="1:32" s="4" customFormat="1">
      <c r="P314" s="6"/>
    </row>
    <row r="315" spans="1:32" s="37" customFormat="1" ht="12.75"/>
    <row r="316" spans="1:32" s="37" customFormat="1" ht="12.75"/>
    <row r="317" spans="1:32" s="37" customFormat="1" ht="12.75"/>
    <row r="318" spans="1:32" s="37" customFormat="1" ht="12.75"/>
    <row r="319" spans="1:32" s="37" customFormat="1" ht="12.75"/>
    <row r="320" spans="1:32" s="37" customFormat="1" ht="12.75"/>
    <row r="321" s="7" customFormat="1" ht="12.75"/>
    <row r="322" s="7" customFormat="1" ht="12.75"/>
    <row r="323" s="7" customFormat="1" ht="12.75"/>
    <row r="324" s="7" customFormat="1" ht="12.75"/>
    <row r="325" s="7" customFormat="1" ht="12.75"/>
    <row r="326" s="7" customFormat="1" ht="12.75"/>
    <row r="327" s="7" customFormat="1" ht="12.75"/>
    <row r="328" s="7" customFormat="1" ht="12.75"/>
    <row r="329" s="7" customFormat="1" ht="12.75"/>
    <row r="346" spans="6:6">
      <c r="F346" s="3" t="s">
        <v>513</v>
      </c>
    </row>
  </sheetData>
  <sortState ref="A18:AF268">
    <sortCondition ref="B18:B268"/>
  </sortState>
  <phoneticPr fontId="2" type="noConversion"/>
  <printOptions horizontalCentered="1"/>
  <pageMargins left="0.75" right="0.75" top="0.5" bottom="0.5" header="0" footer="0.3"/>
  <pageSetup scale="81" firstPageNumber="32" fitToWidth="2" fitToHeight="3" pageOrder="overThenDown" orientation="portrait" useFirstPageNumber="1" horizontalDpi="300" verticalDpi="300" r:id="rId1"/>
  <headerFooter scaleWithDoc="0" alignWithMargins="0">
    <oddFooter>&amp;C&amp;"Times New Roman,Regular"&amp;11&amp;P</oddFooter>
  </headerFooter>
  <rowBreaks count="2" manualBreakCount="2">
    <brk id="161" min="1" max="31" man="1"/>
    <brk id="238" min="1" max="31" man="1"/>
  </rowBreaks>
  <colBreaks count="1" manualBreakCount="1">
    <brk id="14" max="2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Stm. of Activities</vt:lpstr>
      <vt:lpstr>Gen Rev</vt:lpstr>
      <vt:lpstr>Gen Exp</vt:lpstr>
      <vt:lpstr>Gov Rev</vt:lpstr>
      <vt:lpstr>Gov Exp</vt:lpstr>
      <vt:lpstr>'Gen Exp'!Print_Area</vt:lpstr>
      <vt:lpstr>'Gen Rev'!Print_Area</vt:lpstr>
      <vt:lpstr>'Gov Exp'!Print_Area</vt:lpstr>
      <vt:lpstr>'Gov Rev'!Print_Area</vt:lpstr>
      <vt:lpstr>'Stm. of Activities'!Print_Area</vt:lpstr>
    </vt:vector>
  </TitlesOfParts>
  <Company>Auditor of State of Ohio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O. Myser</dc:creator>
  <cp:lastModifiedBy>Jeffrey G .Wilcheck</cp:lastModifiedBy>
  <cp:lastPrinted>2012-01-24T13:33:46Z</cp:lastPrinted>
  <dcterms:created xsi:type="dcterms:W3CDTF">2007-01-22T17:20:47Z</dcterms:created>
  <dcterms:modified xsi:type="dcterms:W3CDTF">2012-01-24T13:45:44Z</dcterms:modified>
</cp:coreProperties>
</file>