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8145" tabRatio="584" activeTab="0"/>
  </bookViews>
  <sheets>
    <sheet name="St of Net Assets - GA" sheetId="1" r:id="rId1"/>
    <sheet name="St of Activities - GA Rev" sheetId="2" r:id="rId2"/>
    <sheet name="St of Activities - GA Exp" sheetId="3" r:id="rId3"/>
    <sheet name="Gen Fd BS" sheetId="4" r:id="rId4"/>
    <sheet name="Gov Fd BS" sheetId="5" r:id="rId5"/>
    <sheet name="GenRev" sheetId="6" r:id="rId6"/>
    <sheet name="GenExp" sheetId="7" r:id="rId7"/>
    <sheet name="Gov Fd Rv" sheetId="8" r:id="rId8"/>
    <sheet name="Gov Fnd Exp" sheetId="9" r:id="rId9"/>
    <sheet name="Water 1" sheetId="10" r:id="rId10"/>
    <sheet name="Sewer 1" sheetId="11" r:id="rId11"/>
    <sheet name="Landfill" sheetId="12" r:id="rId12"/>
    <sheet name="LT _Lia - GA" sheetId="13" r:id="rId13"/>
    <sheet name="K" sheetId="14" r:id="rId14"/>
    <sheet name="L" sheetId="15" r:id="rId15"/>
  </sheets>
  <definedNames>
    <definedName name="_xlnm.Print_Area" localSheetId="3">'Gen Fd BS'!$A$9:$O$97</definedName>
    <definedName name="_xlnm.Print_Area" localSheetId="6">'GenExp'!$A$8:$AC$95</definedName>
    <definedName name="_xlnm.Print_Area" localSheetId="5">'GenRev'!$A$8:$Q$95</definedName>
    <definedName name="_xlnm.Print_Area" localSheetId="7">'Gov Fd Rv'!$A$8:$Q$95</definedName>
    <definedName name="_xlnm.Print_Area" localSheetId="8">'Gov Fnd Exp'!$A$8:$AC$95</definedName>
    <definedName name="_xlnm.Print_Area" localSheetId="11">'Landfill'!$A$1:$BG$97</definedName>
    <definedName name="_xlnm.Print_Area" localSheetId="12">'LT _Lia - GA'!$A$9:$Q$97</definedName>
    <definedName name="_xlnm.Print_Area" localSheetId="10">'Sewer 1'!$A$1:$BK$93</definedName>
    <definedName name="_xlnm.Print_Area" localSheetId="2">'St of Activities - GA Exp'!$A$1:$Y$98</definedName>
    <definedName name="_xlnm.Print_Area" localSheetId="1">'St of Activities - GA Rev'!$A$1:$X$98</definedName>
    <definedName name="_xlnm.Print_Area" localSheetId="0">'St of Net Assets - GA'!$A$1:$W$98</definedName>
    <definedName name="_xlnm.Print_Area" localSheetId="9">'Water 1'!$A$10:$U$98</definedName>
    <definedName name="_xlnm.Print_Titles" localSheetId="3">'Gen Fd BS'!$1:$8</definedName>
    <definedName name="_xlnm.Print_Titles" localSheetId="6">'GenExp'!$1:$7</definedName>
    <definedName name="_xlnm.Print_Titles" localSheetId="5">'GenRev'!$1:$7</definedName>
    <definedName name="_xlnm.Print_Titles" localSheetId="7">'Gov Fd Rv'!$1:$7</definedName>
    <definedName name="_xlnm.Print_Titles" localSheetId="8">'Gov Fnd Exp'!$1:$7</definedName>
    <definedName name="_xlnm.Print_Titles" localSheetId="12">'LT _Lia - GA'!$1:$8</definedName>
    <definedName name="_xlnm.Print_Titles" localSheetId="10">'Sewer 1'!$1:$9</definedName>
    <definedName name="_xlnm.Print_Titles" localSheetId="0">'St of Net Assets - GA'!$1:$8</definedName>
    <definedName name="_xlnm.Print_Titles" localSheetId="9">'Water 1'!$1:$9</definedName>
  </definedNames>
  <calcPr fullCalcOnLoad="1"/>
</workbook>
</file>

<file path=xl/sharedStrings.xml><?xml version="1.0" encoding="utf-8"?>
<sst xmlns="http://schemas.openxmlformats.org/spreadsheetml/2006/main" count="1991" uniqueCount="257">
  <si>
    <t>Charges for</t>
  </si>
  <si>
    <t>Inter-</t>
  </si>
  <si>
    <t>Special</t>
  </si>
  <si>
    <t>All Other</t>
  </si>
  <si>
    <t>Total</t>
  </si>
  <si>
    <t>County</t>
  </si>
  <si>
    <t>Taxes</t>
  </si>
  <si>
    <t>Tax</t>
  </si>
  <si>
    <t>Services</t>
  </si>
  <si>
    <t>governmental</t>
  </si>
  <si>
    <t>Assessments</t>
  </si>
  <si>
    <t>Revenue</t>
  </si>
  <si>
    <t>Revenues</t>
  </si>
  <si>
    <t>Allen</t>
  </si>
  <si>
    <t>Ashland</t>
  </si>
  <si>
    <t>Ashtabula</t>
  </si>
  <si>
    <t>Athens</t>
  </si>
  <si>
    <t>Auglaize</t>
  </si>
  <si>
    <t>Belmont</t>
  </si>
  <si>
    <t>Bulter</t>
  </si>
  <si>
    <t>Carroll</t>
  </si>
  <si>
    <t>Clark</t>
  </si>
  <si>
    <t>Clinton</t>
  </si>
  <si>
    <t>Columbiana (cash)</t>
  </si>
  <si>
    <t>Coshocton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</si>
  <si>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</si>
  <si>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</si>
  <si>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</si>
  <si>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</si>
  <si>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</si>
  <si>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</si>
  <si>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</si>
  <si>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</si>
  <si>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</si>
  <si>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</si>
  <si>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</si>
  <si>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Guernsey</t>
  </si>
  <si>
    <t>Hamilton</t>
  </si>
  <si>
    <t>Hancock</t>
  </si>
  <si>
    <t>Harrison (cash)</t>
  </si>
  <si>
    <t>Henry</t>
  </si>
  <si>
    <t>Highland (cash)</t>
  </si>
  <si>
    <t>Hocking</t>
  </si>
  <si>
    <t>Holmes</t>
  </si>
  <si>
    <t>Huron</t>
  </si>
  <si>
    <t>Jackson</t>
  </si>
  <si>
    <t>Jefferson</t>
  </si>
  <si>
    <t>Knox</t>
  </si>
  <si>
    <t>Lake</t>
  </si>
  <si>
    <t>Licking</t>
  </si>
  <si>
    <t>Logan</t>
  </si>
  <si>
    <t>Lorain</t>
  </si>
  <si>
    <t>Madison (cash)</t>
  </si>
  <si>
    <t>Mahoning</t>
  </si>
  <si>
    <t>Marion</t>
  </si>
  <si>
    <t>Medina</t>
  </si>
  <si>
    <t>Mercer (cash)</t>
  </si>
  <si>
    <t>Miami</t>
  </si>
  <si>
    <t>Monroe</t>
  </si>
  <si>
    <t>Montgomery</t>
  </si>
  <si>
    <t>Morgan (cash)</t>
  </si>
  <si>
    <t>Morrow*</t>
  </si>
  <si>
    <t>Muskingum</t>
  </si>
  <si>
    <t>Noble</t>
  </si>
  <si>
    <t>Ottawa</t>
  </si>
  <si>
    <t>Perry (cash)</t>
  </si>
  <si>
    <t>Pickaway</t>
  </si>
  <si>
    <t>Pike</t>
  </si>
  <si>
    <t>Portage</t>
  </si>
  <si>
    <t>Preble</t>
  </si>
  <si>
    <t>Ross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</si>
  <si>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</si>
  <si>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</si>
  <si>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</si>
  <si>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</si>
  <si>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</si>
  <si>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</si>
  <si>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</si>
  <si>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</si>
  <si>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</si>
  <si>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</si>
  <si>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</si>
  <si>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</si>
  <si>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</si>
  <si>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Wood</t>
  </si>
  <si>
    <t>Public</t>
  </si>
  <si>
    <t>Human</t>
  </si>
  <si>
    <t>Conservation</t>
  </si>
  <si>
    <t>Capital</t>
  </si>
  <si>
    <t>Judicial</t>
  </si>
  <si>
    <t>Safety</t>
  </si>
  <si>
    <t>Works</t>
  </si>
  <si>
    <t>Health</t>
  </si>
  <si>
    <t>Expenditures</t>
  </si>
  <si>
    <t>Outlay</t>
  </si>
  <si>
    <t>Principal</t>
  </si>
  <si>
    <t>Fiscal Charges</t>
  </si>
  <si>
    <t>Brown</t>
  </si>
  <si>
    <t>Morrow</t>
  </si>
  <si>
    <t>Sandusky</t>
  </si>
  <si>
    <t>Other Current</t>
  </si>
  <si>
    <t>Interest and</t>
  </si>
  <si>
    <t>Operating</t>
  </si>
  <si>
    <t>Long-Term Obligations</t>
  </si>
  <si>
    <t>General</t>
  </si>
  <si>
    <t>Mortgage and</t>
  </si>
  <si>
    <t>Other</t>
  </si>
  <si>
    <t>Net Working</t>
  </si>
  <si>
    <t>Obligation</t>
  </si>
  <si>
    <t>Long-Term</t>
  </si>
  <si>
    <t>Depreciation</t>
  </si>
  <si>
    <t>Income/Loss</t>
  </si>
  <si>
    <t>Transfers-In</t>
  </si>
  <si>
    <t>Transfers-Out</t>
  </si>
  <si>
    <t>Bonds</t>
  </si>
  <si>
    <t>Loans</t>
  </si>
  <si>
    <t>Obligations</t>
  </si>
  <si>
    <t>Assets</t>
  </si>
  <si>
    <t>Equity</t>
  </si>
  <si>
    <t>Reserved</t>
  </si>
  <si>
    <t>Unreserved/</t>
  </si>
  <si>
    <t>Cash and</t>
  </si>
  <si>
    <t>Deferred</t>
  </si>
  <si>
    <t>Fund</t>
  </si>
  <si>
    <t>Undesignated</t>
  </si>
  <si>
    <t>Investments</t>
  </si>
  <si>
    <t>Liabilities</t>
  </si>
  <si>
    <t>Balance</t>
  </si>
  <si>
    <t>Fund Balance</t>
  </si>
  <si>
    <t>All</t>
  </si>
  <si>
    <t>Compensated</t>
  </si>
  <si>
    <t>Notes</t>
  </si>
  <si>
    <t>Assessment</t>
  </si>
  <si>
    <t>Leases</t>
  </si>
  <si>
    <t>Absences</t>
  </si>
  <si>
    <t>Payables</t>
  </si>
  <si>
    <t>Payable</t>
  </si>
  <si>
    <t>Paulding (cash)</t>
  </si>
  <si>
    <t xml:space="preserve">Brown </t>
  </si>
  <si>
    <t>Clermont (GASB 34)</t>
  </si>
  <si>
    <t>Greene (GASB 34)</t>
  </si>
  <si>
    <t>Richland (GASB 34)</t>
  </si>
  <si>
    <t>Lucas (GASB 34)</t>
  </si>
  <si>
    <t>Current</t>
  </si>
  <si>
    <t>Wayne (GASB 34)</t>
  </si>
  <si>
    <t>Statement of Net Assets</t>
  </si>
  <si>
    <t>Net Assets</t>
  </si>
  <si>
    <t>Invested in</t>
  </si>
  <si>
    <t>Charges</t>
  </si>
  <si>
    <t>Cap Assets</t>
  </si>
  <si>
    <t>Restricted</t>
  </si>
  <si>
    <t>Unrestricted</t>
  </si>
  <si>
    <t>Program Revenues - Governmental Activities</t>
  </si>
  <si>
    <t>General Revenues</t>
  </si>
  <si>
    <t>Expenses - Governmental Activities</t>
  </si>
  <si>
    <t>Op. Grants</t>
  </si>
  <si>
    <t>Property</t>
  </si>
  <si>
    <t>Investment</t>
  </si>
  <si>
    <t>Changes in</t>
  </si>
  <si>
    <t>Contrib &amp; Int</t>
  </si>
  <si>
    <t>Grants</t>
  </si>
  <si>
    <t>Earnings</t>
  </si>
  <si>
    <t>Transfers</t>
  </si>
  <si>
    <t>Property,</t>
  </si>
  <si>
    <t>Non-Current</t>
  </si>
  <si>
    <t>Expenses Less</t>
  </si>
  <si>
    <t>Non-Operating</t>
  </si>
  <si>
    <t>Changein</t>
  </si>
  <si>
    <t>Plant, &amp; Equip</t>
  </si>
  <si>
    <t>Rev/(Exp)</t>
  </si>
  <si>
    <t>Contributions</t>
  </si>
  <si>
    <t>Additions</t>
  </si>
  <si>
    <t>(Deletions)</t>
  </si>
  <si>
    <t xml:space="preserve">Other </t>
  </si>
  <si>
    <t>Community</t>
  </si>
  <si>
    <t>Development</t>
  </si>
  <si>
    <t>Sales</t>
  </si>
  <si>
    <t>Hardin (cash)</t>
  </si>
  <si>
    <t>Hardin  (cash)</t>
  </si>
  <si>
    <t>Lawrence (cash)</t>
  </si>
  <si>
    <t>Meigs (cash)</t>
  </si>
  <si>
    <t>Champaign  (cash)</t>
  </si>
  <si>
    <t>Champaign (cash)</t>
  </si>
  <si>
    <t>Williams (cash)</t>
  </si>
  <si>
    <t>Wyandot (cash)</t>
  </si>
  <si>
    <t>Putnam (cash)</t>
  </si>
  <si>
    <t>Portage(GASB34)</t>
  </si>
  <si>
    <t xml:space="preserve">Bulter </t>
  </si>
  <si>
    <t>General and</t>
  </si>
  <si>
    <t>Program Reveune</t>
  </si>
  <si>
    <t>Richland</t>
  </si>
  <si>
    <t>Crawford</t>
  </si>
  <si>
    <t>Columbiana</t>
  </si>
  <si>
    <t>Clermont</t>
  </si>
  <si>
    <t>Greene</t>
  </si>
  <si>
    <t>Lucas</t>
  </si>
  <si>
    <t>All Counties Reporting Under GAAP</t>
  </si>
  <si>
    <t>Legislative</t>
  </si>
  <si>
    <t>and Executive</t>
  </si>
  <si>
    <t xml:space="preserve">Pickaway </t>
  </si>
  <si>
    <t xml:space="preserve">Lucas </t>
  </si>
  <si>
    <t>and Recreation</t>
  </si>
  <si>
    <t>Net Income/</t>
  </si>
  <si>
    <t>Amounts Due</t>
  </si>
  <si>
    <t>within</t>
  </si>
  <si>
    <t>One Year</t>
  </si>
  <si>
    <t/>
  </si>
  <si>
    <t>Water Enterprise Fund</t>
  </si>
  <si>
    <t>Net Assets/Fund Equity</t>
  </si>
  <si>
    <t>Total Net</t>
  </si>
  <si>
    <t>Assets/Retained</t>
  </si>
  <si>
    <t>Landfill Enterprise Funds</t>
  </si>
  <si>
    <t>Sewer Enterprise Fund</t>
  </si>
  <si>
    <t>Landfill Enterprise Fund</t>
  </si>
  <si>
    <t>Revenues from the Statement of Activities</t>
  </si>
  <si>
    <t>Summary Data from the General Fund Balance Sheet</t>
  </si>
  <si>
    <t>Continued</t>
  </si>
  <si>
    <t>General Fund Revenues - Modified Accrual Basis of Accounting</t>
  </si>
  <si>
    <t>General Fund Expenditures - Modified Accrual Basis of Accounting</t>
  </si>
  <si>
    <t>Governmental Fund Expenditures - Modified Accrual Basis of Accounting</t>
  </si>
  <si>
    <t>General Long Term Obligations Account Group</t>
  </si>
  <si>
    <t>Statement of Net Assets/Fund Equity</t>
  </si>
  <si>
    <t>Statement of Revenues, Expenses, and Changes in Net Assets/Fund Equity</t>
  </si>
  <si>
    <t>Sewer Enterprise Funds</t>
  </si>
  <si>
    <t>Governmental Fund Revenues</t>
  </si>
  <si>
    <t>As of December 31, 2003</t>
  </si>
  <si>
    <t>As of and For the Year Ended December 31, 2003</t>
  </si>
  <si>
    <t>For the Year Ended December 31, 2003</t>
  </si>
  <si>
    <t>Due in More</t>
  </si>
  <si>
    <t>Than 1 Year</t>
  </si>
  <si>
    <t>other</t>
  </si>
  <si>
    <t>use</t>
  </si>
  <si>
    <t xml:space="preserve">Financing </t>
  </si>
  <si>
    <t>Sources</t>
  </si>
  <si>
    <t>financing</t>
  </si>
  <si>
    <t>Fund Bal</t>
  </si>
  <si>
    <t>Beginning</t>
  </si>
  <si>
    <t>of Year</t>
  </si>
  <si>
    <t>Inc/(Dec.)</t>
  </si>
  <si>
    <t>in reserves</t>
  </si>
  <si>
    <t>for inventory</t>
  </si>
  <si>
    <t>Balanced</t>
  </si>
  <si>
    <t>if =0</t>
  </si>
  <si>
    <t xml:space="preserve">Due Within </t>
  </si>
  <si>
    <t>1 Year</t>
  </si>
  <si>
    <t>if=0</t>
  </si>
  <si>
    <t>Lawrence</t>
  </si>
  <si>
    <t xml:space="preserve">Lawrence </t>
  </si>
  <si>
    <t xml:space="preserve">Crawford </t>
  </si>
  <si>
    <t xml:space="preserve">Ottawa </t>
  </si>
  <si>
    <t>if = 0</t>
  </si>
  <si>
    <t>Summary Data from the Governmental Fund Balance Sheet</t>
  </si>
  <si>
    <t>Expenses from the Statement of Activities</t>
  </si>
  <si>
    <t xml:space="preserve">Balanced </t>
  </si>
  <si>
    <t>Expenses</t>
  </si>
  <si>
    <t>Balanced if =0</t>
  </si>
  <si>
    <t>Cap. Assets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</si>
</sst>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6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Border="1" applyAlignment="1">
      <alignment/>
    </xf>
    <xf numFmtId="3" fontId="4" fillId="0" borderId="0" xfId="16" applyBorder="1" applyAlignment="1">
      <alignment/>
    </xf>
    <xf numFmtId="3" fontId="0" fillId="0" borderId="0" xfId="16" applyFont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16" applyFont="1" applyBorder="1" applyAlignment="1">
      <alignment horizontal="right"/>
    </xf>
    <xf numFmtId="3" fontId="0" fillId="0" borderId="0" xfId="16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16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16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7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/>
    </xf>
    <xf numFmtId="3" fontId="10" fillId="0" borderId="0" xfId="16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10" fillId="0" borderId="0" xfId="16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3" fontId="10" fillId="0" borderId="0" xfId="16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16" applyFont="1" applyBorder="1" applyAlignment="1">
      <alignment horizontal="left"/>
    </xf>
    <xf numFmtId="3" fontId="10" fillId="0" borderId="0" xfId="16" applyFont="1" applyBorder="1" applyAlignment="1">
      <alignment horizontal="right"/>
    </xf>
    <xf numFmtId="3" fontId="10" fillId="0" borderId="0" xfId="16" applyFont="1" applyBorder="1" applyAlignment="1">
      <alignment horizontal="left"/>
    </xf>
    <xf numFmtId="3" fontId="10" fillId="0" borderId="0" xfId="16" applyFont="1" applyBorder="1" applyAlignment="1">
      <alignment/>
    </xf>
    <xf numFmtId="3" fontId="10" fillId="0" borderId="0" xfId="16" applyFont="1" applyBorder="1" applyAlignment="1">
      <alignment horizontal="center"/>
    </xf>
    <xf numFmtId="3" fontId="10" fillId="0" borderId="2" xfId="16" applyFont="1" applyFill="1" applyBorder="1" applyAlignment="1">
      <alignment horizontal="center"/>
    </xf>
    <xf numFmtId="3" fontId="9" fillId="0" borderId="0" xfId="0" applyNumberFormat="1" applyFont="1" applyAlignment="1">
      <alignment horizontal="left"/>
    </xf>
    <xf numFmtId="37" fontId="10" fillId="0" borderId="0" xfId="0" applyNumberFormat="1" applyFont="1" applyBorder="1" applyAlignment="1">
      <alignment horizontal="center"/>
    </xf>
    <xf numFmtId="37" fontId="10" fillId="0" borderId="3" xfId="0" applyNumberFormat="1" applyFont="1" applyFill="1" applyBorder="1" applyAlignment="1">
      <alignment horizontal="centerContinuous"/>
    </xf>
    <xf numFmtId="37" fontId="10" fillId="0" borderId="3" xfId="0" applyNumberFormat="1" applyFont="1" applyBorder="1" applyAlignment="1">
      <alignment horizontal="centerContinuous"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10" fillId="0" borderId="0" xfId="0" applyNumberFormat="1" applyFont="1" applyBorder="1" applyAlignment="1">
      <alignment vertical="top"/>
    </xf>
    <xf numFmtId="37" fontId="10" fillId="0" borderId="0" xfId="16" applyNumberFormat="1" applyFont="1" applyBorder="1" applyAlignment="1">
      <alignment horizontal="right"/>
    </xf>
    <xf numFmtId="37" fontId="10" fillId="0" borderId="3" xfId="0" applyNumberFormat="1" applyFont="1" applyFill="1" applyBorder="1" applyAlignment="1">
      <alignment horizontal="center"/>
    </xf>
    <xf numFmtId="37" fontId="10" fillId="0" borderId="3" xfId="0" applyNumberFormat="1" applyFont="1" applyBorder="1" applyAlignment="1">
      <alignment horizontal="center"/>
    </xf>
    <xf numFmtId="37" fontId="10" fillId="0" borderId="3" xfId="0" applyNumberFormat="1" applyFont="1" applyBorder="1" applyAlignment="1">
      <alignment horizontal="center"/>
    </xf>
    <xf numFmtId="37" fontId="4" fillId="0" borderId="0" xfId="0" applyNumberFormat="1" applyFont="1" applyAlignment="1">
      <alignment/>
    </xf>
    <xf numFmtId="37" fontId="9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centerContinuous"/>
    </xf>
    <xf numFmtId="37" fontId="10" fillId="0" borderId="2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 wrapText="1"/>
    </xf>
    <xf numFmtId="37" fontId="4" fillId="0" borderId="0" xfId="0" applyNumberForma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7" fontId="10" fillId="0" borderId="3" xfId="0" applyNumberFormat="1" applyFont="1" applyFill="1" applyBorder="1" applyAlignment="1">
      <alignment horizontal="center"/>
    </xf>
    <xf numFmtId="37" fontId="10" fillId="0" borderId="0" xfId="0" applyNumberFormat="1" applyFont="1" applyBorder="1" applyAlignment="1">
      <alignment horizontal="centerContinuous"/>
    </xf>
    <xf numFmtId="14" fontId="10" fillId="0" borderId="3" xfId="0" applyNumberFormat="1" applyFont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0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37" fontId="10" fillId="0" borderId="0" xfId="0" applyNumberFormat="1" applyFont="1" applyAlignment="1">
      <alignment horizontal="right"/>
    </xf>
    <xf numFmtId="37" fontId="10" fillId="0" borderId="0" xfId="0" applyNumberFormat="1" applyFont="1" applyFill="1" applyAlignment="1">
      <alignment horizontal="right"/>
    </xf>
    <xf numFmtId="37" fontId="10" fillId="0" borderId="0" xfId="16" applyNumberFormat="1" applyFont="1" applyAlignment="1">
      <alignment horizontal="right"/>
    </xf>
    <xf numFmtId="3" fontId="10" fillId="0" borderId="0" xfId="0" applyNumberFormat="1" applyFont="1" applyBorder="1" applyAlignment="1">
      <alignment horizontal="left"/>
    </xf>
    <xf numFmtId="3" fontId="10" fillId="0" borderId="0" xfId="18" applyNumberFormat="1" applyFont="1" applyBorder="1" applyAlignment="1">
      <alignment/>
    </xf>
    <xf numFmtId="5" fontId="10" fillId="0" borderId="0" xfId="18" applyFont="1" applyBorder="1" applyAlignment="1">
      <alignment/>
    </xf>
    <xf numFmtId="3" fontId="4" fillId="0" borderId="0" xfId="16" applyFont="1" applyBorder="1" applyAlignment="1">
      <alignment/>
    </xf>
    <xf numFmtId="37" fontId="10" fillId="0" borderId="0" xfId="0" applyNumberFormat="1" applyFont="1" applyBorder="1" applyAlignment="1" quotePrefix="1">
      <alignment horizontal="centerContinuous"/>
    </xf>
    <xf numFmtId="3" fontId="9" fillId="0" borderId="0" xfId="16" applyFont="1" applyBorder="1" applyAlignment="1">
      <alignment/>
    </xf>
    <xf numFmtId="3" fontId="10" fillId="0" borderId="0" xfId="16" applyFont="1" applyBorder="1" applyAlignment="1">
      <alignment/>
    </xf>
    <xf numFmtId="5" fontId="10" fillId="0" borderId="0" xfId="0" applyNumberFormat="1" applyFont="1" applyBorder="1" applyAlignment="1">
      <alignment vertical="top"/>
    </xf>
    <xf numFmtId="37" fontId="10" fillId="0" borderId="0" xfId="16" applyNumberFormat="1" applyFont="1" applyBorder="1" applyAlignment="1">
      <alignment/>
    </xf>
    <xf numFmtId="37" fontId="0" fillId="0" borderId="0" xfId="16" applyNumberFormat="1" applyFont="1" applyBorder="1" applyAlignment="1">
      <alignment/>
    </xf>
    <xf numFmtId="37" fontId="0" fillId="0" borderId="0" xfId="16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5" fontId="10" fillId="0" borderId="0" xfId="16" applyNumberFormat="1" applyFont="1" applyBorder="1" applyAlignment="1">
      <alignment/>
    </xf>
    <xf numFmtId="5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wrapText="1"/>
    </xf>
    <xf numFmtId="37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4" fillId="0" borderId="0" xfId="16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3" fontId="10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37" fontId="10" fillId="0" borderId="3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/>
    </xf>
    <xf numFmtId="37" fontId="10" fillId="0" borderId="3" xfId="0" applyNumberFormat="1" applyFont="1" applyFill="1" applyBorder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" width="11.7109375" style="50" customWidth="1"/>
    <col min="4" max="4" width="1.7109375" style="50" customWidth="1"/>
    <col min="5" max="5" width="11.7109375" style="50" customWidth="1"/>
    <col min="6" max="6" width="1.7109375" style="50" customWidth="1"/>
    <col min="7" max="7" width="11.7109375" style="50" customWidth="1"/>
    <col min="8" max="8" width="1.7109375" style="50" customWidth="1"/>
    <col min="9" max="9" width="11.7109375" style="50" customWidth="1"/>
    <col min="10" max="10" width="2.7109375" style="50" customWidth="1"/>
    <col min="11" max="11" width="11.7109375" style="56" customWidth="1"/>
    <col min="12" max="12" width="1.7109375" style="56" customWidth="1"/>
    <col min="13" max="13" width="11.7109375" style="56" customWidth="1"/>
    <col min="14" max="14" width="1.7109375" style="56" customWidth="1"/>
    <col min="15" max="15" width="11.7109375" style="56" customWidth="1"/>
    <col min="16" max="16" width="1.7109375" style="56" customWidth="1"/>
    <col min="17" max="17" width="11.7109375" style="56" customWidth="1"/>
    <col min="18" max="18" width="1.7109375" style="56" customWidth="1"/>
    <col min="19" max="19" width="11.7109375" style="56" customWidth="1"/>
    <col min="20" max="20" width="1.7109375" style="56" customWidth="1"/>
    <col min="21" max="21" width="11.7109375" style="56" customWidth="1"/>
    <col min="22" max="22" width="1.7109375" style="56" customWidth="1"/>
    <col min="23" max="23" width="12.7109375" style="56" customWidth="1"/>
    <col min="24" max="24" width="2.7109375" style="50" customWidth="1"/>
    <col min="25" max="25" width="15.7109375" style="0" customWidth="1"/>
  </cols>
  <sheetData>
    <row r="1" spans="1:25" ht="12.75">
      <c r="A1" s="15" t="s">
        <v>145</v>
      </c>
      <c r="B1" s="16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56"/>
      <c r="Y1" s="66"/>
    </row>
    <row r="2" spans="1:25" ht="12.75">
      <c r="A2" s="15" t="s">
        <v>225</v>
      </c>
      <c r="B2" s="1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56"/>
      <c r="Y2" s="66"/>
    </row>
    <row r="3" spans="1:25" ht="12.75">
      <c r="A3" s="15"/>
      <c r="B3" s="1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56"/>
      <c r="Y3" s="66"/>
    </row>
    <row r="4" spans="1:25" ht="12.75">
      <c r="A4" s="15" t="s">
        <v>196</v>
      </c>
      <c r="B4" s="1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56"/>
      <c r="Y4" s="66"/>
    </row>
    <row r="5" spans="1:25" ht="12.75">
      <c r="A5" s="16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56"/>
      <c r="Y5" s="66"/>
    </row>
    <row r="6" spans="1:25" ht="12.75">
      <c r="A6" s="16"/>
      <c r="B6" s="16"/>
      <c r="C6" s="46" t="s">
        <v>117</v>
      </c>
      <c r="D6" s="46"/>
      <c r="E6" s="46"/>
      <c r="F6" s="46"/>
      <c r="G6" s="46"/>
      <c r="H6" s="46"/>
      <c r="I6" s="46"/>
      <c r="J6" s="19"/>
      <c r="K6" s="46" t="s">
        <v>126</v>
      </c>
      <c r="L6" s="46"/>
      <c r="M6" s="46"/>
      <c r="N6" s="46"/>
      <c r="O6" s="46"/>
      <c r="P6" s="19"/>
      <c r="Q6" s="46" t="s">
        <v>146</v>
      </c>
      <c r="R6" s="46"/>
      <c r="S6" s="46"/>
      <c r="T6" s="46"/>
      <c r="U6" s="46"/>
      <c r="V6" s="46"/>
      <c r="W6" s="46"/>
      <c r="X6" s="56"/>
      <c r="Y6" s="66"/>
    </row>
    <row r="7" spans="1:25" ht="12.75">
      <c r="A7" s="17"/>
      <c r="B7" s="17"/>
      <c r="C7" s="48" t="s">
        <v>143</v>
      </c>
      <c r="D7" s="48"/>
      <c r="E7" s="48" t="s">
        <v>88</v>
      </c>
      <c r="F7" s="48"/>
      <c r="G7" s="48" t="s">
        <v>122</v>
      </c>
      <c r="H7" s="48"/>
      <c r="I7" s="48" t="s">
        <v>4</v>
      </c>
      <c r="J7" s="19"/>
      <c r="K7" s="48" t="s">
        <v>143</v>
      </c>
      <c r="L7" s="48"/>
      <c r="M7" s="48" t="s">
        <v>228</v>
      </c>
      <c r="N7" s="48"/>
      <c r="O7" s="48" t="s">
        <v>4</v>
      </c>
      <c r="P7" s="19"/>
      <c r="Q7" s="49" t="s">
        <v>147</v>
      </c>
      <c r="R7" s="49"/>
      <c r="S7" s="49"/>
      <c r="T7" s="49"/>
      <c r="U7" s="49"/>
      <c r="V7" s="49"/>
      <c r="W7" s="48" t="s">
        <v>4</v>
      </c>
      <c r="X7" s="56"/>
      <c r="Y7" s="66"/>
    </row>
    <row r="8" spans="1:25" ht="12.75">
      <c r="A8" s="74" t="s">
        <v>5</v>
      </c>
      <c r="B8" s="68"/>
      <c r="C8" s="55" t="s">
        <v>117</v>
      </c>
      <c r="D8" s="49"/>
      <c r="E8" s="55" t="s">
        <v>117</v>
      </c>
      <c r="F8" s="49"/>
      <c r="G8" s="55" t="s">
        <v>148</v>
      </c>
      <c r="H8" s="49"/>
      <c r="I8" s="55" t="s">
        <v>117</v>
      </c>
      <c r="J8" s="47"/>
      <c r="K8" s="69" t="s">
        <v>126</v>
      </c>
      <c r="L8" s="72"/>
      <c r="M8" s="69" t="s">
        <v>229</v>
      </c>
      <c r="N8" s="72"/>
      <c r="O8" s="55" t="s">
        <v>126</v>
      </c>
      <c r="P8" s="47"/>
      <c r="Q8" s="55" t="s">
        <v>256</v>
      </c>
      <c r="R8" s="49"/>
      <c r="S8" s="55" t="s">
        <v>150</v>
      </c>
      <c r="T8" s="49"/>
      <c r="U8" s="55" t="s">
        <v>151</v>
      </c>
      <c r="V8" s="49"/>
      <c r="W8" s="69" t="s">
        <v>146</v>
      </c>
      <c r="X8" s="56"/>
      <c r="Y8" s="109" t="s">
        <v>255</v>
      </c>
    </row>
    <row r="9" spans="1:25" ht="12.75" hidden="1">
      <c r="A9" s="68"/>
      <c r="B9" s="68"/>
      <c r="C9" s="49"/>
      <c r="D9" s="49"/>
      <c r="E9" s="49"/>
      <c r="F9" s="49"/>
      <c r="G9" s="49"/>
      <c r="H9" s="49"/>
      <c r="I9" s="49"/>
      <c r="J9" s="19"/>
      <c r="K9" s="72"/>
      <c r="L9" s="72"/>
      <c r="M9" s="72"/>
      <c r="N9" s="72"/>
      <c r="O9" s="49"/>
      <c r="P9" s="19"/>
      <c r="Q9" s="49"/>
      <c r="R9" s="49"/>
      <c r="S9" s="49"/>
      <c r="T9" s="49"/>
      <c r="U9" s="49"/>
      <c r="V9" s="49"/>
      <c r="W9" s="72"/>
      <c r="X9" s="56"/>
      <c r="Y9" s="66"/>
    </row>
    <row r="10" spans="1:25" ht="12.75">
      <c r="A10" s="26" t="s">
        <v>13</v>
      </c>
      <c r="B10" s="26"/>
      <c r="C10" s="76">
        <f aca="true" t="shared" si="0" ref="C10:C23">+I10-E10-G10</f>
        <v>64115272</v>
      </c>
      <c r="D10" s="76"/>
      <c r="E10" s="76">
        <f>6213051+22608967</f>
        <v>28822018</v>
      </c>
      <c r="F10" s="76"/>
      <c r="G10" s="76">
        <v>0</v>
      </c>
      <c r="H10" s="76"/>
      <c r="I10" s="76">
        <v>92937290</v>
      </c>
      <c r="J10" s="76"/>
      <c r="K10" s="76">
        <f aca="true" t="shared" si="1" ref="K10:K23">+O10-M10</f>
        <v>24732240</v>
      </c>
      <c r="L10" s="76"/>
      <c r="M10" s="76">
        <v>22774340</v>
      </c>
      <c r="N10" s="76"/>
      <c r="O10" s="76">
        <v>47506580</v>
      </c>
      <c r="P10" s="76"/>
      <c r="Q10" s="76">
        <v>13548728</v>
      </c>
      <c r="R10" s="76"/>
      <c r="S10" s="19">
        <f aca="true" t="shared" si="2" ref="S10:S23">W10-U10-Q10</f>
        <v>24511853</v>
      </c>
      <c r="T10" s="76"/>
      <c r="U10" s="76">
        <v>7370129</v>
      </c>
      <c r="V10" s="76"/>
      <c r="W10" s="76">
        <v>45430710</v>
      </c>
      <c r="X10" s="77"/>
      <c r="Y10" s="77">
        <f aca="true" t="shared" si="3" ref="Y10:Y23">I10-O10-W10</f>
        <v>0</v>
      </c>
    </row>
    <row r="11" spans="1:25" ht="12.75">
      <c r="A11" s="26" t="s">
        <v>14</v>
      </c>
      <c r="B11" s="26"/>
      <c r="C11" s="76">
        <f t="shared" si="0"/>
        <v>22844895</v>
      </c>
      <c r="D11" s="76"/>
      <c r="E11" s="76">
        <f>849533+26694988</f>
        <v>27544521</v>
      </c>
      <c r="F11" s="76"/>
      <c r="G11" s="76">
        <v>0</v>
      </c>
      <c r="H11" s="76"/>
      <c r="I11" s="76">
        <v>50389416</v>
      </c>
      <c r="J11" s="76"/>
      <c r="K11" s="76">
        <f t="shared" si="1"/>
        <v>7395825</v>
      </c>
      <c r="L11" s="76"/>
      <c r="M11" s="76">
        <v>5949311</v>
      </c>
      <c r="N11" s="76"/>
      <c r="O11" s="76">
        <v>13345136</v>
      </c>
      <c r="P11" s="76"/>
      <c r="Q11" s="76">
        <v>21879566</v>
      </c>
      <c r="R11" s="76"/>
      <c r="S11" s="19">
        <f t="shared" si="2"/>
        <v>9007655</v>
      </c>
      <c r="T11" s="76"/>
      <c r="U11" s="76">
        <v>6157059</v>
      </c>
      <c r="V11" s="76"/>
      <c r="W11" s="76">
        <v>37044280</v>
      </c>
      <c r="X11" s="77"/>
      <c r="Y11" s="77">
        <f t="shared" si="3"/>
        <v>0</v>
      </c>
    </row>
    <row r="12" spans="1:25" ht="12.75">
      <c r="A12" s="26" t="s">
        <v>15</v>
      </c>
      <c r="B12" s="26"/>
      <c r="C12" s="76">
        <f t="shared" si="0"/>
        <v>55950438</v>
      </c>
      <c r="D12" s="76"/>
      <c r="E12" s="76">
        <f>243512693+30298672</f>
        <v>273811365</v>
      </c>
      <c r="F12" s="76"/>
      <c r="G12" s="76">
        <v>0</v>
      </c>
      <c r="H12" s="76"/>
      <c r="I12" s="76">
        <v>329761803</v>
      </c>
      <c r="J12" s="76"/>
      <c r="K12" s="76">
        <f t="shared" si="1"/>
        <v>20380191</v>
      </c>
      <c r="L12" s="76"/>
      <c r="M12" s="76">
        <v>10926985</v>
      </c>
      <c r="N12" s="76"/>
      <c r="O12" s="76">
        <v>31307176</v>
      </c>
      <c r="P12" s="76"/>
      <c r="Q12" s="76">
        <v>264107890</v>
      </c>
      <c r="R12" s="76"/>
      <c r="S12" s="19">
        <f t="shared" si="2"/>
        <v>30079155</v>
      </c>
      <c r="T12" s="76"/>
      <c r="U12" s="76">
        <v>4267582</v>
      </c>
      <c r="V12" s="76"/>
      <c r="W12" s="76">
        <v>298454627</v>
      </c>
      <c r="X12" s="77"/>
      <c r="Y12" s="77">
        <f t="shared" si="3"/>
        <v>0</v>
      </c>
    </row>
    <row r="13" spans="1:25" ht="12.75">
      <c r="A13" s="26" t="s">
        <v>16</v>
      </c>
      <c r="B13" s="26"/>
      <c r="C13" s="76">
        <f t="shared" si="0"/>
        <v>29425505</v>
      </c>
      <c r="D13" s="76"/>
      <c r="E13" s="76">
        <f>952216+61873243</f>
        <v>62825459</v>
      </c>
      <c r="F13" s="76"/>
      <c r="G13" s="76">
        <v>0</v>
      </c>
      <c r="H13" s="76"/>
      <c r="I13" s="76">
        <v>92250964</v>
      </c>
      <c r="J13" s="76"/>
      <c r="K13" s="76">
        <f t="shared" si="1"/>
        <v>13156908</v>
      </c>
      <c r="L13" s="76"/>
      <c r="M13" s="76">
        <v>6706794</v>
      </c>
      <c r="N13" s="76"/>
      <c r="O13" s="76">
        <v>19863702</v>
      </c>
      <c r="P13" s="76"/>
      <c r="Q13" s="76">
        <v>59894563</v>
      </c>
      <c r="R13" s="76"/>
      <c r="S13" s="19">
        <f t="shared" si="2"/>
        <v>13672003</v>
      </c>
      <c r="T13" s="76"/>
      <c r="U13" s="76">
        <v>-1179304</v>
      </c>
      <c r="V13" s="76"/>
      <c r="W13" s="76">
        <v>72387262</v>
      </c>
      <c r="X13" s="77"/>
      <c r="Y13" s="77">
        <f t="shared" si="3"/>
        <v>0</v>
      </c>
    </row>
    <row r="14" spans="1:25" ht="12.75">
      <c r="A14" s="26" t="s">
        <v>17</v>
      </c>
      <c r="B14" s="26"/>
      <c r="C14" s="76">
        <f t="shared" si="0"/>
        <v>28372626</v>
      </c>
      <c r="D14" s="76"/>
      <c r="E14" s="76">
        <v>17376077</v>
      </c>
      <c r="F14" s="76"/>
      <c r="G14" s="76">
        <v>0</v>
      </c>
      <c r="H14" s="76"/>
      <c r="I14" s="76">
        <v>45748703</v>
      </c>
      <c r="J14" s="76"/>
      <c r="K14" s="76">
        <f t="shared" si="1"/>
        <v>7912069</v>
      </c>
      <c r="L14" s="76"/>
      <c r="M14" s="76">
        <v>4355213</v>
      </c>
      <c r="N14" s="76"/>
      <c r="O14" s="76">
        <v>12267282</v>
      </c>
      <c r="P14" s="76"/>
      <c r="Q14" s="76">
        <v>16433335</v>
      </c>
      <c r="R14" s="76"/>
      <c r="S14" s="19">
        <f t="shared" si="2"/>
        <v>12729063</v>
      </c>
      <c r="T14" s="76"/>
      <c r="U14" s="76">
        <v>4319023</v>
      </c>
      <c r="V14" s="76"/>
      <c r="W14" s="76">
        <v>33481421</v>
      </c>
      <c r="X14" s="77"/>
      <c r="Y14" s="77">
        <f t="shared" si="3"/>
        <v>0</v>
      </c>
    </row>
    <row r="15" spans="1:25" ht="12.75">
      <c r="A15" s="26" t="s">
        <v>18</v>
      </c>
      <c r="B15" s="26"/>
      <c r="C15" s="76">
        <f>+I15-E15-G15</f>
        <v>45076448</v>
      </c>
      <c r="D15" s="76"/>
      <c r="E15" s="76">
        <f>15345080+52461098</f>
        <v>67806178</v>
      </c>
      <c r="F15" s="76"/>
      <c r="G15" s="76">
        <v>0</v>
      </c>
      <c r="H15" s="76"/>
      <c r="I15" s="76">
        <v>112882626</v>
      </c>
      <c r="J15" s="76"/>
      <c r="K15" s="76">
        <f t="shared" si="1"/>
        <v>15334882</v>
      </c>
      <c r="L15" s="76"/>
      <c r="M15" s="76">
        <v>7856205</v>
      </c>
      <c r="N15" s="76"/>
      <c r="O15" s="76">
        <v>23191087</v>
      </c>
      <c r="P15" s="76"/>
      <c r="Q15" s="76">
        <v>60396082</v>
      </c>
      <c r="R15" s="76"/>
      <c r="S15" s="19">
        <f t="shared" si="2"/>
        <v>19261147</v>
      </c>
      <c r="T15" s="76"/>
      <c r="U15" s="76">
        <v>10034310</v>
      </c>
      <c r="V15" s="76"/>
      <c r="W15" s="76">
        <v>89691539</v>
      </c>
      <c r="X15" s="77"/>
      <c r="Y15" s="77">
        <f t="shared" si="3"/>
        <v>0</v>
      </c>
    </row>
    <row r="16" spans="1:25" ht="12.75" hidden="1">
      <c r="A16" s="26" t="s">
        <v>138</v>
      </c>
      <c r="B16" s="26"/>
      <c r="C16" s="76">
        <f t="shared" si="0"/>
        <v>0</v>
      </c>
      <c r="D16" s="76"/>
      <c r="E16" s="76">
        <v>0</v>
      </c>
      <c r="F16" s="76"/>
      <c r="G16" s="76">
        <v>0</v>
      </c>
      <c r="H16" s="76"/>
      <c r="I16" s="76">
        <v>0</v>
      </c>
      <c r="J16" s="76"/>
      <c r="K16" s="76">
        <f t="shared" si="1"/>
        <v>0</v>
      </c>
      <c r="L16" s="76"/>
      <c r="M16" s="76">
        <v>0</v>
      </c>
      <c r="N16" s="76"/>
      <c r="O16" s="76">
        <v>0</v>
      </c>
      <c r="P16" s="76"/>
      <c r="Q16" s="76">
        <v>0</v>
      </c>
      <c r="R16" s="76"/>
      <c r="S16" s="19">
        <f t="shared" si="2"/>
        <v>0</v>
      </c>
      <c r="T16" s="76"/>
      <c r="U16" s="76">
        <v>0</v>
      </c>
      <c r="V16" s="76"/>
      <c r="W16" s="76">
        <v>0</v>
      </c>
      <c r="X16" s="77"/>
      <c r="Y16" s="77">
        <f t="shared" si="3"/>
        <v>0</v>
      </c>
    </row>
    <row r="17" spans="1:25" s="78" customFormat="1" ht="12.75">
      <c r="A17" s="75" t="s">
        <v>187</v>
      </c>
      <c r="B17" s="75"/>
      <c r="C17" s="76">
        <f t="shared" si="0"/>
        <v>177359023</v>
      </c>
      <c r="D17" s="76"/>
      <c r="E17" s="76">
        <f>242542866+120915861</f>
        <v>363458727</v>
      </c>
      <c r="F17" s="76"/>
      <c r="G17" s="76">
        <v>0</v>
      </c>
      <c r="H17" s="76"/>
      <c r="I17" s="76">
        <v>540817750</v>
      </c>
      <c r="J17" s="76"/>
      <c r="K17" s="76">
        <f t="shared" si="1"/>
        <v>102531808</v>
      </c>
      <c r="L17" s="76"/>
      <c r="M17" s="76">
        <v>86056251</v>
      </c>
      <c r="N17" s="76"/>
      <c r="O17" s="76">
        <v>188588059</v>
      </c>
      <c r="P17" s="76"/>
      <c r="Q17" s="76">
        <v>263458176</v>
      </c>
      <c r="R17" s="76"/>
      <c r="S17" s="19">
        <f t="shared" si="2"/>
        <v>74036091</v>
      </c>
      <c r="T17" s="76"/>
      <c r="U17" s="76">
        <v>14735424</v>
      </c>
      <c r="V17" s="76"/>
      <c r="W17" s="76">
        <v>352229691</v>
      </c>
      <c r="X17" s="77"/>
      <c r="Y17" s="77">
        <f t="shared" si="3"/>
        <v>0</v>
      </c>
    </row>
    <row r="18" spans="1:25" ht="12.75">
      <c r="A18" s="26" t="s">
        <v>20</v>
      </c>
      <c r="B18" s="26"/>
      <c r="C18" s="76">
        <f t="shared" si="0"/>
        <v>10697747</v>
      </c>
      <c r="D18" s="76"/>
      <c r="E18" s="76">
        <v>13775370</v>
      </c>
      <c r="F18" s="76"/>
      <c r="G18" s="76">
        <v>0</v>
      </c>
      <c r="H18" s="76"/>
      <c r="I18" s="76">
        <v>24473117</v>
      </c>
      <c r="J18" s="76"/>
      <c r="K18" s="76">
        <f t="shared" si="1"/>
        <v>4492201</v>
      </c>
      <c r="L18" s="76"/>
      <c r="M18" s="76">
        <v>1196638</v>
      </c>
      <c r="N18" s="76"/>
      <c r="O18" s="76">
        <v>5688839</v>
      </c>
      <c r="P18" s="76"/>
      <c r="Q18" s="76">
        <v>13365960</v>
      </c>
      <c r="R18" s="76"/>
      <c r="S18" s="19">
        <f t="shared" si="2"/>
        <v>4153191</v>
      </c>
      <c r="T18" s="76"/>
      <c r="U18" s="76">
        <v>1265127</v>
      </c>
      <c r="V18" s="76"/>
      <c r="W18" s="76">
        <v>18784278</v>
      </c>
      <c r="X18" s="77"/>
      <c r="Y18" s="77">
        <f t="shared" si="3"/>
        <v>0</v>
      </c>
    </row>
    <row r="19" spans="1:25" ht="12.75" hidden="1">
      <c r="A19" s="26" t="s">
        <v>181</v>
      </c>
      <c r="B19" s="26"/>
      <c r="C19" s="76">
        <f t="shared" si="0"/>
        <v>0</v>
      </c>
      <c r="D19" s="76"/>
      <c r="E19" s="76">
        <v>0</v>
      </c>
      <c r="F19" s="76"/>
      <c r="G19" s="76">
        <v>0</v>
      </c>
      <c r="H19" s="76"/>
      <c r="I19" s="76">
        <v>0</v>
      </c>
      <c r="J19" s="76"/>
      <c r="K19" s="76">
        <f t="shared" si="1"/>
        <v>0</v>
      </c>
      <c r="L19" s="76"/>
      <c r="M19" s="76">
        <v>0</v>
      </c>
      <c r="N19" s="76"/>
      <c r="O19" s="76">
        <v>0</v>
      </c>
      <c r="P19" s="76"/>
      <c r="Q19" s="76">
        <v>0</v>
      </c>
      <c r="R19" s="76"/>
      <c r="S19" s="19">
        <f t="shared" si="2"/>
        <v>0</v>
      </c>
      <c r="T19" s="76"/>
      <c r="U19" s="76">
        <v>0</v>
      </c>
      <c r="V19" s="76"/>
      <c r="W19" s="76">
        <v>0</v>
      </c>
      <c r="X19" s="77"/>
      <c r="Y19" s="77">
        <f t="shared" si="3"/>
        <v>0</v>
      </c>
    </row>
    <row r="20" spans="1:25" ht="12.75">
      <c r="A20" s="26" t="s">
        <v>21</v>
      </c>
      <c r="B20" s="26"/>
      <c r="C20" s="76">
        <f t="shared" si="0"/>
        <v>66606227</v>
      </c>
      <c r="D20" s="76"/>
      <c r="E20" s="76">
        <f>6490654+11259050+25683389</f>
        <v>43433093</v>
      </c>
      <c r="F20" s="76"/>
      <c r="G20" s="76">
        <v>0</v>
      </c>
      <c r="H20" s="76"/>
      <c r="I20" s="76">
        <v>110039320</v>
      </c>
      <c r="J20" s="76"/>
      <c r="K20" s="76">
        <f t="shared" si="1"/>
        <v>30551740</v>
      </c>
      <c r="L20" s="76"/>
      <c r="M20" s="76">
        <v>10869369</v>
      </c>
      <c r="N20" s="76"/>
      <c r="O20" s="76">
        <v>41421109</v>
      </c>
      <c r="P20" s="76"/>
      <c r="Q20" s="76">
        <v>30818093</v>
      </c>
      <c r="R20" s="76"/>
      <c r="S20" s="19">
        <f t="shared" si="2"/>
        <v>29231600</v>
      </c>
      <c r="T20" s="76"/>
      <c r="U20" s="76">
        <v>8568518</v>
      </c>
      <c r="V20" s="76"/>
      <c r="W20" s="76">
        <v>68618211</v>
      </c>
      <c r="X20" s="77"/>
      <c r="Y20" s="77">
        <f t="shared" si="3"/>
        <v>0</v>
      </c>
    </row>
    <row r="21" spans="1:25" ht="12.75">
      <c r="A21" s="26" t="s">
        <v>193</v>
      </c>
      <c r="B21" s="26"/>
      <c r="C21" s="76">
        <f t="shared" si="0"/>
        <v>125370856</v>
      </c>
      <c r="D21" s="76"/>
      <c r="E21" s="76">
        <f>108486005</f>
        <v>108486005</v>
      </c>
      <c r="F21" s="76"/>
      <c r="G21" s="76">
        <v>0</v>
      </c>
      <c r="H21" s="76"/>
      <c r="I21" s="76">
        <v>233856861</v>
      </c>
      <c r="J21" s="76"/>
      <c r="K21" s="76">
        <f t="shared" si="1"/>
        <v>31724499</v>
      </c>
      <c r="L21" s="76"/>
      <c r="M21" s="76">
        <v>43091970</v>
      </c>
      <c r="N21" s="76"/>
      <c r="O21" s="76">
        <v>74816469</v>
      </c>
      <c r="P21" s="76"/>
      <c r="Q21" s="76">
        <v>100535513</v>
      </c>
      <c r="R21" s="76"/>
      <c r="S21" s="19">
        <f t="shared" si="2"/>
        <v>45810383</v>
      </c>
      <c r="T21" s="76"/>
      <c r="U21" s="76">
        <v>12694496</v>
      </c>
      <c r="V21" s="76"/>
      <c r="W21" s="76">
        <v>159040392</v>
      </c>
      <c r="X21" s="77"/>
      <c r="Y21" s="77">
        <f t="shared" si="3"/>
        <v>0</v>
      </c>
    </row>
    <row r="22" spans="1:25" ht="12.75">
      <c r="A22" s="26" t="s">
        <v>22</v>
      </c>
      <c r="B22" s="26"/>
      <c r="C22" s="76">
        <f t="shared" si="0"/>
        <v>18456078</v>
      </c>
      <c r="D22" s="76"/>
      <c r="E22" s="76">
        <f>37277451</f>
        <v>37277451</v>
      </c>
      <c r="F22" s="76"/>
      <c r="G22" s="76">
        <v>0</v>
      </c>
      <c r="H22" s="76"/>
      <c r="I22" s="76">
        <v>55733529</v>
      </c>
      <c r="J22" s="76"/>
      <c r="K22" s="76">
        <f t="shared" si="1"/>
        <v>12476544</v>
      </c>
      <c r="L22" s="76"/>
      <c r="M22" s="76">
        <v>5907000</v>
      </c>
      <c r="N22" s="76"/>
      <c r="O22" s="76">
        <v>18383544</v>
      </c>
      <c r="P22" s="76"/>
      <c r="Q22" s="76">
        <v>31770097</v>
      </c>
      <c r="R22" s="76"/>
      <c r="S22" s="19">
        <f t="shared" si="2"/>
        <v>5169287</v>
      </c>
      <c r="T22" s="76"/>
      <c r="U22" s="76">
        <v>410601</v>
      </c>
      <c r="V22" s="76"/>
      <c r="W22" s="76">
        <v>37349985</v>
      </c>
      <c r="X22" s="77"/>
      <c r="Y22" s="77">
        <f t="shared" si="3"/>
        <v>0</v>
      </c>
    </row>
    <row r="23" spans="1:25" ht="12.75" hidden="1">
      <c r="A23" s="26" t="s">
        <v>23</v>
      </c>
      <c r="B23" s="26"/>
      <c r="C23" s="76">
        <f t="shared" si="0"/>
        <v>0</v>
      </c>
      <c r="D23" s="76"/>
      <c r="E23" s="76">
        <v>0</v>
      </c>
      <c r="F23" s="76"/>
      <c r="G23" s="76">
        <v>0</v>
      </c>
      <c r="H23" s="76"/>
      <c r="I23" s="76">
        <v>0</v>
      </c>
      <c r="J23" s="76"/>
      <c r="K23" s="76">
        <f t="shared" si="1"/>
        <v>0</v>
      </c>
      <c r="L23" s="76"/>
      <c r="M23" s="76">
        <v>0</v>
      </c>
      <c r="N23" s="76"/>
      <c r="O23" s="76">
        <v>0</v>
      </c>
      <c r="P23" s="76"/>
      <c r="Q23" s="76">
        <v>0</v>
      </c>
      <c r="R23" s="76"/>
      <c r="S23" s="19">
        <f t="shared" si="2"/>
        <v>0</v>
      </c>
      <c r="T23" s="76"/>
      <c r="U23" s="76">
        <v>0</v>
      </c>
      <c r="V23" s="76"/>
      <c r="W23" s="76">
        <v>0</v>
      </c>
      <c r="X23" s="77"/>
      <c r="Y23" s="77">
        <f t="shared" si="3"/>
        <v>0</v>
      </c>
    </row>
    <row r="24" spans="1:25" ht="12.75" hidden="1">
      <c r="A24" s="26" t="s">
        <v>24</v>
      </c>
      <c r="B24" s="26"/>
      <c r="C24" s="76">
        <f>+I24-E24-G24</f>
        <v>0</v>
      </c>
      <c r="D24" s="76"/>
      <c r="E24" s="76">
        <v>0</v>
      </c>
      <c r="F24" s="76"/>
      <c r="G24" s="76">
        <v>0</v>
      </c>
      <c r="H24" s="76"/>
      <c r="I24" s="76">
        <v>0</v>
      </c>
      <c r="J24" s="76"/>
      <c r="K24" s="76">
        <f>+O24-M24</f>
        <v>0</v>
      </c>
      <c r="L24" s="76"/>
      <c r="M24" s="76">
        <v>0</v>
      </c>
      <c r="N24" s="76"/>
      <c r="O24" s="76">
        <v>0</v>
      </c>
      <c r="P24" s="76"/>
      <c r="Q24" s="76">
        <v>0</v>
      </c>
      <c r="R24" s="76"/>
      <c r="S24" s="19">
        <f>W24-U24-Q24</f>
        <v>0</v>
      </c>
      <c r="T24" s="76"/>
      <c r="U24" s="76">
        <v>0</v>
      </c>
      <c r="V24" s="76"/>
      <c r="W24" s="76">
        <v>0</v>
      </c>
      <c r="X24" s="77"/>
      <c r="Y24" s="77">
        <f>I24-O24-W24</f>
        <v>0</v>
      </c>
    </row>
    <row r="25" spans="1:25" ht="12.75">
      <c r="A25" s="26" t="s">
        <v>248</v>
      </c>
      <c r="B25" s="26"/>
      <c r="C25" s="76">
        <f aca="true" t="shared" si="4" ref="C25:C88">+I25-E25-G25</f>
        <v>20982735</v>
      </c>
      <c r="D25" s="76"/>
      <c r="E25" s="76">
        <f>5954292+35237245</f>
        <v>41191537</v>
      </c>
      <c r="F25" s="76"/>
      <c r="G25" s="76">
        <v>0</v>
      </c>
      <c r="H25" s="76"/>
      <c r="I25" s="76">
        <v>62174272</v>
      </c>
      <c r="J25" s="76"/>
      <c r="K25" s="76">
        <f aca="true" t="shared" si="5" ref="K25:K88">+O25-M25</f>
        <v>7349200</v>
      </c>
      <c r="L25" s="76"/>
      <c r="M25" s="76">
        <v>11313458</v>
      </c>
      <c r="N25" s="76"/>
      <c r="O25" s="76">
        <v>18662658</v>
      </c>
      <c r="P25" s="76"/>
      <c r="Q25" s="76">
        <v>31269287</v>
      </c>
      <c r="R25" s="76"/>
      <c r="S25" s="19">
        <f aca="true" t="shared" si="6" ref="S25:S88">W25-U25-Q25</f>
        <v>8693439</v>
      </c>
      <c r="T25" s="76"/>
      <c r="U25" s="76">
        <v>3548888</v>
      </c>
      <c r="V25" s="76"/>
      <c r="W25" s="76">
        <v>43511614</v>
      </c>
      <c r="X25" s="77"/>
      <c r="Y25" s="77">
        <f aca="true" t="shared" si="7" ref="Y25:Y88">I25-O25-W25</f>
        <v>0</v>
      </c>
    </row>
    <row r="26" spans="1:25" s="78" customFormat="1" ht="12.75">
      <c r="A26" s="75" t="s">
        <v>25</v>
      </c>
      <c r="B26" s="75"/>
      <c r="C26" s="76">
        <f t="shared" si="4"/>
        <v>758688</v>
      </c>
      <c r="D26" s="76"/>
      <c r="E26" s="76">
        <v>609851</v>
      </c>
      <c r="F26" s="76"/>
      <c r="G26" s="76">
        <v>0</v>
      </c>
      <c r="H26" s="76"/>
      <c r="I26" s="76">
        <v>1368539</v>
      </c>
      <c r="J26" s="76"/>
      <c r="K26" s="76">
        <f t="shared" si="5"/>
        <v>503298</v>
      </c>
      <c r="L26" s="76"/>
      <c r="M26" s="76">
        <v>367411</v>
      </c>
      <c r="N26" s="76"/>
      <c r="O26" s="76">
        <v>870709</v>
      </c>
      <c r="P26" s="76"/>
      <c r="Q26" s="76">
        <v>409443</v>
      </c>
      <c r="R26" s="76"/>
      <c r="S26" s="19">
        <f t="shared" si="6"/>
        <v>34255</v>
      </c>
      <c r="T26" s="76"/>
      <c r="U26" s="76">
        <v>54132</v>
      </c>
      <c r="V26" s="76"/>
      <c r="W26" s="76">
        <v>497830</v>
      </c>
      <c r="X26" s="77"/>
      <c r="Y26" s="77">
        <f t="shared" si="7"/>
        <v>0</v>
      </c>
    </row>
    <row r="27" spans="1:25" ht="12.75">
      <c r="A27" s="26" t="s">
        <v>26</v>
      </c>
      <c r="B27" s="26"/>
      <c r="C27" s="76">
        <f>+I27-E27-G27</f>
        <v>24953318</v>
      </c>
      <c r="D27" s="76"/>
      <c r="E27" s="76">
        <v>82214982</v>
      </c>
      <c r="F27" s="76"/>
      <c r="G27" s="76">
        <v>0</v>
      </c>
      <c r="H27" s="76"/>
      <c r="I27" s="76">
        <v>107168300</v>
      </c>
      <c r="J27" s="76"/>
      <c r="K27" s="76">
        <f>+O27-M27</f>
        <v>12732839</v>
      </c>
      <c r="L27" s="76"/>
      <c r="M27" s="76">
        <v>4601831</v>
      </c>
      <c r="N27" s="76"/>
      <c r="O27" s="76">
        <v>17334670</v>
      </c>
      <c r="P27" s="76"/>
      <c r="Q27" s="76">
        <v>73167982</v>
      </c>
      <c r="R27" s="76"/>
      <c r="S27" s="19">
        <f>W27-U27-Q27</f>
        <v>13789590</v>
      </c>
      <c r="T27" s="76"/>
      <c r="U27" s="76">
        <v>2876058</v>
      </c>
      <c r="V27" s="76"/>
      <c r="W27" s="76">
        <v>89833630</v>
      </c>
      <c r="X27" s="77"/>
      <c r="Y27" s="77">
        <f>I27-O27-W27</f>
        <v>0</v>
      </c>
    </row>
    <row r="28" spans="1:25" ht="12.75">
      <c r="A28" s="26" t="s">
        <v>27</v>
      </c>
      <c r="B28" s="26"/>
      <c r="C28" s="76">
        <f>+I28-E28-G28</f>
        <v>35313783</v>
      </c>
      <c r="D28" s="76"/>
      <c r="E28" s="76">
        <f>1639047+41087212</f>
        <v>42726259</v>
      </c>
      <c r="F28" s="76"/>
      <c r="G28" s="76">
        <v>0</v>
      </c>
      <c r="H28" s="76"/>
      <c r="I28" s="76">
        <v>78040042</v>
      </c>
      <c r="J28" s="76"/>
      <c r="K28" s="76">
        <f>+O28-M28</f>
        <v>8499023</v>
      </c>
      <c r="L28" s="76"/>
      <c r="M28" s="76">
        <v>4563325</v>
      </c>
      <c r="N28" s="76"/>
      <c r="O28" s="76">
        <v>13062348</v>
      </c>
      <c r="P28" s="76"/>
      <c r="Q28" s="76">
        <v>40020541</v>
      </c>
      <c r="R28" s="76"/>
      <c r="S28" s="19">
        <f>W28-U28-Q28</f>
        <v>18207735</v>
      </c>
      <c r="T28" s="76"/>
      <c r="U28" s="76">
        <v>6749418</v>
      </c>
      <c r="V28" s="76"/>
      <c r="W28" s="76">
        <v>64977694</v>
      </c>
      <c r="X28" s="77"/>
      <c r="Y28" s="77">
        <f>I28-O28-W28</f>
        <v>0</v>
      </c>
    </row>
    <row r="29" spans="1:25" ht="12.75">
      <c r="A29" s="26" t="s">
        <v>28</v>
      </c>
      <c r="B29" s="26"/>
      <c r="C29" s="76">
        <f t="shared" si="4"/>
        <v>97223506</v>
      </c>
      <c r="D29" s="76"/>
      <c r="E29" s="76">
        <f>27578544+71350807</f>
        <v>98929351</v>
      </c>
      <c r="F29" s="76"/>
      <c r="G29" s="76">
        <v>0</v>
      </c>
      <c r="H29" s="76"/>
      <c r="I29" s="76">
        <v>196152857</v>
      </c>
      <c r="J29" s="76"/>
      <c r="K29" s="76">
        <f t="shared" si="5"/>
        <v>22427197</v>
      </c>
      <c r="L29" s="76"/>
      <c r="M29" s="76">
        <v>31398371</v>
      </c>
      <c r="N29" s="76"/>
      <c r="O29" s="76">
        <v>53825568</v>
      </c>
      <c r="P29" s="76"/>
      <c r="Q29" s="76">
        <v>79611457</v>
      </c>
      <c r="R29" s="76"/>
      <c r="S29" s="19">
        <f t="shared" si="6"/>
        <v>48722393</v>
      </c>
      <c r="T29" s="76"/>
      <c r="U29" s="76">
        <v>13993439</v>
      </c>
      <c r="V29" s="76"/>
      <c r="W29" s="76">
        <v>142327289</v>
      </c>
      <c r="X29" s="77"/>
      <c r="Y29" s="77">
        <f t="shared" si="7"/>
        <v>0</v>
      </c>
    </row>
    <row r="30" spans="1:25" ht="12.75">
      <c r="A30" s="26" t="s">
        <v>29</v>
      </c>
      <c r="B30" s="26"/>
      <c r="C30" s="76">
        <f t="shared" si="4"/>
        <v>43814963</v>
      </c>
      <c r="D30" s="76"/>
      <c r="E30" s="76">
        <f>53917424</f>
        <v>53917424</v>
      </c>
      <c r="F30" s="76"/>
      <c r="G30" s="76">
        <v>0</v>
      </c>
      <c r="H30" s="76"/>
      <c r="I30" s="76">
        <v>97732387</v>
      </c>
      <c r="J30" s="76"/>
      <c r="K30" s="76">
        <f t="shared" si="5"/>
        <v>18276915</v>
      </c>
      <c r="L30" s="76"/>
      <c r="M30" s="76">
        <v>11434227</v>
      </c>
      <c r="N30" s="76"/>
      <c r="O30" s="76">
        <v>29711142</v>
      </c>
      <c r="P30" s="76"/>
      <c r="Q30" s="76">
        <v>42596176</v>
      </c>
      <c r="R30" s="76"/>
      <c r="S30" s="19">
        <f t="shared" si="6"/>
        <v>15829803</v>
      </c>
      <c r="T30" s="76"/>
      <c r="U30" s="76">
        <v>9595266</v>
      </c>
      <c r="V30" s="76"/>
      <c r="W30" s="76">
        <v>68021245</v>
      </c>
      <c r="X30" s="77"/>
      <c r="Y30" s="77">
        <f t="shared" si="7"/>
        <v>0</v>
      </c>
    </row>
    <row r="31" spans="1:25" ht="12.75">
      <c r="A31" s="26" t="s">
        <v>30</v>
      </c>
      <c r="B31" s="26"/>
      <c r="C31" s="76">
        <f t="shared" si="4"/>
        <v>66324632</v>
      </c>
      <c r="D31" s="76"/>
      <c r="E31" s="76">
        <f>6754679+155792567</f>
        <v>162547246</v>
      </c>
      <c r="F31" s="76"/>
      <c r="G31" s="76">
        <v>0</v>
      </c>
      <c r="H31" s="76"/>
      <c r="I31" s="76">
        <v>228871878</v>
      </c>
      <c r="J31" s="76"/>
      <c r="K31" s="76">
        <f t="shared" si="5"/>
        <v>22088299</v>
      </c>
      <c r="L31" s="76"/>
      <c r="M31" s="76">
        <v>26133871</v>
      </c>
      <c r="N31" s="76"/>
      <c r="O31" s="76">
        <v>48222170</v>
      </c>
      <c r="P31" s="76"/>
      <c r="Q31" s="76">
        <v>139467457</v>
      </c>
      <c r="R31" s="76"/>
      <c r="S31" s="19">
        <f t="shared" si="6"/>
        <v>29738309</v>
      </c>
      <c r="T31" s="76"/>
      <c r="U31" s="76">
        <v>11443942</v>
      </c>
      <c r="V31" s="76"/>
      <c r="W31" s="76">
        <v>180649708</v>
      </c>
      <c r="X31" s="77"/>
      <c r="Y31" s="77">
        <f t="shared" si="7"/>
        <v>0</v>
      </c>
    </row>
    <row r="32" spans="1:25" ht="12.75" hidden="1">
      <c r="A32" s="26" t="s">
        <v>31</v>
      </c>
      <c r="B32" s="26"/>
      <c r="C32" s="76">
        <f t="shared" si="4"/>
        <v>0</v>
      </c>
      <c r="D32" s="76"/>
      <c r="E32" s="76">
        <v>0</v>
      </c>
      <c r="F32" s="76"/>
      <c r="G32" s="76">
        <v>0</v>
      </c>
      <c r="H32" s="76"/>
      <c r="I32" s="76">
        <v>0</v>
      </c>
      <c r="J32" s="76"/>
      <c r="K32" s="76">
        <f t="shared" si="5"/>
        <v>0</v>
      </c>
      <c r="L32" s="76"/>
      <c r="M32" s="76">
        <v>0</v>
      </c>
      <c r="N32" s="76"/>
      <c r="O32" s="76">
        <v>0</v>
      </c>
      <c r="P32" s="76"/>
      <c r="Q32" s="76">
        <v>0</v>
      </c>
      <c r="R32" s="76"/>
      <c r="S32" s="19">
        <f t="shared" si="6"/>
        <v>0</v>
      </c>
      <c r="T32" s="76"/>
      <c r="U32" s="76">
        <v>0</v>
      </c>
      <c r="V32" s="76"/>
      <c r="W32" s="76">
        <v>0</v>
      </c>
      <c r="X32" s="77"/>
      <c r="Y32" s="77">
        <f t="shared" si="7"/>
        <v>0</v>
      </c>
    </row>
    <row r="33" spans="1:25" s="78" customFormat="1" ht="12.75">
      <c r="A33" s="75" t="s">
        <v>32</v>
      </c>
      <c r="B33" s="75"/>
      <c r="C33" s="76">
        <f t="shared" si="4"/>
        <v>923551</v>
      </c>
      <c r="D33" s="76"/>
      <c r="E33" s="76">
        <f>69017+360517</f>
        <v>429534</v>
      </c>
      <c r="F33" s="76"/>
      <c r="G33" s="76">
        <v>0</v>
      </c>
      <c r="H33" s="76"/>
      <c r="I33" s="76">
        <v>1353085</v>
      </c>
      <c r="J33" s="76"/>
      <c r="K33" s="76">
        <f t="shared" si="5"/>
        <v>421406</v>
      </c>
      <c r="L33" s="76"/>
      <c r="M33" s="76">
        <v>168323</v>
      </c>
      <c r="N33" s="76"/>
      <c r="O33" s="76">
        <v>589729</v>
      </c>
      <c r="P33" s="76"/>
      <c r="Q33" s="76">
        <v>308586</v>
      </c>
      <c r="R33" s="76"/>
      <c r="S33" s="19">
        <f t="shared" si="6"/>
        <v>333381</v>
      </c>
      <c r="T33" s="76"/>
      <c r="U33" s="76">
        <v>121389</v>
      </c>
      <c r="V33" s="76"/>
      <c r="W33" s="76">
        <v>763356</v>
      </c>
      <c r="X33" s="77"/>
      <c r="Y33" s="77">
        <f t="shared" si="7"/>
        <v>0</v>
      </c>
    </row>
    <row r="34" spans="1:25" ht="12.75">
      <c r="A34" s="26" t="s">
        <v>33</v>
      </c>
      <c r="B34" s="26"/>
      <c r="C34" s="76">
        <f t="shared" si="4"/>
        <v>30759757</v>
      </c>
      <c r="D34" s="76"/>
      <c r="E34" s="76">
        <v>21055764</v>
      </c>
      <c r="F34" s="76"/>
      <c r="G34" s="76">
        <v>0</v>
      </c>
      <c r="H34" s="76"/>
      <c r="I34" s="76">
        <v>51815521</v>
      </c>
      <c r="J34" s="76"/>
      <c r="K34" s="76">
        <f t="shared" si="5"/>
        <v>10435584</v>
      </c>
      <c r="L34" s="76"/>
      <c r="M34" s="76">
        <v>2178388</v>
      </c>
      <c r="N34" s="76"/>
      <c r="O34" s="76">
        <v>12613972</v>
      </c>
      <c r="P34" s="76"/>
      <c r="Q34" s="76">
        <v>20416601</v>
      </c>
      <c r="R34" s="76"/>
      <c r="S34" s="19">
        <f t="shared" si="6"/>
        <v>16532833</v>
      </c>
      <c r="T34" s="76"/>
      <c r="U34" s="76">
        <v>2252115</v>
      </c>
      <c r="V34" s="76"/>
      <c r="W34" s="76">
        <v>39201549</v>
      </c>
      <c r="X34" s="77"/>
      <c r="Y34" s="77">
        <f t="shared" si="7"/>
        <v>0</v>
      </c>
    </row>
    <row r="35" spans="1:25" ht="12.75">
      <c r="A35" s="26" t="s">
        <v>34</v>
      </c>
      <c r="B35" s="26"/>
      <c r="C35" s="76">
        <f t="shared" si="4"/>
        <v>14164317</v>
      </c>
      <c r="D35" s="76"/>
      <c r="E35" s="76">
        <f>488565+8833601</f>
        <v>9322166</v>
      </c>
      <c r="F35" s="76"/>
      <c r="G35" s="76">
        <v>0</v>
      </c>
      <c r="H35" s="76"/>
      <c r="I35" s="76">
        <v>23486483</v>
      </c>
      <c r="J35" s="76"/>
      <c r="K35" s="76">
        <f t="shared" si="5"/>
        <v>4537494</v>
      </c>
      <c r="L35" s="76"/>
      <c r="M35" s="76">
        <v>1384955</v>
      </c>
      <c r="N35" s="76"/>
      <c r="O35" s="76">
        <v>5922449</v>
      </c>
      <c r="P35" s="76"/>
      <c r="Q35" s="76">
        <v>85311774</v>
      </c>
      <c r="R35" s="76"/>
      <c r="S35" s="19">
        <f t="shared" si="6"/>
        <v>-68822939</v>
      </c>
      <c r="T35" s="76"/>
      <c r="U35" s="76">
        <v>1075199</v>
      </c>
      <c r="V35" s="76"/>
      <c r="W35" s="76">
        <v>17564034</v>
      </c>
      <c r="X35" s="77"/>
      <c r="Y35" s="77">
        <f t="shared" si="7"/>
        <v>0</v>
      </c>
    </row>
    <row r="36" spans="1:25" ht="12.75">
      <c r="A36" s="26" t="s">
        <v>35</v>
      </c>
      <c r="B36" s="26"/>
      <c r="C36" s="76">
        <f t="shared" si="4"/>
        <v>62436739</v>
      </c>
      <c r="D36" s="76"/>
      <c r="E36" s="76">
        <f>95717964+24395442</f>
        <v>120113406</v>
      </c>
      <c r="F36" s="76"/>
      <c r="G36" s="76">
        <v>0</v>
      </c>
      <c r="H36" s="76"/>
      <c r="I36" s="76">
        <v>182550145</v>
      </c>
      <c r="J36" s="76"/>
      <c r="K36" s="76">
        <f t="shared" si="5"/>
        <v>27820252</v>
      </c>
      <c r="L36" s="76"/>
      <c r="M36" s="76">
        <v>7121310</v>
      </c>
      <c r="N36" s="76"/>
      <c r="O36" s="76">
        <v>34941562</v>
      </c>
      <c r="P36" s="76"/>
      <c r="Q36" s="76">
        <v>117278406</v>
      </c>
      <c r="R36" s="76"/>
      <c r="S36" s="19">
        <f t="shared" si="6"/>
        <v>24825078</v>
      </c>
      <c r="T36" s="76"/>
      <c r="U36" s="76">
        <v>5505099</v>
      </c>
      <c r="V36" s="76"/>
      <c r="W36" s="76">
        <v>147608583</v>
      </c>
      <c r="X36" s="77"/>
      <c r="Y36" s="77">
        <f t="shared" si="7"/>
        <v>0</v>
      </c>
    </row>
    <row r="37" spans="1:25" ht="12.75">
      <c r="A37" s="26" t="s">
        <v>194</v>
      </c>
      <c r="B37" s="26"/>
      <c r="C37" s="76">
        <f t="shared" si="4"/>
        <v>70532869</v>
      </c>
      <c r="D37" s="76"/>
      <c r="E37" s="76">
        <f>31656094+135710308</f>
        <v>167366402</v>
      </c>
      <c r="F37" s="76"/>
      <c r="G37" s="76">
        <v>0</v>
      </c>
      <c r="H37" s="76"/>
      <c r="I37" s="76">
        <v>237899271</v>
      </c>
      <c r="J37" s="76"/>
      <c r="K37" s="76">
        <f t="shared" si="5"/>
        <v>31534553</v>
      </c>
      <c r="L37" s="76"/>
      <c r="M37" s="76">
        <v>21990367</v>
      </c>
      <c r="N37" s="76"/>
      <c r="O37" s="76">
        <v>53524920</v>
      </c>
      <c r="P37" s="76"/>
      <c r="Q37" s="76">
        <v>145643988</v>
      </c>
      <c r="R37" s="76"/>
      <c r="S37" s="19">
        <f t="shared" si="6"/>
        <v>26923071</v>
      </c>
      <c r="T37" s="76"/>
      <c r="U37" s="76">
        <v>11807292</v>
      </c>
      <c r="V37" s="76"/>
      <c r="W37" s="76">
        <v>184374351</v>
      </c>
      <c r="X37" s="77"/>
      <c r="Y37" s="77">
        <f t="shared" si="7"/>
        <v>0</v>
      </c>
    </row>
    <row r="38" spans="1:25" ht="12.75">
      <c r="A38" s="26" t="s">
        <v>36</v>
      </c>
      <c r="B38" s="26"/>
      <c r="C38" s="76">
        <f t="shared" si="4"/>
        <v>28750814</v>
      </c>
      <c r="D38" s="76"/>
      <c r="E38" s="76">
        <f>22298249+56122757</f>
        <v>78421006</v>
      </c>
      <c r="F38" s="76"/>
      <c r="G38" s="76">
        <v>0</v>
      </c>
      <c r="H38" s="76"/>
      <c r="I38" s="76">
        <v>107171820</v>
      </c>
      <c r="J38" s="76"/>
      <c r="K38" s="76">
        <f t="shared" si="5"/>
        <v>10756241</v>
      </c>
      <c r="L38" s="76"/>
      <c r="M38" s="76">
        <v>11363985</v>
      </c>
      <c r="N38" s="76"/>
      <c r="O38" s="76">
        <v>22120226</v>
      </c>
      <c r="P38" s="76"/>
      <c r="Q38" s="76">
        <v>66964589</v>
      </c>
      <c r="R38" s="76"/>
      <c r="S38" s="19">
        <f t="shared" si="6"/>
        <v>16172735</v>
      </c>
      <c r="T38" s="76"/>
      <c r="U38" s="76">
        <v>1914270</v>
      </c>
      <c r="V38" s="76"/>
      <c r="W38" s="76">
        <v>85051594</v>
      </c>
      <c r="X38" s="77"/>
      <c r="Y38" s="77">
        <f t="shared" si="7"/>
        <v>0</v>
      </c>
    </row>
    <row r="39" spans="1:25" ht="12.75">
      <c r="A39" s="26" t="s">
        <v>37</v>
      </c>
      <c r="B39" s="26"/>
      <c r="C39" s="76">
        <f t="shared" si="4"/>
        <v>614149</v>
      </c>
      <c r="D39" s="76"/>
      <c r="E39" s="76">
        <f>109771+558622</f>
        <v>668393</v>
      </c>
      <c r="F39" s="76"/>
      <c r="G39" s="76">
        <v>0</v>
      </c>
      <c r="H39" s="76"/>
      <c r="I39" s="76">
        <v>1282542</v>
      </c>
      <c r="J39" s="76"/>
      <c r="K39" s="76">
        <f t="shared" si="5"/>
        <v>321475</v>
      </c>
      <c r="L39" s="76"/>
      <c r="M39" s="76">
        <v>184523</v>
      </c>
      <c r="N39" s="76"/>
      <c r="O39" s="76">
        <v>505998</v>
      </c>
      <c r="P39" s="76"/>
      <c r="Q39" s="76">
        <v>557463</v>
      </c>
      <c r="R39" s="76"/>
      <c r="S39" s="19">
        <f t="shared" si="6"/>
        <v>206834</v>
      </c>
      <c r="T39" s="76"/>
      <c r="U39" s="76">
        <v>12247</v>
      </c>
      <c r="V39" s="76"/>
      <c r="W39" s="76">
        <v>776544</v>
      </c>
      <c r="X39" s="77"/>
      <c r="Y39" s="77">
        <f t="shared" si="7"/>
        <v>0</v>
      </c>
    </row>
    <row r="40" spans="1:25" ht="12.75">
      <c r="A40" s="26" t="s">
        <v>38</v>
      </c>
      <c r="B40" s="26"/>
      <c r="C40" s="76">
        <f t="shared" si="4"/>
        <v>35172953</v>
      </c>
      <c r="D40" s="76"/>
      <c r="E40" s="76">
        <f>24556652+50436470</f>
        <v>74993122</v>
      </c>
      <c r="F40" s="76"/>
      <c r="G40" s="76">
        <v>0</v>
      </c>
      <c r="H40" s="76"/>
      <c r="I40" s="76">
        <v>110166075</v>
      </c>
      <c r="J40" s="76"/>
      <c r="K40" s="76">
        <f t="shared" si="5"/>
        <v>14860087</v>
      </c>
      <c r="L40" s="76"/>
      <c r="M40" s="76">
        <v>14579522</v>
      </c>
      <c r="N40" s="76"/>
      <c r="O40" s="76">
        <v>29439609</v>
      </c>
      <c r="P40" s="76"/>
      <c r="Q40" s="76">
        <v>64644765</v>
      </c>
      <c r="R40" s="76"/>
      <c r="S40" s="19">
        <f t="shared" si="6"/>
        <v>13034452</v>
      </c>
      <c r="T40" s="76"/>
      <c r="U40" s="76">
        <v>3047249</v>
      </c>
      <c r="V40" s="76"/>
      <c r="W40" s="76">
        <v>80726466</v>
      </c>
      <c r="X40" s="77"/>
      <c r="Y40" s="77">
        <f t="shared" si="7"/>
        <v>0</v>
      </c>
    </row>
    <row r="41" spans="1:25" ht="12.75" hidden="1">
      <c r="A41" s="26" t="s">
        <v>177</v>
      </c>
      <c r="B41" s="26"/>
      <c r="C41" s="76">
        <f t="shared" si="4"/>
        <v>0</v>
      </c>
      <c r="D41" s="76"/>
      <c r="E41" s="76">
        <v>0</v>
      </c>
      <c r="F41" s="76"/>
      <c r="G41" s="76">
        <v>0</v>
      </c>
      <c r="H41" s="76"/>
      <c r="I41" s="76">
        <v>0</v>
      </c>
      <c r="J41" s="76"/>
      <c r="K41" s="76">
        <f t="shared" si="5"/>
        <v>0</v>
      </c>
      <c r="L41" s="76"/>
      <c r="M41" s="76">
        <v>0</v>
      </c>
      <c r="N41" s="76"/>
      <c r="O41" s="76">
        <v>0</v>
      </c>
      <c r="P41" s="76"/>
      <c r="Q41" s="76">
        <v>0</v>
      </c>
      <c r="R41" s="76"/>
      <c r="S41" s="19">
        <f t="shared" si="6"/>
        <v>0</v>
      </c>
      <c r="T41" s="76"/>
      <c r="U41" s="76">
        <v>0</v>
      </c>
      <c r="V41" s="76"/>
      <c r="W41" s="76">
        <v>0</v>
      </c>
      <c r="X41" s="77"/>
      <c r="Y41" s="77">
        <f t="shared" si="7"/>
        <v>0</v>
      </c>
    </row>
    <row r="42" spans="1:25" ht="12.75" hidden="1">
      <c r="A42" s="26" t="s">
        <v>39</v>
      </c>
      <c r="B42" s="26"/>
      <c r="C42" s="76">
        <f t="shared" si="4"/>
        <v>0</v>
      </c>
      <c r="D42" s="76"/>
      <c r="E42" s="76">
        <v>0</v>
      </c>
      <c r="F42" s="76"/>
      <c r="G42" s="76">
        <v>0</v>
      </c>
      <c r="H42" s="76"/>
      <c r="I42" s="76">
        <v>0</v>
      </c>
      <c r="J42" s="76"/>
      <c r="K42" s="76">
        <f t="shared" si="5"/>
        <v>0</v>
      </c>
      <c r="L42" s="76"/>
      <c r="M42" s="76">
        <v>0</v>
      </c>
      <c r="N42" s="76"/>
      <c r="O42" s="76">
        <v>0</v>
      </c>
      <c r="P42" s="76"/>
      <c r="Q42" s="76">
        <v>0</v>
      </c>
      <c r="R42" s="76"/>
      <c r="S42" s="19">
        <f t="shared" si="6"/>
        <v>0</v>
      </c>
      <c r="T42" s="76"/>
      <c r="U42" s="76">
        <v>0</v>
      </c>
      <c r="V42" s="76"/>
      <c r="W42" s="76">
        <v>0</v>
      </c>
      <c r="X42" s="77"/>
      <c r="Y42" s="77">
        <f t="shared" si="7"/>
        <v>0</v>
      </c>
    </row>
    <row r="43" spans="1:25" ht="12.75">
      <c r="A43" s="26" t="s">
        <v>40</v>
      </c>
      <c r="B43" s="26"/>
      <c r="C43" s="76">
        <f t="shared" si="4"/>
        <v>26571703</v>
      </c>
      <c r="D43" s="76"/>
      <c r="E43" s="76">
        <f>35166522</f>
        <v>35166522</v>
      </c>
      <c r="F43" s="76"/>
      <c r="G43" s="76">
        <v>0</v>
      </c>
      <c r="H43" s="76"/>
      <c r="I43" s="76">
        <v>61738225</v>
      </c>
      <c r="J43" s="76"/>
      <c r="K43" s="76">
        <f t="shared" si="5"/>
        <v>13816333</v>
      </c>
      <c r="L43" s="76"/>
      <c r="M43" s="76">
        <v>4358907</v>
      </c>
      <c r="N43" s="76"/>
      <c r="O43" s="76">
        <v>18175240</v>
      </c>
      <c r="P43" s="76"/>
      <c r="Q43" s="76">
        <v>28202857</v>
      </c>
      <c r="R43" s="76"/>
      <c r="S43" s="19">
        <f t="shared" si="6"/>
        <v>12141824</v>
      </c>
      <c r="T43" s="76"/>
      <c r="U43" s="76">
        <v>3218304</v>
      </c>
      <c r="V43" s="76"/>
      <c r="W43" s="76">
        <v>43562985</v>
      </c>
      <c r="X43" s="77"/>
      <c r="Y43" s="77">
        <f t="shared" si="7"/>
        <v>0</v>
      </c>
    </row>
    <row r="44" spans="1:25" ht="12.75" hidden="1">
      <c r="A44" s="26" t="s">
        <v>41</v>
      </c>
      <c r="B44" s="26"/>
      <c r="C44" s="76">
        <f t="shared" si="4"/>
        <v>0</v>
      </c>
      <c r="D44" s="76"/>
      <c r="E44" s="76">
        <v>0</v>
      </c>
      <c r="F44" s="76"/>
      <c r="G44" s="76">
        <v>0</v>
      </c>
      <c r="H44" s="76"/>
      <c r="I44" s="76">
        <v>0</v>
      </c>
      <c r="J44" s="76"/>
      <c r="K44" s="76">
        <f t="shared" si="5"/>
        <v>0</v>
      </c>
      <c r="L44" s="76"/>
      <c r="M44" s="76">
        <v>0</v>
      </c>
      <c r="N44" s="76"/>
      <c r="O44" s="76">
        <v>0</v>
      </c>
      <c r="P44" s="76"/>
      <c r="Q44" s="76">
        <v>0</v>
      </c>
      <c r="R44" s="76"/>
      <c r="S44" s="19">
        <f t="shared" si="6"/>
        <v>0</v>
      </c>
      <c r="T44" s="76"/>
      <c r="U44" s="76">
        <v>0</v>
      </c>
      <c r="V44" s="76"/>
      <c r="W44" s="76">
        <v>0</v>
      </c>
      <c r="X44" s="77"/>
      <c r="Y44" s="77">
        <f t="shared" si="7"/>
        <v>0</v>
      </c>
    </row>
    <row r="45" spans="1:25" ht="12.75">
      <c r="A45" s="26" t="s">
        <v>42</v>
      </c>
      <c r="B45" s="26"/>
      <c r="C45" s="76">
        <f t="shared" si="4"/>
        <v>16478165</v>
      </c>
      <c r="D45" s="76"/>
      <c r="E45" s="76">
        <f>583567+4491907</f>
        <v>5075474</v>
      </c>
      <c r="F45" s="76"/>
      <c r="G45" s="76">
        <v>0</v>
      </c>
      <c r="H45" s="76"/>
      <c r="I45" s="76">
        <v>21553639</v>
      </c>
      <c r="J45" s="76"/>
      <c r="K45" s="76">
        <f t="shared" si="5"/>
        <v>5252188</v>
      </c>
      <c r="L45" s="76"/>
      <c r="M45" s="76">
        <v>1823264</v>
      </c>
      <c r="N45" s="76"/>
      <c r="O45" s="76">
        <v>7075452</v>
      </c>
      <c r="P45" s="76"/>
      <c r="Q45" s="76">
        <v>4143066</v>
      </c>
      <c r="R45" s="76"/>
      <c r="S45" s="19">
        <f t="shared" si="6"/>
        <v>8678860</v>
      </c>
      <c r="T45" s="76"/>
      <c r="U45" s="76">
        <v>1656261</v>
      </c>
      <c r="V45" s="76"/>
      <c r="W45" s="76">
        <v>14478187</v>
      </c>
      <c r="X45" s="77"/>
      <c r="Y45" s="77">
        <f t="shared" si="7"/>
        <v>0</v>
      </c>
    </row>
    <row r="46" spans="1:25" ht="12.75">
      <c r="A46" s="26" t="s">
        <v>43</v>
      </c>
      <c r="B46" s="26"/>
      <c r="C46" s="76">
        <f t="shared" si="4"/>
        <v>20667080</v>
      </c>
      <c r="D46" s="76"/>
      <c r="E46" s="76">
        <f>23843225</f>
        <v>23843225</v>
      </c>
      <c r="F46" s="76"/>
      <c r="G46" s="76">
        <v>0</v>
      </c>
      <c r="H46" s="76"/>
      <c r="I46" s="76">
        <v>44510305</v>
      </c>
      <c r="J46" s="76"/>
      <c r="K46" s="76">
        <f t="shared" si="5"/>
        <v>8187532</v>
      </c>
      <c r="L46" s="76"/>
      <c r="M46" s="76">
        <v>5264847</v>
      </c>
      <c r="N46" s="76"/>
      <c r="O46" s="76">
        <v>13452379</v>
      </c>
      <c r="P46" s="76"/>
      <c r="Q46" s="76">
        <v>18521225</v>
      </c>
      <c r="R46" s="76"/>
      <c r="S46" s="19">
        <f t="shared" si="6"/>
        <v>10769848</v>
      </c>
      <c r="T46" s="76"/>
      <c r="U46" s="76">
        <v>1766853</v>
      </c>
      <c r="V46" s="76"/>
      <c r="W46" s="76">
        <v>31057926</v>
      </c>
      <c r="X46" s="77"/>
      <c r="Y46" s="77">
        <f t="shared" si="7"/>
        <v>0</v>
      </c>
    </row>
    <row r="47" spans="1:25" ht="12.75">
      <c r="A47" s="26" t="s">
        <v>44</v>
      </c>
      <c r="B47" s="26"/>
      <c r="C47" s="76">
        <f t="shared" si="4"/>
        <v>21041407</v>
      </c>
      <c r="D47" s="76"/>
      <c r="E47" s="76">
        <f>1370253+51321237</f>
        <v>52691490</v>
      </c>
      <c r="F47" s="76"/>
      <c r="G47" s="76">
        <v>0</v>
      </c>
      <c r="H47" s="76"/>
      <c r="I47" s="76">
        <v>73732897</v>
      </c>
      <c r="J47" s="76"/>
      <c r="K47" s="76">
        <f t="shared" si="5"/>
        <v>4477216</v>
      </c>
      <c r="L47" s="76"/>
      <c r="M47" s="76">
        <v>7778369</v>
      </c>
      <c r="N47" s="76"/>
      <c r="O47" s="76">
        <v>12255585</v>
      </c>
      <c r="P47" s="76"/>
      <c r="Q47" s="76">
        <v>44503121</v>
      </c>
      <c r="R47" s="76"/>
      <c r="S47" s="19">
        <f t="shared" si="6"/>
        <v>596309</v>
      </c>
      <c r="T47" s="76"/>
      <c r="U47" s="76">
        <v>16377882</v>
      </c>
      <c r="V47" s="76"/>
      <c r="W47" s="76">
        <v>61477312</v>
      </c>
      <c r="X47" s="77"/>
      <c r="Y47" s="77">
        <f t="shared" si="7"/>
        <v>0</v>
      </c>
    </row>
    <row r="48" spans="1:25" ht="12.75" hidden="1">
      <c r="A48" s="26" t="s">
        <v>45</v>
      </c>
      <c r="B48" s="26"/>
      <c r="C48" s="76">
        <f t="shared" si="4"/>
        <v>0</v>
      </c>
      <c r="D48" s="76"/>
      <c r="E48" s="76">
        <v>0</v>
      </c>
      <c r="F48" s="76"/>
      <c r="G48" s="76">
        <v>0</v>
      </c>
      <c r="H48" s="76"/>
      <c r="I48" s="76">
        <v>0</v>
      </c>
      <c r="J48" s="76"/>
      <c r="K48" s="76">
        <f t="shared" si="5"/>
        <v>0</v>
      </c>
      <c r="L48" s="76"/>
      <c r="M48" s="76">
        <v>0</v>
      </c>
      <c r="N48" s="76"/>
      <c r="O48" s="76">
        <v>0</v>
      </c>
      <c r="P48" s="76"/>
      <c r="Q48" s="76">
        <v>0</v>
      </c>
      <c r="R48" s="76"/>
      <c r="S48" s="19">
        <f t="shared" si="6"/>
        <v>0</v>
      </c>
      <c r="T48" s="76"/>
      <c r="U48" s="76">
        <v>0</v>
      </c>
      <c r="V48" s="76"/>
      <c r="W48" s="76">
        <v>0</v>
      </c>
      <c r="X48" s="77"/>
      <c r="Y48" s="77">
        <f t="shared" si="7"/>
        <v>0</v>
      </c>
    </row>
    <row r="49" spans="1:25" ht="12.75">
      <c r="A49" s="26" t="s">
        <v>46</v>
      </c>
      <c r="B49" s="26"/>
      <c r="C49" s="76">
        <f t="shared" si="4"/>
        <v>33080258</v>
      </c>
      <c r="D49" s="76"/>
      <c r="E49" s="76">
        <f>85266652+5378874</f>
        <v>90645526</v>
      </c>
      <c r="F49" s="76"/>
      <c r="G49" s="76">
        <v>0</v>
      </c>
      <c r="H49" s="76"/>
      <c r="I49" s="76">
        <v>123725784</v>
      </c>
      <c r="J49" s="76"/>
      <c r="K49" s="76">
        <f t="shared" si="5"/>
        <v>22663759</v>
      </c>
      <c r="L49" s="76"/>
      <c r="M49" s="76">
        <v>28919265</v>
      </c>
      <c r="N49" s="76"/>
      <c r="O49" s="76">
        <v>51583024</v>
      </c>
      <c r="P49" s="76"/>
      <c r="Q49" s="76">
        <v>61306492</v>
      </c>
      <c r="R49" s="76"/>
      <c r="S49" s="19">
        <f t="shared" si="6"/>
        <v>16440351</v>
      </c>
      <c r="T49" s="76"/>
      <c r="U49" s="76">
        <v>-5604083</v>
      </c>
      <c r="V49" s="76"/>
      <c r="W49" s="76">
        <v>72142760</v>
      </c>
      <c r="X49" s="77"/>
      <c r="Y49" s="77">
        <f t="shared" si="7"/>
        <v>0</v>
      </c>
    </row>
    <row r="50" spans="1:25" ht="12.75">
      <c r="A50" s="26" t="s">
        <v>47</v>
      </c>
      <c r="B50" s="26"/>
      <c r="C50" s="76">
        <f t="shared" si="4"/>
        <v>29814275</v>
      </c>
      <c r="D50" s="76"/>
      <c r="E50" s="76">
        <f>930259+25109754</f>
        <v>26040013</v>
      </c>
      <c r="F50" s="76"/>
      <c r="G50" s="76">
        <v>0</v>
      </c>
      <c r="H50" s="76"/>
      <c r="I50" s="76">
        <v>55854288</v>
      </c>
      <c r="J50" s="76"/>
      <c r="K50" s="76">
        <f t="shared" si="5"/>
        <v>10050149</v>
      </c>
      <c r="L50" s="76"/>
      <c r="M50" s="76">
        <v>11884218</v>
      </c>
      <c r="N50" s="76"/>
      <c r="O50" s="76">
        <v>21934367</v>
      </c>
      <c r="P50" s="76"/>
      <c r="Q50" s="76">
        <v>13947256</v>
      </c>
      <c r="R50" s="76"/>
      <c r="S50" s="19">
        <f t="shared" si="6"/>
        <v>13036753</v>
      </c>
      <c r="T50" s="76"/>
      <c r="U50" s="76">
        <v>6935912</v>
      </c>
      <c r="V50" s="76"/>
      <c r="W50" s="76">
        <v>33919921</v>
      </c>
      <c r="X50" s="77"/>
      <c r="Y50" s="77">
        <f t="shared" si="7"/>
        <v>0</v>
      </c>
    </row>
    <row r="51" spans="1:25" ht="12.75">
      <c r="A51" s="26" t="s">
        <v>48</v>
      </c>
      <c r="B51" s="26"/>
      <c r="C51" s="76">
        <f t="shared" si="4"/>
        <v>163588762</v>
      </c>
      <c r="D51" s="76"/>
      <c r="E51" s="76">
        <f>19316308+165141424</f>
        <v>184457732</v>
      </c>
      <c r="F51" s="76"/>
      <c r="G51" s="76">
        <v>0</v>
      </c>
      <c r="H51" s="76"/>
      <c r="I51" s="76">
        <v>348046494</v>
      </c>
      <c r="J51" s="76"/>
      <c r="K51" s="76">
        <f t="shared" si="5"/>
        <v>64065707</v>
      </c>
      <c r="L51" s="76"/>
      <c r="M51" s="76">
        <v>29543784</v>
      </c>
      <c r="N51" s="76"/>
      <c r="O51" s="76">
        <v>93609491</v>
      </c>
      <c r="P51" s="76"/>
      <c r="Q51" s="76">
        <v>157024824</v>
      </c>
      <c r="R51" s="76"/>
      <c r="S51" s="19">
        <f t="shared" si="6"/>
        <v>804461</v>
      </c>
      <c r="T51" s="76"/>
      <c r="U51" s="76">
        <v>96607718</v>
      </c>
      <c r="V51" s="76"/>
      <c r="W51" s="76">
        <v>254437003</v>
      </c>
      <c r="X51" s="77"/>
      <c r="Y51" s="77">
        <f t="shared" si="7"/>
        <v>0</v>
      </c>
    </row>
    <row r="52" spans="1:25" ht="12.75" hidden="1">
      <c r="A52" s="26" t="s">
        <v>246</v>
      </c>
      <c r="B52" s="26"/>
      <c r="C52" s="76">
        <f t="shared" si="4"/>
        <v>0</v>
      </c>
      <c r="D52" s="76"/>
      <c r="E52" s="76">
        <v>0</v>
      </c>
      <c r="F52" s="76"/>
      <c r="G52" s="76">
        <v>0</v>
      </c>
      <c r="H52" s="76"/>
      <c r="I52" s="76">
        <v>0</v>
      </c>
      <c r="J52" s="76"/>
      <c r="K52" s="76">
        <f t="shared" si="5"/>
        <v>0</v>
      </c>
      <c r="L52" s="76"/>
      <c r="M52" s="76">
        <v>0</v>
      </c>
      <c r="N52" s="76"/>
      <c r="O52" s="76">
        <v>0</v>
      </c>
      <c r="P52" s="76"/>
      <c r="Q52" s="76">
        <v>0</v>
      </c>
      <c r="R52" s="76"/>
      <c r="S52" s="19">
        <f t="shared" si="6"/>
        <v>0</v>
      </c>
      <c r="T52" s="76"/>
      <c r="U52" s="76">
        <v>0</v>
      </c>
      <c r="V52" s="76"/>
      <c r="W52" s="76">
        <v>0</v>
      </c>
      <c r="X52" s="77"/>
      <c r="Y52" s="77">
        <f t="shared" si="7"/>
        <v>0</v>
      </c>
    </row>
    <row r="53" spans="1:25" ht="12.75">
      <c r="A53" s="26" t="s">
        <v>49</v>
      </c>
      <c r="B53" s="26"/>
      <c r="C53" s="76">
        <f t="shared" si="4"/>
        <v>68277514</v>
      </c>
      <c r="D53" s="76"/>
      <c r="E53" s="76">
        <f>17644409</f>
        <v>17644409</v>
      </c>
      <c r="F53" s="76"/>
      <c r="G53" s="76">
        <v>0</v>
      </c>
      <c r="H53" s="76"/>
      <c r="I53" s="76">
        <v>85921923</v>
      </c>
      <c r="J53" s="76"/>
      <c r="K53" s="76">
        <f t="shared" si="5"/>
        <v>28310222</v>
      </c>
      <c r="L53" s="76"/>
      <c r="M53" s="76">
        <v>12586302</v>
      </c>
      <c r="N53" s="76"/>
      <c r="O53" s="76">
        <v>40896524</v>
      </c>
      <c r="P53" s="76"/>
      <c r="Q53" s="76">
        <v>4151963</v>
      </c>
      <c r="R53" s="76"/>
      <c r="S53" s="19">
        <f t="shared" si="6"/>
        <v>28574205</v>
      </c>
      <c r="T53" s="76"/>
      <c r="U53" s="76">
        <v>12299231</v>
      </c>
      <c r="V53" s="76"/>
      <c r="W53" s="76">
        <v>45025399</v>
      </c>
      <c r="X53" s="77"/>
      <c r="Y53" s="77">
        <f t="shared" si="7"/>
        <v>0</v>
      </c>
    </row>
    <row r="54" spans="1:25" ht="12.75">
      <c r="A54" s="26" t="s">
        <v>50</v>
      </c>
      <c r="B54" s="26"/>
      <c r="C54" s="76">
        <f t="shared" si="4"/>
        <v>33808987</v>
      </c>
      <c r="D54" s="76"/>
      <c r="E54" s="76">
        <v>57140779</v>
      </c>
      <c r="F54" s="76"/>
      <c r="G54" s="76">
        <v>0</v>
      </c>
      <c r="H54" s="76"/>
      <c r="I54" s="76">
        <v>90949766</v>
      </c>
      <c r="J54" s="76"/>
      <c r="K54" s="76">
        <f t="shared" si="5"/>
        <v>8135093</v>
      </c>
      <c r="L54" s="76"/>
      <c r="M54" s="76">
        <v>8002334</v>
      </c>
      <c r="N54" s="76"/>
      <c r="O54" s="76">
        <v>16137427</v>
      </c>
      <c r="P54" s="76"/>
      <c r="Q54" s="76">
        <v>52880154</v>
      </c>
      <c r="R54" s="76"/>
      <c r="S54" s="19">
        <f t="shared" si="6"/>
        <v>4045031</v>
      </c>
      <c r="T54" s="76"/>
      <c r="U54" s="76">
        <v>17887154</v>
      </c>
      <c r="V54" s="76"/>
      <c r="W54" s="76">
        <v>74812339</v>
      </c>
      <c r="X54" s="77"/>
      <c r="Y54" s="77">
        <f t="shared" si="7"/>
        <v>0</v>
      </c>
    </row>
    <row r="55" spans="1:25" ht="12.75">
      <c r="A55" s="26" t="s">
        <v>51</v>
      </c>
      <c r="B55" s="26"/>
      <c r="C55" s="76">
        <f t="shared" si="4"/>
        <v>201291082</v>
      </c>
      <c r="D55" s="76"/>
      <c r="E55" s="76">
        <f>41925167+90435532</f>
        <v>132360699</v>
      </c>
      <c r="F55" s="76"/>
      <c r="G55" s="76">
        <v>0</v>
      </c>
      <c r="H55" s="76"/>
      <c r="I55" s="76">
        <v>333651781</v>
      </c>
      <c r="J55" s="76"/>
      <c r="K55" s="76">
        <f t="shared" si="5"/>
        <v>20939525</v>
      </c>
      <c r="L55" s="76"/>
      <c r="M55" s="76">
        <v>35277060</v>
      </c>
      <c r="N55" s="76"/>
      <c r="O55" s="76">
        <v>56216585</v>
      </c>
      <c r="P55" s="76"/>
      <c r="Q55" s="76">
        <v>99865517</v>
      </c>
      <c r="R55" s="76"/>
      <c r="S55" s="19">
        <f t="shared" si="6"/>
        <v>23582364</v>
      </c>
      <c r="T55" s="76"/>
      <c r="U55" s="76">
        <v>153987315</v>
      </c>
      <c r="V55" s="76"/>
      <c r="W55" s="76">
        <v>277435196</v>
      </c>
      <c r="X55" s="77"/>
      <c r="Y55" s="77">
        <f t="shared" si="7"/>
        <v>0</v>
      </c>
    </row>
    <row r="56" spans="1:25" ht="12.75">
      <c r="A56" s="26" t="s">
        <v>195</v>
      </c>
      <c r="B56" s="26"/>
      <c r="C56" s="76">
        <f t="shared" si="4"/>
        <v>369845</v>
      </c>
      <c r="D56" s="76"/>
      <c r="E56" s="76">
        <f>28365+245877</f>
        <v>274242</v>
      </c>
      <c r="F56" s="76"/>
      <c r="G56" s="76">
        <v>0</v>
      </c>
      <c r="H56" s="76"/>
      <c r="I56" s="76">
        <v>644087</v>
      </c>
      <c r="J56" s="76"/>
      <c r="K56" s="76">
        <f t="shared" si="5"/>
        <v>66277</v>
      </c>
      <c r="L56" s="76"/>
      <c r="M56" s="76">
        <v>94774</v>
      </c>
      <c r="N56" s="76"/>
      <c r="O56" s="76">
        <v>161051</v>
      </c>
      <c r="P56" s="76"/>
      <c r="Q56" s="76">
        <v>167654</v>
      </c>
      <c r="R56" s="76"/>
      <c r="S56" s="19">
        <f t="shared" si="6"/>
        <v>18599</v>
      </c>
      <c r="T56" s="76"/>
      <c r="U56" s="76">
        <v>296783</v>
      </c>
      <c r="V56" s="76"/>
      <c r="W56" s="76">
        <v>483036</v>
      </c>
      <c r="X56" s="77"/>
      <c r="Y56" s="77">
        <f t="shared" si="7"/>
        <v>0</v>
      </c>
    </row>
    <row r="57" spans="1:25" ht="12.75" hidden="1">
      <c r="A57" s="26" t="s">
        <v>52</v>
      </c>
      <c r="B57" s="26"/>
      <c r="C57" s="76">
        <f t="shared" si="4"/>
        <v>0</v>
      </c>
      <c r="D57" s="76"/>
      <c r="E57" s="76">
        <v>0</v>
      </c>
      <c r="F57" s="76"/>
      <c r="G57" s="76">
        <v>0</v>
      </c>
      <c r="H57" s="76"/>
      <c r="I57" s="76">
        <v>0</v>
      </c>
      <c r="J57" s="76"/>
      <c r="K57" s="76">
        <f t="shared" si="5"/>
        <v>0</v>
      </c>
      <c r="L57" s="76"/>
      <c r="M57" s="76">
        <v>0</v>
      </c>
      <c r="N57" s="76"/>
      <c r="O57" s="76">
        <v>0</v>
      </c>
      <c r="P57" s="76"/>
      <c r="Q57" s="76">
        <v>0</v>
      </c>
      <c r="R57" s="76"/>
      <c r="S57" s="19">
        <f t="shared" si="6"/>
        <v>0</v>
      </c>
      <c r="T57" s="76"/>
      <c r="U57" s="76">
        <v>0</v>
      </c>
      <c r="V57" s="76"/>
      <c r="W57" s="76">
        <v>0</v>
      </c>
      <c r="X57" s="77"/>
      <c r="Y57" s="77">
        <f t="shared" si="7"/>
        <v>0</v>
      </c>
    </row>
    <row r="58" spans="1:25" ht="12.75">
      <c r="A58" s="26" t="s">
        <v>53</v>
      </c>
      <c r="B58" s="26"/>
      <c r="C58" s="76">
        <f t="shared" si="4"/>
        <v>126941630</v>
      </c>
      <c r="D58" s="76"/>
      <c r="E58" s="76">
        <f>4392441+59186955+24352629+84164316-50816021+2981946</f>
        <v>124262266</v>
      </c>
      <c r="F58" s="76"/>
      <c r="G58" s="76">
        <v>0</v>
      </c>
      <c r="H58" s="76"/>
      <c r="I58" s="76">
        <v>251203896</v>
      </c>
      <c r="J58" s="76"/>
      <c r="K58" s="76">
        <f t="shared" si="5"/>
        <v>57921335</v>
      </c>
      <c r="L58" s="76"/>
      <c r="M58" s="76">
        <f>2266470+536871+459280+22634840+670605</f>
        <v>26568066</v>
      </c>
      <c r="N58" s="76"/>
      <c r="O58" s="76">
        <v>84489401</v>
      </c>
      <c r="P58" s="76"/>
      <c r="Q58" s="76">
        <v>87608563</v>
      </c>
      <c r="R58" s="76"/>
      <c r="S58" s="19">
        <f t="shared" si="6"/>
        <v>66530982</v>
      </c>
      <c r="T58" s="76"/>
      <c r="U58" s="76">
        <v>12574950</v>
      </c>
      <c r="V58" s="76"/>
      <c r="W58" s="76">
        <v>166714495</v>
      </c>
      <c r="X58" s="77"/>
      <c r="Y58" s="77">
        <f t="shared" si="7"/>
        <v>0</v>
      </c>
    </row>
    <row r="59" spans="1:25" ht="12.75">
      <c r="A59" s="26" t="s">
        <v>54</v>
      </c>
      <c r="B59" s="26"/>
      <c r="C59" s="76">
        <f t="shared" si="4"/>
        <v>34660550</v>
      </c>
      <c r="D59" s="76"/>
      <c r="E59" s="76">
        <f>7612103+42501109</f>
        <v>50113212</v>
      </c>
      <c r="F59" s="76"/>
      <c r="G59" s="76">
        <v>0</v>
      </c>
      <c r="H59" s="76"/>
      <c r="I59" s="76">
        <v>84773762</v>
      </c>
      <c r="J59" s="76"/>
      <c r="K59" s="76">
        <f t="shared" si="5"/>
        <v>11204304</v>
      </c>
      <c r="L59" s="76"/>
      <c r="M59" s="76">
        <v>11205602</v>
      </c>
      <c r="N59" s="76"/>
      <c r="O59" s="76">
        <v>22409906</v>
      </c>
      <c r="P59" s="76"/>
      <c r="Q59" s="76">
        <v>39156278</v>
      </c>
      <c r="R59" s="76"/>
      <c r="S59" s="19">
        <f t="shared" si="6"/>
        <v>18559792</v>
      </c>
      <c r="T59" s="76"/>
      <c r="U59" s="76">
        <v>4647786</v>
      </c>
      <c r="V59" s="76"/>
      <c r="W59" s="76">
        <v>62363856</v>
      </c>
      <c r="X59" s="77"/>
      <c r="Y59" s="77">
        <f t="shared" si="7"/>
        <v>0</v>
      </c>
    </row>
    <row r="60" spans="1:25" ht="12.75">
      <c r="A60" s="26" t="s">
        <v>55</v>
      </c>
      <c r="B60" s="26"/>
      <c r="C60" s="76">
        <f t="shared" si="4"/>
        <v>76706508</v>
      </c>
      <c r="D60" s="76"/>
      <c r="E60" s="76">
        <f>3251925+64304258</f>
        <v>67556183</v>
      </c>
      <c r="F60" s="76"/>
      <c r="G60" s="76">
        <v>0</v>
      </c>
      <c r="H60" s="76"/>
      <c r="I60" s="76">
        <v>144262691</v>
      </c>
      <c r="J60" s="76"/>
      <c r="K60" s="76">
        <f t="shared" si="5"/>
        <v>32382286</v>
      </c>
      <c r="L60" s="76"/>
      <c r="M60" s="76">
        <v>18832529</v>
      </c>
      <c r="N60" s="76"/>
      <c r="O60" s="76">
        <v>51214815</v>
      </c>
      <c r="P60" s="76"/>
      <c r="Q60" s="76">
        <v>52579299</v>
      </c>
      <c r="R60" s="76"/>
      <c r="S60" s="19">
        <f t="shared" si="6"/>
        <v>33058654</v>
      </c>
      <c r="T60" s="76"/>
      <c r="U60" s="76">
        <v>7409923</v>
      </c>
      <c r="V60" s="76"/>
      <c r="W60" s="76">
        <v>93047876</v>
      </c>
      <c r="X60" s="77"/>
      <c r="Y60" s="77">
        <f t="shared" si="7"/>
        <v>0</v>
      </c>
    </row>
    <row r="61" spans="1:25" ht="12.75" hidden="1">
      <c r="A61" s="26" t="s">
        <v>180</v>
      </c>
      <c r="B61" s="26"/>
      <c r="C61" s="76">
        <f t="shared" si="4"/>
        <v>0</v>
      </c>
      <c r="D61" s="76"/>
      <c r="E61" s="76">
        <v>0</v>
      </c>
      <c r="F61" s="76"/>
      <c r="G61" s="76">
        <v>0</v>
      </c>
      <c r="H61" s="76"/>
      <c r="I61" s="76">
        <v>0</v>
      </c>
      <c r="J61" s="76"/>
      <c r="K61" s="76">
        <f t="shared" si="5"/>
        <v>0</v>
      </c>
      <c r="L61" s="76"/>
      <c r="M61" s="76">
        <v>0</v>
      </c>
      <c r="N61" s="76"/>
      <c r="O61" s="76">
        <v>0</v>
      </c>
      <c r="P61" s="76"/>
      <c r="Q61" s="76">
        <v>0</v>
      </c>
      <c r="R61" s="76"/>
      <c r="S61" s="19">
        <f t="shared" si="6"/>
        <v>0</v>
      </c>
      <c r="T61" s="76"/>
      <c r="U61" s="76">
        <v>0</v>
      </c>
      <c r="V61" s="76"/>
      <c r="W61" s="76">
        <v>0</v>
      </c>
      <c r="X61" s="77"/>
      <c r="Y61" s="77">
        <f t="shared" si="7"/>
        <v>0</v>
      </c>
    </row>
    <row r="62" spans="1:25" ht="12.75" hidden="1">
      <c r="A62" s="26" t="s">
        <v>56</v>
      </c>
      <c r="B62" s="26"/>
      <c r="C62" s="76">
        <f t="shared" si="4"/>
        <v>0</v>
      </c>
      <c r="D62" s="76"/>
      <c r="E62" s="76">
        <v>0</v>
      </c>
      <c r="F62" s="76"/>
      <c r="G62" s="76">
        <v>0</v>
      </c>
      <c r="H62" s="76"/>
      <c r="I62" s="76">
        <v>0</v>
      </c>
      <c r="J62" s="76"/>
      <c r="K62" s="76">
        <f t="shared" si="5"/>
        <v>0</v>
      </c>
      <c r="L62" s="76"/>
      <c r="M62" s="76">
        <v>0</v>
      </c>
      <c r="N62" s="76"/>
      <c r="O62" s="76">
        <v>0</v>
      </c>
      <c r="P62" s="76"/>
      <c r="Q62" s="76">
        <v>0</v>
      </c>
      <c r="R62" s="76"/>
      <c r="S62" s="19">
        <f t="shared" si="6"/>
        <v>0</v>
      </c>
      <c r="T62" s="76"/>
      <c r="U62" s="76">
        <v>0</v>
      </c>
      <c r="V62" s="76"/>
      <c r="W62" s="76">
        <v>0</v>
      </c>
      <c r="X62" s="77"/>
      <c r="Y62" s="77">
        <f t="shared" si="7"/>
        <v>0</v>
      </c>
    </row>
    <row r="63" spans="1:25" ht="12.75">
      <c r="A63" s="26" t="s">
        <v>57</v>
      </c>
      <c r="B63" s="26"/>
      <c r="C63" s="76">
        <f t="shared" si="4"/>
        <v>68387417</v>
      </c>
      <c r="D63" s="76"/>
      <c r="E63" s="76">
        <f>15815779+63593306</f>
        <v>79409085</v>
      </c>
      <c r="F63" s="76"/>
      <c r="G63" s="76">
        <v>0</v>
      </c>
      <c r="H63" s="76"/>
      <c r="I63" s="76">
        <v>147796502</v>
      </c>
      <c r="J63" s="76"/>
      <c r="K63" s="76">
        <f t="shared" si="5"/>
        <v>16612457</v>
      </c>
      <c r="L63" s="76"/>
      <c r="M63" s="76">
        <v>8248571</v>
      </c>
      <c r="N63" s="76"/>
      <c r="O63" s="76">
        <v>24861028</v>
      </c>
      <c r="P63" s="76"/>
      <c r="Q63" s="76">
        <v>72021370</v>
      </c>
      <c r="R63" s="76"/>
      <c r="S63" s="19">
        <f t="shared" si="6"/>
        <v>32097580</v>
      </c>
      <c r="T63" s="76"/>
      <c r="U63" s="76">
        <v>18816524</v>
      </c>
      <c r="V63" s="76"/>
      <c r="W63" s="76">
        <v>122935474</v>
      </c>
      <c r="X63" s="77"/>
      <c r="Y63" s="77">
        <f t="shared" si="7"/>
        <v>0</v>
      </c>
    </row>
    <row r="64" spans="1:25" ht="12.75">
      <c r="A64" s="26" t="s">
        <v>58</v>
      </c>
      <c r="B64" s="26"/>
      <c r="C64" s="76">
        <f t="shared" si="4"/>
        <v>8292277</v>
      </c>
      <c r="D64" s="76"/>
      <c r="E64" s="76">
        <f>40580+3029242</f>
        <v>3069822</v>
      </c>
      <c r="F64" s="76"/>
      <c r="G64" s="76">
        <v>0</v>
      </c>
      <c r="H64" s="76"/>
      <c r="I64" s="76">
        <v>11362099</v>
      </c>
      <c r="J64" s="76"/>
      <c r="K64" s="76">
        <f t="shared" si="5"/>
        <v>2382503</v>
      </c>
      <c r="L64" s="76"/>
      <c r="M64" s="76">
        <v>489734</v>
      </c>
      <c r="N64" s="76"/>
      <c r="O64" s="76">
        <v>2872237</v>
      </c>
      <c r="P64" s="76"/>
      <c r="Q64" s="76">
        <v>2782367</v>
      </c>
      <c r="R64" s="76"/>
      <c r="S64" s="19">
        <f t="shared" si="6"/>
        <v>114550</v>
      </c>
      <c r="T64" s="76"/>
      <c r="U64" s="76">
        <v>5592945</v>
      </c>
      <c r="V64" s="76"/>
      <c r="W64" s="76">
        <v>8489862</v>
      </c>
      <c r="X64" s="77"/>
      <c r="Y64" s="77">
        <f t="shared" si="7"/>
        <v>0</v>
      </c>
    </row>
    <row r="65" spans="1:25" ht="12.75">
      <c r="A65" s="26" t="s">
        <v>59</v>
      </c>
      <c r="B65" s="26"/>
      <c r="C65" s="76">
        <f t="shared" si="4"/>
        <v>582003718</v>
      </c>
      <c r="D65" s="76"/>
      <c r="E65" s="76">
        <f>341415846</f>
        <v>341415846</v>
      </c>
      <c r="F65" s="76"/>
      <c r="G65" s="76">
        <v>0</v>
      </c>
      <c r="H65" s="76"/>
      <c r="I65" s="76">
        <v>923419564</v>
      </c>
      <c r="J65" s="76"/>
      <c r="K65" s="76">
        <f t="shared" si="5"/>
        <v>174638104</v>
      </c>
      <c r="L65" s="76"/>
      <c r="M65" s="76">
        <v>48014324</v>
      </c>
      <c r="N65" s="76"/>
      <c r="O65" s="76">
        <v>222652428</v>
      </c>
      <c r="P65" s="76"/>
      <c r="Q65" s="76">
        <v>411090737</v>
      </c>
      <c r="R65" s="76"/>
      <c r="S65" s="19">
        <f t="shared" si="6"/>
        <v>107492004</v>
      </c>
      <c r="T65" s="76"/>
      <c r="U65" s="76">
        <v>182184395</v>
      </c>
      <c r="V65" s="76"/>
      <c r="W65" s="76">
        <v>700767136</v>
      </c>
      <c r="X65" s="77"/>
      <c r="Y65" s="77">
        <f t="shared" si="7"/>
        <v>0</v>
      </c>
    </row>
    <row r="66" spans="1:25" ht="12.75" hidden="1">
      <c r="A66" s="26" t="s">
        <v>60</v>
      </c>
      <c r="B66" s="26"/>
      <c r="C66" s="76">
        <f t="shared" si="4"/>
        <v>0</v>
      </c>
      <c r="D66" s="76"/>
      <c r="E66" s="76">
        <v>0</v>
      </c>
      <c r="F66" s="76"/>
      <c r="G66" s="76">
        <v>0</v>
      </c>
      <c r="H66" s="76"/>
      <c r="I66" s="76">
        <v>0</v>
      </c>
      <c r="J66" s="76"/>
      <c r="K66" s="76">
        <f t="shared" si="5"/>
        <v>0</v>
      </c>
      <c r="L66" s="76"/>
      <c r="M66" s="76">
        <v>0</v>
      </c>
      <c r="N66" s="76"/>
      <c r="O66" s="76">
        <v>0</v>
      </c>
      <c r="P66" s="76"/>
      <c r="Q66" s="76">
        <v>0</v>
      </c>
      <c r="R66" s="76"/>
      <c r="S66" s="19">
        <f t="shared" si="6"/>
        <v>0</v>
      </c>
      <c r="T66" s="76"/>
      <c r="U66" s="76">
        <v>0</v>
      </c>
      <c r="V66" s="76"/>
      <c r="W66" s="76">
        <v>0</v>
      </c>
      <c r="X66" s="77"/>
      <c r="Y66" s="77">
        <f t="shared" si="7"/>
        <v>0</v>
      </c>
    </row>
    <row r="67" spans="1:25" ht="12.75">
      <c r="A67" s="26" t="s">
        <v>98</v>
      </c>
      <c r="B67" s="26"/>
      <c r="C67" s="76">
        <f t="shared" si="4"/>
        <v>15121987</v>
      </c>
      <c r="D67" s="76"/>
      <c r="E67" s="76">
        <v>29294660</v>
      </c>
      <c r="F67" s="76"/>
      <c r="G67" s="76">
        <v>0</v>
      </c>
      <c r="H67" s="76"/>
      <c r="I67" s="76">
        <v>44416647</v>
      </c>
      <c r="J67" s="76"/>
      <c r="K67" s="76">
        <f t="shared" si="5"/>
        <v>7333350</v>
      </c>
      <c r="L67" s="76"/>
      <c r="M67" s="76">
        <v>3050248</v>
      </c>
      <c r="N67" s="76"/>
      <c r="O67" s="76">
        <v>10383598</v>
      </c>
      <c r="P67" s="76"/>
      <c r="Q67" s="76">
        <v>23741772</v>
      </c>
      <c r="R67" s="76"/>
      <c r="S67" s="19">
        <f t="shared" si="6"/>
        <v>8603120</v>
      </c>
      <c r="T67" s="76"/>
      <c r="U67" s="76">
        <v>1688157</v>
      </c>
      <c r="V67" s="76"/>
      <c r="W67" s="76">
        <v>34033049</v>
      </c>
      <c r="X67" s="77"/>
      <c r="Y67" s="77">
        <f t="shared" si="7"/>
        <v>0</v>
      </c>
    </row>
    <row r="68" spans="1:25" ht="12.75">
      <c r="A68" s="26" t="s">
        <v>62</v>
      </c>
      <c r="B68" s="26"/>
      <c r="C68" s="76">
        <f t="shared" si="4"/>
        <v>63804820</v>
      </c>
      <c r="D68" s="76"/>
      <c r="E68" s="76">
        <f>39355625+69511601</f>
        <v>108867226</v>
      </c>
      <c r="F68" s="76"/>
      <c r="G68" s="76">
        <v>0</v>
      </c>
      <c r="H68" s="76"/>
      <c r="I68" s="76">
        <v>172672046</v>
      </c>
      <c r="J68" s="76"/>
      <c r="K68" s="76">
        <f t="shared" si="5"/>
        <v>21051867</v>
      </c>
      <c r="L68" s="76"/>
      <c r="M68" s="76">
        <v>31864905</v>
      </c>
      <c r="N68" s="76"/>
      <c r="O68" s="76">
        <v>52916772</v>
      </c>
      <c r="P68" s="76"/>
      <c r="Q68" s="76">
        <v>78513186</v>
      </c>
      <c r="R68" s="76"/>
      <c r="S68" s="19">
        <f t="shared" si="6"/>
        <v>32261080</v>
      </c>
      <c r="T68" s="76"/>
      <c r="U68" s="76">
        <v>8981008</v>
      </c>
      <c r="V68" s="76"/>
      <c r="W68" s="76">
        <v>119755274</v>
      </c>
      <c r="X68" s="77"/>
      <c r="Y68" s="77">
        <f t="shared" si="7"/>
        <v>0</v>
      </c>
    </row>
    <row r="69" spans="1:25" ht="12.75">
      <c r="A69" s="26" t="s">
        <v>63</v>
      </c>
      <c r="B69" s="26"/>
      <c r="C69" s="76">
        <f t="shared" si="4"/>
        <v>7971931</v>
      </c>
      <c r="D69" s="76"/>
      <c r="E69" s="76">
        <f>687086+19291338</f>
        <v>19978424</v>
      </c>
      <c r="F69" s="76"/>
      <c r="G69" s="76">
        <v>0</v>
      </c>
      <c r="H69" s="76"/>
      <c r="I69" s="76">
        <v>27950355</v>
      </c>
      <c r="J69" s="76"/>
      <c r="K69" s="76">
        <f t="shared" si="5"/>
        <v>2481325</v>
      </c>
      <c r="L69" s="76"/>
      <c r="M69" s="76">
        <v>1240648</v>
      </c>
      <c r="N69" s="76"/>
      <c r="O69" s="76">
        <v>3721973</v>
      </c>
      <c r="P69" s="76"/>
      <c r="Q69" s="76">
        <v>18755380</v>
      </c>
      <c r="R69" s="76"/>
      <c r="S69" s="19">
        <f t="shared" si="6"/>
        <v>4771450</v>
      </c>
      <c r="T69" s="76"/>
      <c r="U69" s="76">
        <v>701552</v>
      </c>
      <c r="V69" s="76"/>
      <c r="W69" s="76">
        <v>24228382</v>
      </c>
      <c r="X69" s="77"/>
      <c r="Y69" s="77">
        <f t="shared" si="7"/>
        <v>0</v>
      </c>
    </row>
    <row r="70" spans="1:25" ht="12.75">
      <c r="A70" s="26" t="s">
        <v>249</v>
      </c>
      <c r="B70" s="26"/>
      <c r="C70" s="76">
        <f t="shared" si="4"/>
        <v>48599023</v>
      </c>
      <c r="D70" s="76"/>
      <c r="E70" s="76">
        <f>1428374+28445908</f>
        <v>29874282</v>
      </c>
      <c r="F70" s="76"/>
      <c r="G70" s="76">
        <v>0</v>
      </c>
      <c r="H70" s="76"/>
      <c r="I70" s="76">
        <v>78473305</v>
      </c>
      <c r="J70" s="76"/>
      <c r="K70" s="76">
        <f t="shared" si="5"/>
        <v>12876171</v>
      </c>
      <c r="L70" s="76"/>
      <c r="M70" s="76">
        <v>28394577</v>
      </c>
      <c r="N70" s="76"/>
      <c r="O70" s="76">
        <v>41270748</v>
      </c>
      <c r="P70" s="76"/>
      <c r="Q70" s="76">
        <v>24072823</v>
      </c>
      <c r="R70" s="76"/>
      <c r="S70" s="19">
        <f t="shared" si="6"/>
        <v>10415762</v>
      </c>
      <c r="T70" s="76"/>
      <c r="U70" s="76">
        <v>2713972</v>
      </c>
      <c r="V70" s="76"/>
      <c r="W70" s="76">
        <v>37202557</v>
      </c>
      <c r="X70" s="77"/>
      <c r="Y70" s="77">
        <f t="shared" si="7"/>
        <v>0</v>
      </c>
    </row>
    <row r="71" spans="1:25" ht="12.75" hidden="1">
      <c r="A71" s="26" t="s">
        <v>137</v>
      </c>
      <c r="B71" s="26"/>
      <c r="C71" s="76">
        <f t="shared" si="4"/>
        <v>0</v>
      </c>
      <c r="D71" s="76"/>
      <c r="E71" s="76">
        <v>0</v>
      </c>
      <c r="F71" s="76"/>
      <c r="G71" s="76">
        <v>0</v>
      </c>
      <c r="H71" s="76"/>
      <c r="I71" s="76">
        <v>0</v>
      </c>
      <c r="J71" s="76"/>
      <c r="K71" s="76">
        <f t="shared" si="5"/>
        <v>0</v>
      </c>
      <c r="L71" s="76"/>
      <c r="M71" s="76">
        <v>0</v>
      </c>
      <c r="N71" s="76"/>
      <c r="O71" s="76">
        <v>0</v>
      </c>
      <c r="P71" s="76"/>
      <c r="Q71" s="76">
        <v>0</v>
      </c>
      <c r="R71" s="76"/>
      <c r="S71" s="19">
        <f t="shared" si="6"/>
        <v>0</v>
      </c>
      <c r="T71" s="76"/>
      <c r="U71" s="76">
        <v>0</v>
      </c>
      <c r="V71" s="76"/>
      <c r="W71" s="76">
        <v>0</v>
      </c>
      <c r="X71" s="77"/>
      <c r="Y71" s="77">
        <f t="shared" si="7"/>
        <v>0</v>
      </c>
    </row>
    <row r="72" spans="1:25" ht="12.75" hidden="1">
      <c r="A72" s="26" t="s">
        <v>65</v>
      </c>
      <c r="B72" s="26"/>
      <c r="C72" s="76">
        <f t="shared" si="4"/>
        <v>0</v>
      </c>
      <c r="D72" s="76"/>
      <c r="E72" s="76">
        <v>0</v>
      </c>
      <c r="F72" s="76"/>
      <c r="G72" s="76">
        <v>0</v>
      </c>
      <c r="H72" s="76"/>
      <c r="I72" s="76">
        <v>0</v>
      </c>
      <c r="J72" s="76"/>
      <c r="K72" s="76">
        <f t="shared" si="5"/>
        <v>0</v>
      </c>
      <c r="L72" s="76"/>
      <c r="M72" s="76">
        <v>0</v>
      </c>
      <c r="N72" s="76"/>
      <c r="O72" s="76">
        <v>0</v>
      </c>
      <c r="P72" s="76"/>
      <c r="Q72" s="76">
        <v>0</v>
      </c>
      <c r="R72" s="76"/>
      <c r="S72" s="19">
        <f t="shared" si="6"/>
        <v>0</v>
      </c>
      <c r="T72" s="76"/>
      <c r="U72" s="76">
        <v>0</v>
      </c>
      <c r="V72" s="76"/>
      <c r="W72" s="76">
        <v>0</v>
      </c>
      <c r="X72" s="77"/>
      <c r="Y72" s="77">
        <f t="shared" si="7"/>
        <v>0</v>
      </c>
    </row>
    <row r="73" spans="1:25" s="78" customFormat="1" ht="12.75">
      <c r="A73" s="75" t="s">
        <v>199</v>
      </c>
      <c r="B73" s="75"/>
      <c r="C73" s="76">
        <f t="shared" si="4"/>
        <v>17237920</v>
      </c>
      <c r="D73" s="76"/>
      <c r="E73" s="76">
        <f>971542+26703783</f>
        <v>27675325</v>
      </c>
      <c r="F73" s="76"/>
      <c r="G73" s="76">
        <v>0</v>
      </c>
      <c r="H73" s="76"/>
      <c r="I73" s="76">
        <v>44913245</v>
      </c>
      <c r="J73" s="76"/>
      <c r="K73" s="76">
        <f t="shared" si="5"/>
        <v>7120068</v>
      </c>
      <c r="L73" s="76"/>
      <c r="M73" s="76">
        <v>2164392</v>
      </c>
      <c r="N73" s="76"/>
      <c r="O73" s="76">
        <v>9284460</v>
      </c>
      <c r="P73" s="76"/>
      <c r="Q73" s="76">
        <v>26937646</v>
      </c>
      <c r="R73" s="76"/>
      <c r="S73" s="19">
        <f t="shared" si="6"/>
        <v>6325026</v>
      </c>
      <c r="T73" s="76"/>
      <c r="U73" s="76">
        <v>2366113</v>
      </c>
      <c r="V73" s="76"/>
      <c r="W73" s="76">
        <v>35628785</v>
      </c>
      <c r="X73" s="77"/>
      <c r="Y73" s="77">
        <f t="shared" si="7"/>
        <v>0</v>
      </c>
    </row>
    <row r="74" spans="1:25" s="78" customFormat="1" ht="12.75">
      <c r="A74" s="75" t="s">
        <v>67</v>
      </c>
      <c r="B74" s="75"/>
      <c r="C74" s="76">
        <f t="shared" si="4"/>
        <v>18218132</v>
      </c>
      <c r="D74" s="76"/>
      <c r="E74" s="76">
        <v>8952142</v>
      </c>
      <c r="F74" s="76"/>
      <c r="G74" s="76">
        <v>0</v>
      </c>
      <c r="H74" s="76"/>
      <c r="I74" s="76">
        <v>27170274</v>
      </c>
      <c r="J74" s="76"/>
      <c r="K74" s="76">
        <f t="shared" si="5"/>
        <v>6527630</v>
      </c>
      <c r="L74" s="76"/>
      <c r="M74" s="76">
        <v>1087087</v>
      </c>
      <c r="N74" s="76"/>
      <c r="O74" s="76">
        <v>7614717</v>
      </c>
      <c r="P74" s="76"/>
      <c r="Q74" s="76">
        <v>5837948</v>
      </c>
      <c r="R74" s="76"/>
      <c r="S74" s="19">
        <f t="shared" si="6"/>
        <v>10652799</v>
      </c>
      <c r="T74" s="76"/>
      <c r="U74" s="76">
        <v>3064810</v>
      </c>
      <c r="V74" s="76"/>
      <c r="W74" s="76">
        <v>19555557</v>
      </c>
      <c r="X74" s="77"/>
      <c r="Y74" s="77">
        <f t="shared" si="7"/>
        <v>0</v>
      </c>
    </row>
    <row r="75" spans="1:25" s="78" customFormat="1" ht="12.75">
      <c r="A75" s="75" t="s">
        <v>68</v>
      </c>
      <c r="B75" s="75"/>
      <c r="C75" s="76">
        <f t="shared" si="4"/>
        <v>93575074</v>
      </c>
      <c r="D75" s="76"/>
      <c r="E75" s="76">
        <f>7688123+83375109</f>
        <v>91063232</v>
      </c>
      <c r="F75" s="76"/>
      <c r="G75" s="76">
        <v>0</v>
      </c>
      <c r="H75" s="76"/>
      <c r="I75" s="76">
        <v>184638306</v>
      </c>
      <c r="J75" s="76"/>
      <c r="K75" s="76">
        <f t="shared" si="5"/>
        <v>36150592</v>
      </c>
      <c r="L75" s="76"/>
      <c r="M75" s="76">
        <v>21660203</v>
      </c>
      <c r="N75" s="76"/>
      <c r="O75" s="76">
        <v>57810795</v>
      </c>
      <c r="P75" s="76"/>
      <c r="Q75" s="76">
        <v>71737330</v>
      </c>
      <c r="R75" s="76"/>
      <c r="S75" s="19">
        <f t="shared" si="6"/>
        <v>36852667</v>
      </c>
      <c r="T75" s="76"/>
      <c r="U75" s="76">
        <v>18237514</v>
      </c>
      <c r="V75" s="76"/>
      <c r="W75" s="76">
        <v>126827511</v>
      </c>
      <c r="X75" s="77"/>
      <c r="Y75" s="77">
        <f t="shared" si="7"/>
        <v>0</v>
      </c>
    </row>
    <row r="76" spans="1:25" ht="12.75">
      <c r="A76" s="26" t="s">
        <v>69</v>
      </c>
      <c r="B76" s="26"/>
      <c r="C76" s="76">
        <f t="shared" si="4"/>
        <v>18982323</v>
      </c>
      <c r="D76" s="76"/>
      <c r="E76" s="76">
        <f>2844682+7842226</f>
        <v>10686908</v>
      </c>
      <c r="F76" s="76"/>
      <c r="G76" s="76">
        <v>0</v>
      </c>
      <c r="H76" s="76"/>
      <c r="I76" s="76">
        <v>29669231</v>
      </c>
      <c r="J76" s="76"/>
      <c r="K76" s="76">
        <f t="shared" si="5"/>
        <v>7755010</v>
      </c>
      <c r="L76" s="76"/>
      <c r="M76" s="76">
        <v>3874683</v>
      </c>
      <c r="N76" s="76"/>
      <c r="O76" s="76">
        <v>11629693</v>
      </c>
      <c r="P76" s="76"/>
      <c r="Q76" s="76">
        <v>5718611</v>
      </c>
      <c r="R76" s="76"/>
      <c r="S76" s="19">
        <f t="shared" si="6"/>
        <v>9222769</v>
      </c>
      <c r="T76" s="76"/>
      <c r="U76" s="76">
        <v>3098158</v>
      </c>
      <c r="V76" s="76"/>
      <c r="W76" s="76">
        <v>18039538</v>
      </c>
      <c r="X76" s="77"/>
      <c r="Y76" s="77">
        <f t="shared" si="7"/>
        <v>0</v>
      </c>
    </row>
    <row r="77" spans="1:25" ht="12.75" hidden="1">
      <c r="A77" s="26" t="s">
        <v>185</v>
      </c>
      <c r="B77" s="26"/>
      <c r="C77" s="76">
        <f t="shared" si="4"/>
        <v>0</v>
      </c>
      <c r="D77" s="76"/>
      <c r="E77" s="76">
        <v>0</v>
      </c>
      <c r="F77" s="76"/>
      <c r="G77" s="76">
        <v>0</v>
      </c>
      <c r="H77" s="76"/>
      <c r="I77" s="76">
        <v>0</v>
      </c>
      <c r="J77" s="76"/>
      <c r="K77" s="76">
        <f t="shared" si="5"/>
        <v>0</v>
      </c>
      <c r="L77" s="76"/>
      <c r="M77" s="76">
        <v>0</v>
      </c>
      <c r="N77" s="76"/>
      <c r="O77" s="76">
        <v>0</v>
      </c>
      <c r="P77" s="76"/>
      <c r="Q77" s="76">
        <v>0</v>
      </c>
      <c r="R77" s="76"/>
      <c r="S77" s="19">
        <f t="shared" si="6"/>
        <v>0</v>
      </c>
      <c r="T77" s="76"/>
      <c r="U77" s="76">
        <v>0</v>
      </c>
      <c r="V77" s="76"/>
      <c r="W77" s="76">
        <v>0</v>
      </c>
      <c r="X77" s="77"/>
      <c r="Y77" s="77">
        <f t="shared" si="7"/>
        <v>0</v>
      </c>
    </row>
    <row r="78" spans="1:25" ht="12.75">
      <c r="A78" s="26" t="s">
        <v>190</v>
      </c>
      <c r="B78" s="26"/>
      <c r="C78" s="76">
        <f t="shared" si="4"/>
        <v>97512054</v>
      </c>
      <c r="D78" s="76"/>
      <c r="E78" s="76">
        <v>70858197</v>
      </c>
      <c r="F78" s="76"/>
      <c r="G78" s="76">
        <v>67768</v>
      </c>
      <c r="H78" s="76"/>
      <c r="I78" s="76">
        <v>168438019</v>
      </c>
      <c r="J78" s="76"/>
      <c r="K78" s="76">
        <f t="shared" si="5"/>
        <v>38229076</v>
      </c>
      <c r="L78" s="76"/>
      <c r="M78" s="76">
        <v>20571404</v>
      </c>
      <c r="N78" s="76"/>
      <c r="O78" s="76">
        <v>58800480</v>
      </c>
      <c r="P78" s="76"/>
      <c r="Q78" s="76">
        <v>60297638</v>
      </c>
      <c r="R78" s="76"/>
      <c r="S78" s="19">
        <f t="shared" si="6"/>
        <v>42225429</v>
      </c>
      <c r="T78" s="76"/>
      <c r="U78" s="76">
        <v>7114472</v>
      </c>
      <c r="V78" s="76"/>
      <c r="W78" s="76">
        <v>109637539</v>
      </c>
      <c r="X78" s="77"/>
      <c r="Y78" s="77">
        <f t="shared" si="7"/>
        <v>0</v>
      </c>
    </row>
    <row r="79" spans="1:25" ht="12.75">
      <c r="A79" s="26" t="s">
        <v>70</v>
      </c>
      <c r="B79" s="26"/>
      <c r="C79" s="76">
        <f t="shared" si="4"/>
        <v>21219351</v>
      </c>
      <c r="D79" s="76"/>
      <c r="E79" s="76">
        <f>5582610+38165302</f>
        <v>43747912</v>
      </c>
      <c r="F79" s="76"/>
      <c r="G79" s="76">
        <v>0</v>
      </c>
      <c r="H79" s="76"/>
      <c r="I79" s="76">
        <v>64967263</v>
      </c>
      <c r="J79" s="76"/>
      <c r="K79" s="76">
        <f t="shared" si="5"/>
        <v>17929780</v>
      </c>
      <c r="L79" s="76"/>
      <c r="M79" s="76">
        <v>9244286</v>
      </c>
      <c r="N79" s="76"/>
      <c r="O79" s="76">
        <v>27174066</v>
      </c>
      <c r="P79" s="76"/>
      <c r="Q79" s="76">
        <v>31133018</v>
      </c>
      <c r="R79" s="76"/>
      <c r="S79" s="19">
        <f t="shared" si="6"/>
        <v>5965838</v>
      </c>
      <c r="T79" s="76"/>
      <c r="U79" s="76">
        <v>694341</v>
      </c>
      <c r="V79" s="76"/>
      <c r="W79" s="76">
        <v>37793197</v>
      </c>
      <c r="X79" s="77"/>
      <c r="Y79" s="77">
        <f t="shared" si="7"/>
        <v>0</v>
      </c>
    </row>
    <row r="80" spans="1:25" ht="12.75">
      <c r="A80" s="26" t="s">
        <v>99</v>
      </c>
      <c r="B80" s="26"/>
      <c r="C80" s="76">
        <f t="shared" si="4"/>
        <v>33665245</v>
      </c>
      <c r="D80" s="76"/>
      <c r="E80" s="76">
        <v>42951071</v>
      </c>
      <c r="F80" s="76"/>
      <c r="G80" s="76">
        <v>0</v>
      </c>
      <c r="H80" s="76"/>
      <c r="I80" s="76">
        <v>76616316</v>
      </c>
      <c r="J80" s="76"/>
      <c r="K80" s="76">
        <f t="shared" si="5"/>
        <v>11090121</v>
      </c>
      <c r="L80" s="76"/>
      <c r="M80" s="76">
        <v>9029607</v>
      </c>
      <c r="N80" s="76"/>
      <c r="O80" s="76">
        <v>20119728</v>
      </c>
      <c r="P80" s="76"/>
      <c r="Q80" s="76">
        <v>34630357</v>
      </c>
      <c r="R80" s="76"/>
      <c r="S80" s="19">
        <f t="shared" si="6"/>
        <v>15354029</v>
      </c>
      <c r="T80" s="76"/>
      <c r="U80" s="76">
        <v>6512202</v>
      </c>
      <c r="V80" s="76"/>
      <c r="W80" s="76">
        <v>56496588</v>
      </c>
      <c r="X80" s="77"/>
      <c r="Y80" s="77">
        <f t="shared" si="7"/>
        <v>0</v>
      </c>
    </row>
    <row r="81" spans="1:25" ht="12.75">
      <c r="A81" s="26" t="s">
        <v>71</v>
      </c>
      <c r="B81" s="26"/>
      <c r="C81" s="76">
        <f t="shared" si="4"/>
        <v>23386575</v>
      </c>
      <c r="D81" s="76"/>
      <c r="E81" s="76">
        <f>2260772+33030976</f>
        <v>35291748</v>
      </c>
      <c r="F81" s="76"/>
      <c r="G81" s="76">
        <v>0</v>
      </c>
      <c r="H81" s="76"/>
      <c r="I81" s="76">
        <v>58678323</v>
      </c>
      <c r="J81" s="76"/>
      <c r="K81" s="76">
        <f t="shared" si="5"/>
        <v>8440368</v>
      </c>
      <c r="L81" s="76"/>
      <c r="M81" s="76">
        <v>9532448</v>
      </c>
      <c r="N81" s="76"/>
      <c r="O81" s="76">
        <v>17972816</v>
      </c>
      <c r="P81" s="76"/>
      <c r="Q81" s="76">
        <v>26179758</v>
      </c>
      <c r="R81" s="76"/>
      <c r="S81" s="19">
        <f t="shared" si="6"/>
        <v>12181741</v>
      </c>
      <c r="T81" s="76"/>
      <c r="U81" s="76">
        <v>2344008</v>
      </c>
      <c r="V81" s="76"/>
      <c r="W81" s="76">
        <v>40705507</v>
      </c>
      <c r="X81" s="77"/>
      <c r="Y81" s="77">
        <f t="shared" si="7"/>
        <v>0</v>
      </c>
    </row>
    <row r="82" spans="1:25" ht="12.75">
      <c r="A82" s="26" t="s">
        <v>72</v>
      </c>
      <c r="B82" s="26"/>
      <c r="C82" s="76">
        <f t="shared" si="4"/>
        <v>31442244</v>
      </c>
      <c r="D82" s="76"/>
      <c r="E82" s="76">
        <f>21452301+33588123</f>
        <v>55040424</v>
      </c>
      <c r="F82" s="76"/>
      <c r="G82" s="76">
        <v>0</v>
      </c>
      <c r="H82" s="76"/>
      <c r="I82" s="76">
        <v>86482668</v>
      </c>
      <c r="J82" s="76"/>
      <c r="K82" s="76">
        <f t="shared" si="5"/>
        <v>12326248</v>
      </c>
      <c r="L82" s="76"/>
      <c r="M82" s="76">
        <v>7522175</v>
      </c>
      <c r="N82" s="76"/>
      <c r="O82" s="76">
        <v>19848423</v>
      </c>
      <c r="P82" s="76"/>
      <c r="Q82" s="76">
        <v>46955578</v>
      </c>
      <c r="R82" s="76"/>
      <c r="S82" s="19">
        <f t="shared" si="6"/>
        <v>13724570</v>
      </c>
      <c r="T82" s="76"/>
      <c r="U82" s="76">
        <v>5954097</v>
      </c>
      <c r="V82" s="76"/>
      <c r="W82" s="76">
        <v>66634245</v>
      </c>
      <c r="X82" s="77"/>
      <c r="Y82" s="77">
        <f t="shared" si="7"/>
        <v>0</v>
      </c>
    </row>
    <row r="83" spans="1:25" ht="12.75">
      <c r="A83" s="26" t="s">
        <v>73</v>
      </c>
      <c r="B83" s="26"/>
      <c r="C83" s="76">
        <f t="shared" si="4"/>
        <v>27704110</v>
      </c>
      <c r="D83" s="76"/>
      <c r="E83" s="76">
        <v>23165748</v>
      </c>
      <c r="F83" s="76"/>
      <c r="G83" s="76">
        <v>0</v>
      </c>
      <c r="H83" s="76"/>
      <c r="I83" s="76">
        <v>50869858</v>
      </c>
      <c r="J83" s="76"/>
      <c r="K83" s="76">
        <f t="shared" si="5"/>
        <v>11259704</v>
      </c>
      <c r="L83" s="76"/>
      <c r="M83" s="76">
        <v>3174210</v>
      </c>
      <c r="N83" s="76"/>
      <c r="O83" s="76">
        <v>14433914</v>
      </c>
      <c r="P83" s="76"/>
      <c r="Q83" s="76">
        <v>20057613</v>
      </c>
      <c r="R83" s="76"/>
      <c r="S83" s="19">
        <f t="shared" si="6"/>
        <v>13543287</v>
      </c>
      <c r="T83" s="76"/>
      <c r="U83" s="76">
        <v>2835044</v>
      </c>
      <c r="V83" s="76"/>
      <c r="W83" s="76">
        <v>36435944</v>
      </c>
      <c r="X83" s="77"/>
      <c r="Y83" s="77">
        <f t="shared" si="7"/>
        <v>0</v>
      </c>
    </row>
    <row r="84" spans="1:25" ht="12.75">
      <c r="A84" s="26" t="s">
        <v>74</v>
      </c>
      <c r="B84" s="26"/>
      <c r="C84" s="76">
        <f t="shared" si="4"/>
        <v>196501783</v>
      </c>
      <c r="D84" s="76"/>
      <c r="E84" s="76">
        <v>41850216</v>
      </c>
      <c r="F84" s="76"/>
      <c r="G84" s="76">
        <v>0</v>
      </c>
      <c r="H84" s="76"/>
      <c r="I84" s="76">
        <v>238351999</v>
      </c>
      <c r="J84" s="76"/>
      <c r="K84" s="76">
        <f t="shared" si="5"/>
        <v>73434500</v>
      </c>
      <c r="L84" s="76"/>
      <c r="M84" s="76">
        <v>5680660</v>
      </c>
      <c r="N84" s="76"/>
      <c r="O84" s="76">
        <v>79115160</v>
      </c>
      <c r="P84" s="76"/>
      <c r="Q84" s="76">
        <v>58545669</v>
      </c>
      <c r="R84" s="76"/>
      <c r="S84" s="19">
        <f t="shared" si="6"/>
        <v>71141956</v>
      </c>
      <c r="T84" s="76"/>
      <c r="U84" s="76">
        <v>29549214</v>
      </c>
      <c r="V84" s="76"/>
      <c r="W84" s="76">
        <v>159236839</v>
      </c>
      <c r="X84" s="77"/>
      <c r="Y84" s="77">
        <f t="shared" si="7"/>
        <v>0</v>
      </c>
    </row>
    <row r="85" spans="1:25" ht="12.75">
      <c r="A85" s="26" t="s">
        <v>75</v>
      </c>
      <c r="B85" s="26"/>
      <c r="C85" s="76">
        <f t="shared" si="4"/>
        <v>416305410</v>
      </c>
      <c r="D85" s="76"/>
      <c r="E85" s="76">
        <f>30318922+191884288</f>
        <v>222203210</v>
      </c>
      <c r="F85" s="76"/>
      <c r="G85" s="76">
        <v>562191</v>
      </c>
      <c r="H85" s="76"/>
      <c r="I85" s="76">
        <v>639070811</v>
      </c>
      <c r="J85" s="76"/>
      <c r="K85" s="76">
        <f t="shared" si="5"/>
        <v>160439806</v>
      </c>
      <c r="L85" s="76"/>
      <c r="M85" s="76">
        <v>120767090</v>
      </c>
      <c r="N85" s="76"/>
      <c r="O85" s="76">
        <v>281206896</v>
      </c>
      <c r="P85" s="76"/>
      <c r="Q85" s="76">
        <v>165161132</v>
      </c>
      <c r="R85" s="76"/>
      <c r="S85" s="19">
        <f t="shared" si="6"/>
        <v>118989987</v>
      </c>
      <c r="T85" s="76"/>
      <c r="U85" s="76">
        <v>73712796</v>
      </c>
      <c r="V85" s="76"/>
      <c r="W85" s="76">
        <v>357863915</v>
      </c>
      <c r="X85" s="77"/>
      <c r="Y85" s="77">
        <f t="shared" si="7"/>
        <v>0</v>
      </c>
    </row>
    <row r="86" spans="1:25" ht="12.75">
      <c r="A86" s="26" t="s">
        <v>76</v>
      </c>
      <c r="B86" s="26"/>
      <c r="C86" s="76">
        <f t="shared" si="4"/>
        <v>106600443</v>
      </c>
      <c r="D86" s="76"/>
      <c r="E86" s="76">
        <f>2460449+93192167</f>
        <v>95652616</v>
      </c>
      <c r="F86" s="76"/>
      <c r="G86" s="76">
        <v>0</v>
      </c>
      <c r="H86" s="76"/>
      <c r="I86" s="76">
        <v>202253059</v>
      </c>
      <c r="J86" s="76"/>
      <c r="K86" s="76">
        <f t="shared" si="5"/>
        <v>34167280</v>
      </c>
      <c r="L86" s="76"/>
      <c r="M86" s="76">
        <v>29168176</v>
      </c>
      <c r="N86" s="76"/>
      <c r="O86" s="76">
        <v>63335456</v>
      </c>
      <c r="P86" s="76"/>
      <c r="Q86" s="76">
        <v>72225605</v>
      </c>
      <c r="R86" s="76"/>
      <c r="S86" s="19">
        <f t="shared" si="6"/>
        <v>57123508</v>
      </c>
      <c r="T86" s="76"/>
      <c r="U86" s="76">
        <v>9568490</v>
      </c>
      <c r="V86" s="76"/>
      <c r="W86" s="76">
        <v>138917603</v>
      </c>
      <c r="X86" s="77"/>
      <c r="Y86" s="77">
        <f t="shared" si="7"/>
        <v>0</v>
      </c>
    </row>
    <row r="87" spans="1:25" ht="12.75">
      <c r="A87" s="26" t="s">
        <v>77</v>
      </c>
      <c r="B87" s="26"/>
      <c r="C87" s="76">
        <f t="shared" si="4"/>
        <v>67528188</v>
      </c>
      <c r="D87" s="76"/>
      <c r="E87" s="76">
        <f>1902236+27564781</f>
        <v>29467017</v>
      </c>
      <c r="F87" s="76"/>
      <c r="G87" s="76">
        <v>0</v>
      </c>
      <c r="H87" s="76"/>
      <c r="I87" s="76">
        <v>96995205</v>
      </c>
      <c r="J87" s="76"/>
      <c r="K87" s="76">
        <f t="shared" si="5"/>
        <v>12976412</v>
      </c>
      <c r="L87" s="76"/>
      <c r="M87" s="76">
        <v>518625</v>
      </c>
      <c r="N87" s="76"/>
      <c r="O87" s="76">
        <v>13495037</v>
      </c>
      <c r="P87" s="76"/>
      <c r="Q87" s="76">
        <v>29257632</v>
      </c>
      <c r="R87" s="76"/>
      <c r="S87" s="19">
        <f t="shared" si="6"/>
        <v>36988269</v>
      </c>
      <c r="T87" s="76"/>
      <c r="U87" s="76">
        <v>17254267</v>
      </c>
      <c r="V87" s="76"/>
      <c r="W87" s="76">
        <v>83500168</v>
      </c>
      <c r="X87" s="77"/>
      <c r="Y87" s="77">
        <f t="shared" si="7"/>
        <v>0</v>
      </c>
    </row>
    <row r="88" spans="1:25" ht="12.75">
      <c r="A88" s="26" t="s">
        <v>78</v>
      </c>
      <c r="B88" s="26"/>
      <c r="C88" s="76">
        <f t="shared" si="4"/>
        <v>32033761</v>
      </c>
      <c r="D88" s="76"/>
      <c r="E88" s="76">
        <f>43035086+13029736</f>
        <v>56064822</v>
      </c>
      <c r="F88" s="76"/>
      <c r="G88" s="76">
        <v>0</v>
      </c>
      <c r="H88" s="76"/>
      <c r="I88" s="76">
        <v>88098583</v>
      </c>
      <c r="J88" s="76"/>
      <c r="K88" s="76">
        <f t="shared" si="5"/>
        <v>14063014</v>
      </c>
      <c r="L88" s="76"/>
      <c r="M88" s="76">
        <v>9448822</v>
      </c>
      <c r="N88" s="76"/>
      <c r="O88" s="76">
        <v>23511836</v>
      </c>
      <c r="P88" s="76"/>
      <c r="Q88" s="76">
        <v>45104941</v>
      </c>
      <c r="R88" s="76"/>
      <c r="S88" s="19">
        <f t="shared" si="6"/>
        <v>11666617</v>
      </c>
      <c r="T88" s="76"/>
      <c r="U88" s="76">
        <v>7815189</v>
      </c>
      <c r="V88" s="76"/>
      <c r="W88" s="76">
        <v>64586747</v>
      </c>
      <c r="X88" s="77"/>
      <c r="Y88" s="77">
        <f t="shared" si="7"/>
        <v>0</v>
      </c>
    </row>
    <row r="89" spans="1:25" ht="12.75">
      <c r="A89" s="26" t="s">
        <v>79</v>
      </c>
      <c r="B89" s="26"/>
      <c r="C89" s="76">
        <f aca="true" t="shared" si="8" ref="C89:C96">+I89-E89-G89</f>
        <v>29422681</v>
      </c>
      <c r="D89" s="76"/>
      <c r="E89" s="76">
        <f>2525394</f>
        <v>2525394</v>
      </c>
      <c r="F89" s="76"/>
      <c r="G89" s="76">
        <v>0</v>
      </c>
      <c r="H89" s="76"/>
      <c r="I89" s="76">
        <v>31948075</v>
      </c>
      <c r="J89" s="76"/>
      <c r="K89" s="76">
        <f aca="true" t="shared" si="9" ref="K89:K96">+O89-M89</f>
        <v>5075307</v>
      </c>
      <c r="L89" s="76"/>
      <c r="M89" s="76">
        <v>3281192</v>
      </c>
      <c r="N89" s="76"/>
      <c r="O89" s="76">
        <v>8356499</v>
      </c>
      <c r="P89" s="76"/>
      <c r="Q89" s="76">
        <v>12947884</v>
      </c>
      <c r="R89" s="76"/>
      <c r="S89" s="19">
        <f aca="true" t="shared" si="10" ref="S89:S96">W89-U89-Q89</f>
        <v>7747010</v>
      </c>
      <c r="T89" s="76"/>
      <c r="U89" s="76">
        <v>2896682</v>
      </c>
      <c r="V89" s="76"/>
      <c r="W89" s="76">
        <v>23591576</v>
      </c>
      <c r="X89" s="77"/>
      <c r="Y89" s="77">
        <f aca="true" t="shared" si="11" ref="Y89:Y96">I89-O89-W89</f>
        <v>0</v>
      </c>
    </row>
    <row r="90" spans="1:25" ht="12.75">
      <c r="A90" s="26" t="s">
        <v>80</v>
      </c>
      <c r="B90" s="26"/>
      <c r="C90" s="76">
        <f t="shared" si="8"/>
        <v>8575010</v>
      </c>
      <c r="D90" s="76"/>
      <c r="E90" s="76">
        <f>58558+4971016</f>
        <v>5029574</v>
      </c>
      <c r="F90" s="76"/>
      <c r="G90" s="76">
        <v>0</v>
      </c>
      <c r="H90" s="76"/>
      <c r="I90" s="76">
        <v>13604584</v>
      </c>
      <c r="J90" s="76"/>
      <c r="K90" s="76">
        <f t="shared" si="9"/>
        <v>1539698</v>
      </c>
      <c r="L90" s="76"/>
      <c r="M90" s="76">
        <v>2598498</v>
      </c>
      <c r="N90" s="76"/>
      <c r="O90" s="76">
        <v>4138196</v>
      </c>
      <c r="P90" s="76"/>
      <c r="Q90" s="76">
        <v>2627797</v>
      </c>
      <c r="R90" s="76"/>
      <c r="S90" s="19">
        <f t="shared" si="10"/>
        <v>6291875</v>
      </c>
      <c r="T90" s="76"/>
      <c r="U90" s="76">
        <v>546716</v>
      </c>
      <c r="V90" s="76"/>
      <c r="W90" s="76">
        <v>9466388</v>
      </c>
      <c r="X90" s="77"/>
      <c r="Y90" s="77">
        <f t="shared" si="11"/>
        <v>0</v>
      </c>
    </row>
    <row r="91" spans="1:25" ht="12.75">
      <c r="A91" s="26" t="s">
        <v>81</v>
      </c>
      <c r="B91" s="26"/>
      <c r="C91" s="76">
        <f t="shared" si="8"/>
        <v>119809104</v>
      </c>
      <c r="D91" s="76"/>
      <c r="E91" s="76">
        <f>6200926+77255721</f>
        <v>83456647</v>
      </c>
      <c r="F91" s="76"/>
      <c r="G91" s="76">
        <v>0</v>
      </c>
      <c r="H91" s="76"/>
      <c r="I91" s="76">
        <v>203265751</v>
      </c>
      <c r="J91" s="76"/>
      <c r="K91" s="76">
        <f t="shared" si="9"/>
        <v>36714334</v>
      </c>
      <c r="L91" s="76"/>
      <c r="M91" s="76">
        <v>32668489</v>
      </c>
      <c r="N91" s="76"/>
      <c r="O91" s="76">
        <v>69382823</v>
      </c>
      <c r="P91" s="76"/>
      <c r="Q91" s="76">
        <v>53371047</v>
      </c>
      <c r="R91" s="76"/>
      <c r="S91" s="19">
        <f t="shared" si="10"/>
        <v>65290504</v>
      </c>
      <c r="T91" s="76"/>
      <c r="U91" s="76">
        <v>15221377</v>
      </c>
      <c r="V91" s="76"/>
      <c r="W91" s="76">
        <v>133882928</v>
      </c>
      <c r="X91" s="77"/>
      <c r="Y91" s="77">
        <f t="shared" si="11"/>
        <v>0</v>
      </c>
    </row>
    <row r="92" spans="1:25" ht="12.75">
      <c r="A92" s="26" t="s">
        <v>82</v>
      </c>
      <c r="B92" s="26"/>
      <c r="C92" s="76">
        <f>+I92-E92-G92</f>
        <v>41438268</v>
      </c>
      <c r="D92" s="76"/>
      <c r="E92" s="76">
        <f>141842761+15051532</f>
        <v>156894293</v>
      </c>
      <c r="F92" s="76"/>
      <c r="G92" s="76">
        <v>0</v>
      </c>
      <c r="H92" s="76"/>
      <c r="I92" s="76">
        <v>198332561</v>
      </c>
      <c r="J92" s="76"/>
      <c r="K92" s="76">
        <f>+O92-M92</f>
        <v>19321132</v>
      </c>
      <c r="L92" s="76"/>
      <c r="M92" s="76">
        <v>4473535</v>
      </c>
      <c r="N92" s="76"/>
      <c r="O92" s="76">
        <v>23794667</v>
      </c>
      <c r="P92" s="76"/>
      <c r="Q92" s="76">
        <v>148667134</v>
      </c>
      <c r="R92" s="76"/>
      <c r="S92" s="19">
        <f>W92-U92-Q92</f>
        <v>19158920</v>
      </c>
      <c r="T92" s="76"/>
      <c r="U92" s="76">
        <v>6711840</v>
      </c>
      <c r="V92" s="76"/>
      <c r="W92" s="76">
        <v>174537894</v>
      </c>
      <c r="X92" s="77"/>
      <c r="Y92" s="77">
        <f>I92-O92-W92</f>
        <v>0</v>
      </c>
    </row>
    <row r="93" spans="1:25" ht="12.75">
      <c r="A93" s="26" t="s">
        <v>83</v>
      </c>
      <c r="B93" s="26"/>
      <c r="C93" s="76">
        <f>+I93-E93-G93</f>
        <v>54899153</v>
      </c>
      <c r="D93" s="76"/>
      <c r="E93" s="76">
        <v>68966937</v>
      </c>
      <c r="F93" s="76"/>
      <c r="G93" s="76">
        <v>0</v>
      </c>
      <c r="H93" s="76"/>
      <c r="I93" s="76">
        <v>123866090</v>
      </c>
      <c r="J93" s="76"/>
      <c r="K93" s="76">
        <f>+O93-M93</f>
        <v>19921916</v>
      </c>
      <c r="L93" s="76"/>
      <c r="M93" s="76">
        <v>13622396</v>
      </c>
      <c r="N93" s="76"/>
      <c r="O93" s="76">
        <v>33544312</v>
      </c>
      <c r="P93" s="76"/>
      <c r="Q93" s="76">
        <v>56634214</v>
      </c>
      <c r="R93" s="76"/>
      <c r="S93" s="19">
        <f>W93-U93-Q93</f>
        <v>24559442</v>
      </c>
      <c r="T93" s="76"/>
      <c r="U93" s="76">
        <v>9128122</v>
      </c>
      <c r="V93" s="76"/>
      <c r="W93" s="76">
        <v>90321778</v>
      </c>
      <c r="X93" s="77"/>
      <c r="Y93" s="77">
        <f>I93-O93-W93</f>
        <v>0</v>
      </c>
    </row>
    <row r="94" spans="1:25" ht="12.75" hidden="1">
      <c r="A94" s="26" t="s">
        <v>183</v>
      </c>
      <c r="B94" s="26"/>
      <c r="C94" s="76">
        <f>+I94-E94-G94</f>
        <v>0</v>
      </c>
      <c r="D94" s="76"/>
      <c r="E94" s="76">
        <v>0</v>
      </c>
      <c r="F94" s="76"/>
      <c r="G94" s="76">
        <v>0</v>
      </c>
      <c r="H94" s="76"/>
      <c r="I94" s="76">
        <v>0</v>
      </c>
      <c r="J94" s="76"/>
      <c r="K94" s="76">
        <f>+O94-M94</f>
        <v>0</v>
      </c>
      <c r="L94" s="76"/>
      <c r="M94" s="76">
        <v>0</v>
      </c>
      <c r="N94" s="76"/>
      <c r="O94" s="76">
        <v>0</v>
      </c>
      <c r="P94" s="76"/>
      <c r="Q94" s="76">
        <v>0</v>
      </c>
      <c r="R94" s="76"/>
      <c r="S94" s="19">
        <f>W94-U94-Q94</f>
        <v>0</v>
      </c>
      <c r="T94" s="76"/>
      <c r="U94" s="76">
        <v>0</v>
      </c>
      <c r="V94" s="76"/>
      <c r="W94" s="76">
        <v>0</v>
      </c>
      <c r="X94" s="77"/>
      <c r="Y94" s="77">
        <f>I94-O94-W94</f>
        <v>0</v>
      </c>
    </row>
    <row r="95" spans="1:25" ht="12.75">
      <c r="A95" s="26" t="s">
        <v>84</v>
      </c>
      <c r="B95" s="26"/>
      <c r="C95" s="76">
        <f>+I95-E95-G95</f>
        <v>108558372</v>
      </c>
      <c r="D95" s="76"/>
      <c r="E95" s="76">
        <f>12788595+67438152</f>
        <v>80226747</v>
      </c>
      <c r="F95" s="76"/>
      <c r="G95" s="76">
        <v>0</v>
      </c>
      <c r="H95" s="76"/>
      <c r="I95" s="76">
        <v>188785119</v>
      </c>
      <c r="J95" s="76"/>
      <c r="K95" s="76">
        <f>+O95-M95</f>
        <v>33957704</v>
      </c>
      <c r="L95" s="76"/>
      <c r="M95" s="76">
        <v>15685576</v>
      </c>
      <c r="N95" s="76"/>
      <c r="O95" s="76">
        <v>49643280</v>
      </c>
      <c r="P95" s="76"/>
      <c r="Q95" s="76">
        <v>71927787</v>
      </c>
      <c r="R95" s="76"/>
      <c r="S95" s="19">
        <f>W95-U95-Q95</f>
        <v>51050864</v>
      </c>
      <c r="T95" s="76"/>
      <c r="U95" s="76">
        <v>16163188</v>
      </c>
      <c r="V95" s="76"/>
      <c r="W95" s="76">
        <v>139141839</v>
      </c>
      <c r="X95" s="77"/>
      <c r="Y95" s="77">
        <f>I95-O95-W95</f>
        <v>0</v>
      </c>
    </row>
    <row r="96" spans="1:25" ht="12.75" hidden="1">
      <c r="A96" s="26" t="s">
        <v>184</v>
      </c>
      <c r="B96" s="26"/>
      <c r="C96" s="76">
        <f t="shared" si="8"/>
        <v>0</v>
      </c>
      <c r="D96" s="76"/>
      <c r="E96" s="76">
        <v>0</v>
      </c>
      <c r="F96" s="76"/>
      <c r="G96" s="76">
        <v>0</v>
      </c>
      <c r="H96" s="76"/>
      <c r="I96" s="76">
        <v>0</v>
      </c>
      <c r="J96" s="76"/>
      <c r="K96" s="76">
        <f t="shared" si="9"/>
        <v>0</v>
      </c>
      <c r="L96" s="76"/>
      <c r="M96" s="76">
        <v>0</v>
      </c>
      <c r="N96" s="76"/>
      <c r="O96" s="76">
        <v>0</v>
      </c>
      <c r="P96" s="76"/>
      <c r="Q96" s="76">
        <v>0</v>
      </c>
      <c r="R96" s="76"/>
      <c r="S96" s="19">
        <f t="shared" si="10"/>
        <v>0</v>
      </c>
      <c r="T96" s="76"/>
      <c r="U96" s="76">
        <v>0</v>
      </c>
      <c r="V96" s="76"/>
      <c r="W96" s="76">
        <v>0</v>
      </c>
      <c r="X96" s="77"/>
      <c r="Y96" s="77">
        <f t="shared" si="11"/>
        <v>0</v>
      </c>
    </row>
    <row r="97" spans="1:25" ht="12.75">
      <c r="A97" s="26"/>
      <c r="B97" s="26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56"/>
      <c r="Y97" s="66"/>
    </row>
    <row r="98" spans="1:25" ht="12.75">
      <c r="A98" s="26"/>
      <c r="B98" s="26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56"/>
      <c r="Y98" s="66"/>
    </row>
    <row r="99" spans="1:25" ht="12.75">
      <c r="A99" s="16"/>
      <c r="B99" s="16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56"/>
      <c r="Y99" s="66"/>
    </row>
    <row r="100" spans="1:25" ht="12.75">
      <c r="A100" s="16"/>
      <c r="B100" s="16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56"/>
      <c r="Y100" s="66"/>
    </row>
    <row r="101" spans="1:25" ht="12.75">
      <c r="A101" s="16"/>
      <c r="B101" s="16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56"/>
      <c r="Y101" s="66"/>
    </row>
    <row r="102" spans="1:25" ht="12.75">
      <c r="A102" s="16"/>
      <c r="B102" s="16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56"/>
      <c r="Y102" s="66"/>
    </row>
    <row r="103" spans="1:25" ht="12.75">
      <c r="A103" s="16"/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56"/>
      <c r="Y103" s="66"/>
    </row>
    <row r="104" spans="1:25" ht="12.75">
      <c r="A104" s="16"/>
      <c r="B104" s="16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56"/>
      <c r="Y104" s="66"/>
    </row>
    <row r="105" spans="1:25" ht="12.75">
      <c r="A105" s="16"/>
      <c r="B105" s="16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56"/>
      <c r="Y105" s="66"/>
    </row>
    <row r="106" spans="1:25" ht="12.75">
      <c r="A106" s="16"/>
      <c r="B106" s="16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56"/>
      <c r="Y106" s="66"/>
    </row>
    <row r="107" spans="1:25" ht="12.75">
      <c r="A107" s="16"/>
      <c r="B107" s="16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56"/>
      <c r="Y107" s="66"/>
    </row>
    <row r="108" spans="1:25" ht="12.75">
      <c r="A108" s="16"/>
      <c r="B108" s="16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56"/>
      <c r="Y108" s="66"/>
    </row>
    <row r="109" spans="1:25" ht="12.75">
      <c r="A109" s="16"/>
      <c r="B109" s="16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56"/>
      <c r="Y109" s="66"/>
    </row>
    <row r="110" spans="1:25" ht="12.75">
      <c r="A110" s="66"/>
      <c r="B110" s="66"/>
      <c r="C110" s="56"/>
      <c r="D110" s="56"/>
      <c r="E110" s="56"/>
      <c r="F110" s="56"/>
      <c r="G110" s="56"/>
      <c r="H110" s="56"/>
      <c r="I110" s="56"/>
      <c r="J110" s="56"/>
      <c r="X110" s="56"/>
      <c r="Y110" s="66"/>
    </row>
    <row r="111" spans="1:25" ht="12.75">
      <c r="A111" s="66"/>
      <c r="B111" s="66"/>
      <c r="C111" s="56"/>
      <c r="D111" s="56"/>
      <c r="E111" s="56"/>
      <c r="F111" s="56"/>
      <c r="G111" s="56"/>
      <c r="H111" s="56"/>
      <c r="I111" s="56"/>
      <c r="J111" s="56"/>
      <c r="X111" s="56"/>
      <c r="Y111" s="66"/>
    </row>
    <row r="112" spans="1:25" ht="12.75">
      <c r="A112" s="66"/>
      <c r="B112" s="66"/>
      <c r="C112" s="56"/>
      <c r="D112" s="56"/>
      <c r="E112" s="56"/>
      <c r="F112" s="56"/>
      <c r="G112" s="56"/>
      <c r="H112" s="56"/>
      <c r="I112" s="56"/>
      <c r="J112" s="56"/>
      <c r="X112" s="56"/>
      <c r="Y112" s="66"/>
    </row>
  </sheetData>
  <printOptions horizontalCentered="1"/>
  <pageMargins left="1" right="1" top="0.5" bottom="0.5" header="0" footer="0.25"/>
  <pageSetup firstPageNumber="2" useFirstPageNumber="1" horizontalDpi="600" verticalDpi="600" orientation="portrait" pageOrder="overThenDown" scale="95" r:id="rId1"/>
  <headerFooter alignWithMargins="0">
    <oddFooter>&amp;C&amp;"Times New Roman,Regular"&amp;11&amp;P</oddFooter>
  </headerFooter>
  <colBreaks count="1" manualBreakCount="1">
    <brk id="11" max="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V11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7" sqref="E7"/>
    </sheetView>
  </sheetViews>
  <sheetFormatPr defaultColWidth="9.140625" defaultRowHeight="12.75"/>
  <cols>
    <col min="1" max="1" width="17.421875" style="5" customWidth="1"/>
    <col min="2" max="2" width="1.7109375" style="5" customWidth="1"/>
    <col min="3" max="3" width="11.7109375" style="5" customWidth="1"/>
    <col min="4" max="4" width="1.7109375" style="5" customWidth="1"/>
    <col min="5" max="5" width="11.7109375" style="5" customWidth="1"/>
    <col min="6" max="6" width="1.7109375" style="5" customWidth="1"/>
    <col min="7" max="7" width="11.7109375" style="5" customWidth="1"/>
    <col min="8" max="8" width="1.7109375" style="5" customWidth="1"/>
    <col min="9" max="9" width="11.7109375" style="5" customWidth="1"/>
    <col min="10" max="10" width="1.7109375" style="5" customWidth="1"/>
    <col min="11" max="11" width="11.7109375" style="5" customWidth="1"/>
    <col min="12" max="12" width="1.7109375" style="5" customWidth="1"/>
    <col min="13" max="13" width="11.7109375" style="5" customWidth="1"/>
    <col min="14" max="14" width="1.7109375" style="5" customWidth="1"/>
    <col min="15" max="15" width="11.7109375" style="5" customWidth="1"/>
    <col min="16" max="16" width="1.7109375" style="5" customWidth="1"/>
    <col min="17" max="17" width="11.7109375" style="5" customWidth="1"/>
    <col min="18" max="18" width="1.7109375" style="5" customWidth="1"/>
    <col min="19" max="19" width="11.7109375" style="5" customWidth="1"/>
    <col min="20" max="20" width="1.7109375" style="5" customWidth="1"/>
    <col min="21" max="21" width="11.7109375" style="5" customWidth="1"/>
    <col min="22" max="22" width="1.7109375" style="5" customWidth="1"/>
    <col min="23" max="23" width="11.7109375" style="5" customWidth="1"/>
    <col min="24" max="24" width="1.7109375" style="5" customWidth="1"/>
    <col min="25" max="25" width="11.7109375" style="5" customWidth="1"/>
    <col min="26" max="26" width="1.7109375" style="5" customWidth="1"/>
    <col min="27" max="27" width="11.7109375" style="10" customWidth="1"/>
    <col min="28" max="28" width="1.7109375" style="10" customWidth="1"/>
    <col min="29" max="29" width="11.7109375" style="10" customWidth="1"/>
    <col min="30" max="30" width="1.7109375" style="10" customWidth="1"/>
    <col min="31" max="31" width="11.7109375" style="10" customWidth="1"/>
    <col min="32" max="32" width="1.7109375" style="10" customWidth="1"/>
    <col min="33" max="33" width="11.7109375" style="10" customWidth="1"/>
    <col min="34" max="34" width="1.7109375" style="10" customWidth="1"/>
    <col min="35" max="35" width="11.7109375" style="10" customWidth="1"/>
    <col min="36" max="36" width="1.7109375" style="10" customWidth="1"/>
    <col min="37" max="37" width="11.7109375" style="10" customWidth="1"/>
    <col min="38" max="38" width="1.7109375" style="10" customWidth="1"/>
    <col min="39" max="39" width="11.7109375" style="1" customWidth="1"/>
    <col min="40" max="40" width="1.7109375" style="1" customWidth="1"/>
    <col min="41" max="41" width="11.7109375" style="1" customWidth="1"/>
    <col min="42" max="42" width="1.7109375" style="1" customWidth="1"/>
    <col min="43" max="43" width="11.7109375" style="1" customWidth="1"/>
    <col min="44" max="44" width="1.7109375" style="1" customWidth="1"/>
    <col min="45" max="45" width="11.7109375" style="1" customWidth="1"/>
    <col min="46" max="46" width="1.7109375" style="1" customWidth="1"/>
    <col min="47" max="47" width="11.7109375" style="1" customWidth="1"/>
    <col min="48" max="48" width="1.7109375" style="1" customWidth="1"/>
    <col min="49" max="49" width="11.7109375" style="1" customWidth="1"/>
    <col min="50" max="50" width="1.7109375" style="1" customWidth="1"/>
    <col min="51" max="51" width="11.7109375" style="1" customWidth="1"/>
    <col min="52" max="52" width="1.7109375" style="1" customWidth="1"/>
    <col min="53" max="53" width="11.7109375" style="1" customWidth="1"/>
    <col min="54" max="54" width="1.7109375" style="1" customWidth="1"/>
    <col min="55" max="55" width="11.7109375" style="1" customWidth="1"/>
    <col min="56" max="56" width="1.7109375" style="1" customWidth="1"/>
    <col min="57" max="57" width="10.28125" style="1" customWidth="1"/>
    <col min="58" max="58" width="1.7109375" style="1" customWidth="1"/>
    <col min="59" max="59" width="11.7109375" style="1" customWidth="1"/>
    <col min="60" max="16384" width="8.421875" style="1" customWidth="1"/>
  </cols>
  <sheetData>
    <row r="1" spans="1:38" s="31" customFormat="1" ht="12">
      <c r="A1" s="20" t="s">
        <v>207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30"/>
      <c r="Z1" s="21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s="31" customFormat="1" ht="12">
      <c r="A2" s="20" t="s">
        <v>221</v>
      </c>
      <c r="B2" s="20"/>
      <c r="C2" s="20"/>
      <c r="D2" s="20"/>
      <c r="E2" s="20"/>
      <c r="F2" s="20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30"/>
      <c r="Z2" s="21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s="31" customFormat="1" ht="12">
      <c r="A3" s="30" t="s">
        <v>225</v>
      </c>
      <c r="B3" s="87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30"/>
      <c r="Z3" s="21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s="22" customFormat="1" ht="12">
      <c r="A4" s="32"/>
      <c r="B4" s="87"/>
      <c r="C4" s="87"/>
      <c r="D4" s="87"/>
      <c r="E4" s="87"/>
      <c r="F4" s="87"/>
      <c r="G4" s="87"/>
      <c r="H4" s="8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32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8" s="22" customFormat="1" ht="12">
      <c r="A5" s="20" t="s">
        <v>196</v>
      </c>
      <c r="B5" s="87"/>
      <c r="C5" s="87"/>
      <c r="D5" s="87"/>
      <c r="E5" s="87"/>
      <c r="F5" s="87"/>
      <c r="G5" s="87"/>
      <c r="H5" s="8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0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1:59" s="22" customFormat="1" ht="12">
      <c r="A6" s="17"/>
      <c r="B6" s="17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4" t="s">
        <v>208</v>
      </c>
      <c r="P6" s="124"/>
      <c r="Q6" s="124"/>
      <c r="R6" s="124"/>
      <c r="S6" s="124"/>
      <c r="T6" s="70"/>
      <c r="U6" s="70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126" t="s">
        <v>103</v>
      </c>
      <c r="AX6" s="126"/>
      <c r="AY6" s="126"/>
      <c r="AZ6" s="126"/>
      <c r="BA6" s="126"/>
      <c r="BB6" s="126"/>
      <c r="BC6" s="126"/>
      <c r="BD6" s="70"/>
      <c r="BE6" s="70"/>
      <c r="BF6" s="70"/>
      <c r="BG6" s="47"/>
    </row>
    <row r="7" spans="1:59" s="22" customFormat="1" ht="12">
      <c r="A7" s="17"/>
      <c r="B7" s="17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U7" s="44" t="s">
        <v>209</v>
      </c>
      <c r="V7" s="91" t="s">
        <v>206</v>
      </c>
      <c r="W7" s="70"/>
      <c r="X7" s="70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 t="s">
        <v>202</v>
      </c>
      <c r="AP7" s="44"/>
      <c r="AQ7" s="44" t="s">
        <v>163</v>
      </c>
      <c r="AR7" s="44"/>
      <c r="AS7" s="44" t="s">
        <v>163</v>
      </c>
      <c r="AT7" s="44"/>
      <c r="AU7" s="44"/>
      <c r="AV7" s="44"/>
      <c r="AW7" s="44" t="s">
        <v>104</v>
      </c>
      <c r="AX7" s="44"/>
      <c r="AY7" s="44" t="s">
        <v>105</v>
      </c>
      <c r="AZ7" s="44"/>
      <c r="BA7" s="44"/>
      <c r="BB7" s="44"/>
      <c r="BC7" s="44" t="s">
        <v>106</v>
      </c>
      <c r="BD7" s="44"/>
      <c r="BE7" s="44" t="s">
        <v>203</v>
      </c>
      <c r="BF7" s="44"/>
      <c r="BG7" s="49" t="s">
        <v>4</v>
      </c>
    </row>
    <row r="8" spans="1:59" s="22" customFormat="1" ht="12">
      <c r="A8" s="17"/>
      <c r="B8" s="17"/>
      <c r="C8" s="44" t="s">
        <v>143</v>
      </c>
      <c r="D8" s="44"/>
      <c r="E8" s="44" t="s">
        <v>164</v>
      </c>
      <c r="F8" s="44"/>
      <c r="G8" s="44" t="s">
        <v>4</v>
      </c>
      <c r="H8" s="44"/>
      <c r="I8" s="44" t="s">
        <v>143</v>
      </c>
      <c r="J8" s="44"/>
      <c r="K8" s="44" t="s">
        <v>164</v>
      </c>
      <c r="L8" s="44"/>
      <c r="M8" s="44" t="s">
        <v>4</v>
      </c>
      <c r="N8" s="44"/>
      <c r="O8" s="44" t="s">
        <v>147</v>
      </c>
      <c r="P8" s="44"/>
      <c r="Q8" s="44"/>
      <c r="R8" s="44"/>
      <c r="S8" s="44"/>
      <c r="T8" s="44"/>
      <c r="U8" s="73" t="s">
        <v>210</v>
      </c>
      <c r="V8" s="44"/>
      <c r="W8" s="44"/>
      <c r="X8" s="44"/>
      <c r="Y8" s="44" t="s">
        <v>102</v>
      </c>
      <c r="Z8" s="44"/>
      <c r="AA8" s="44" t="s">
        <v>165</v>
      </c>
      <c r="AB8" s="44"/>
      <c r="AC8" s="44"/>
      <c r="AD8" s="44"/>
      <c r="AE8" s="44" t="s">
        <v>102</v>
      </c>
      <c r="AF8" s="44"/>
      <c r="AG8" s="44" t="s">
        <v>166</v>
      </c>
      <c r="AH8" s="44"/>
      <c r="AI8" s="44" t="s">
        <v>102</v>
      </c>
      <c r="AJ8" s="44"/>
      <c r="AK8" s="44" t="s">
        <v>102</v>
      </c>
      <c r="AL8" s="44"/>
      <c r="AM8" s="44" t="s">
        <v>88</v>
      </c>
      <c r="AN8" s="44"/>
      <c r="AO8" s="44" t="s">
        <v>167</v>
      </c>
      <c r="AP8" s="44"/>
      <c r="AQ8" s="44" t="s">
        <v>168</v>
      </c>
      <c r="AR8" s="44"/>
      <c r="AS8" s="44" t="s">
        <v>168</v>
      </c>
      <c r="AT8" s="44"/>
      <c r="AU8" s="44" t="s">
        <v>107</v>
      </c>
      <c r="AV8" s="44"/>
      <c r="AW8" s="44" t="s">
        <v>108</v>
      </c>
      <c r="AX8" s="44"/>
      <c r="AY8" s="44" t="s">
        <v>12</v>
      </c>
      <c r="AZ8" s="44"/>
      <c r="BA8" s="44"/>
      <c r="BB8" s="44"/>
      <c r="BC8" s="44" t="s">
        <v>109</v>
      </c>
      <c r="BD8" s="44"/>
      <c r="BE8" s="44" t="s">
        <v>204</v>
      </c>
      <c r="BF8" s="44"/>
      <c r="BG8" s="49" t="s">
        <v>109</v>
      </c>
    </row>
    <row r="9" spans="1:59" s="22" customFormat="1" ht="12">
      <c r="A9" s="74" t="s">
        <v>5</v>
      </c>
      <c r="B9" s="68"/>
      <c r="C9" s="53" t="s">
        <v>117</v>
      </c>
      <c r="D9" s="73"/>
      <c r="E9" s="53" t="s">
        <v>117</v>
      </c>
      <c r="F9" s="73"/>
      <c r="G9" s="53" t="s">
        <v>117</v>
      </c>
      <c r="H9" s="73"/>
      <c r="I9" s="53" t="s">
        <v>126</v>
      </c>
      <c r="J9" s="73"/>
      <c r="K9" s="53" t="s">
        <v>126</v>
      </c>
      <c r="L9" s="73"/>
      <c r="M9" s="53" t="s">
        <v>126</v>
      </c>
      <c r="N9" s="73"/>
      <c r="O9" s="53" t="s">
        <v>149</v>
      </c>
      <c r="P9" s="73"/>
      <c r="Q9" s="53" t="s">
        <v>150</v>
      </c>
      <c r="R9" s="73"/>
      <c r="S9" s="53" t="s">
        <v>151</v>
      </c>
      <c r="T9" s="73"/>
      <c r="U9" s="53" t="s">
        <v>161</v>
      </c>
      <c r="V9" s="73"/>
      <c r="W9" s="73"/>
      <c r="X9" s="73"/>
      <c r="Y9" s="53" t="s">
        <v>12</v>
      </c>
      <c r="Z9" s="73"/>
      <c r="AA9" s="53" t="s">
        <v>110</v>
      </c>
      <c r="AB9" s="73"/>
      <c r="AC9" s="53" t="s">
        <v>110</v>
      </c>
      <c r="AD9" s="73"/>
      <c r="AE9" s="53" t="s">
        <v>111</v>
      </c>
      <c r="AF9" s="73"/>
      <c r="AG9" s="53" t="s">
        <v>169</v>
      </c>
      <c r="AH9" s="73"/>
      <c r="AI9" s="53" t="s">
        <v>112</v>
      </c>
      <c r="AJ9" s="73"/>
      <c r="AK9" s="53" t="s">
        <v>113</v>
      </c>
      <c r="AL9" s="73"/>
      <c r="AM9" s="53" t="s">
        <v>170</v>
      </c>
      <c r="AN9" s="73"/>
      <c r="AO9" s="53" t="s">
        <v>146</v>
      </c>
      <c r="AP9" s="73"/>
      <c r="AQ9" s="54" t="s">
        <v>171</v>
      </c>
      <c r="AR9" s="44"/>
      <c r="AS9" s="54" t="s">
        <v>172</v>
      </c>
      <c r="AT9" s="44"/>
      <c r="AU9" s="53" t="s">
        <v>88</v>
      </c>
      <c r="AV9" s="73"/>
      <c r="AW9" s="53" t="s">
        <v>114</v>
      </c>
      <c r="AX9" s="73"/>
      <c r="AY9" s="53" t="s">
        <v>114</v>
      </c>
      <c r="AZ9" s="73"/>
      <c r="BA9" s="53" t="s">
        <v>115</v>
      </c>
      <c r="BB9" s="73"/>
      <c r="BC9" s="53" t="s">
        <v>116</v>
      </c>
      <c r="BD9" s="73"/>
      <c r="BE9" s="53" t="s">
        <v>205</v>
      </c>
      <c r="BF9" s="73"/>
      <c r="BG9" s="55" t="s">
        <v>126</v>
      </c>
    </row>
    <row r="10" spans="1:59" s="22" customFormat="1" ht="12">
      <c r="A10" s="68"/>
      <c r="B10" s="68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44"/>
      <c r="AR10" s="44"/>
      <c r="AS10" s="44"/>
      <c r="AT10" s="44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47">
        <f aca="true" t="shared" si="0" ref="BG10:BG22">SUM(AW10:BC10)+BE10</f>
        <v>0</v>
      </c>
    </row>
    <row r="11" spans="1:59" s="22" customFormat="1" ht="12">
      <c r="A11" s="26" t="s">
        <v>13</v>
      </c>
      <c r="B11" s="26"/>
      <c r="C11" s="51">
        <v>0</v>
      </c>
      <c r="D11" s="51"/>
      <c r="E11" s="51">
        <v>0</v>
      </c>
      <c r="F11" s="51"/>
      <c r="G11" s="51">
        <v>0</v>
      </c>
      <c r="H11" s="51"/>
      <c r="I11" s="51">
        <v>0</v>
      </c>
      <c r="J11" s="51"/>
      <c r="K11" s="51">
        <v>0</v>
      </c>
      <c r="L11" s="51"/>
      <c r="M11" s="51">
        <v>0</v>
      </c>
      <c r="N11" s="51"/>
      <c r="O11" s="51">
        <v>0</v>
      </c>
      <c r="P11" s="51"/>
      <c r="Q11" s="51">
        <v>0</v>
      </c>
      <c r="R11" s="51"/>
      <c r="S11" s="51">
        <v>0</v>
      </c>
      <c r="T11" s="51"/>
      <c r="U11" s="51">
        <v>0</v>
      </c>
      <c r="V11" s="51"/>
      <c r="W11" s="51"/>
      <c r="X11" s="51"/>
      <c r="Y11" s="51">
        <v>0</v>
      </c>
      <c r="Z11" s="51"/>
      <c r="AA11" s="51">
        <v>0</v>
      </c>
      <c r="AB11" s="51"/>
      <c r="AC11" s="51">
        <v>0</v>
      </c>
      <c r="AD11" s="51"/>
      <c r="AE11" s="51">
        <v>0</v>
      </c>
      <c r="AF11" s="51"/>
      <c r="AG11" s="51">
        <v>0</v>
      </c>
      <c r="AH11" s="51"/>
      <c r="AI11" s="51">
        <v>0</v>
      </c>
      <c r="AJ11" s="51"/>
      <c r="AK11" s="51">
        <v>0</v>
      </c>
      <c r="AL11" s="51"/>
      <c r="AM11" s="51">
        <v>0</v>
      </c>
      <c r="AN11" s="51"/>
      <c r="AO11" s="51">
        <v>0</v>
      </c>
      <c r="AP11" s="51"/>
      <c r="AQ11" s="51">
        <v>0</v>
      </c>
      <c r="AR11" s="51"/>
      <c r="AS11" s="51">
        <v>0</v>
      </c>
      <c r="AT11" s="51"/>
      <c r="AU11" s="51">
        <v>0</v>
      </c>
      <c r="AV11" s="51"/>
      <c r="AW11" s="51">
        <v>0</v>
      </c>
      <c r="AX11" s="51"/>
      <c r="AY11" s="51">
        <v>0</v>
      </c>
      <c r="AZ11" s="51"/>
      <c r="BA11" s="51">
        <v>0</v>
      </c>
      <c r="BB11" s="51"/>
      <c r="BC11" s="51">
        <v>0</v>
      </c>
      <c r="BD11" s="51"/>
      <c r="BE11" s="51"/>
      <c r="BF11" s="51"/>
      <c r="BG11" s="47">
        <f t="shared" si="0"/>
        <v>0</v>
      </c>
    </row>
    <row r="12" spans="1:59" s="22" customFormat="1" ht="12">
      <c r="A12" s="26" t="s">
        <v>14</v>
      </c>
      <c r="B12" s="26"/>
      <c r="C12" s="51">
        <v>0</v>
      </c>
      <c r="D12" s="51"/>
      <c r="E12" s="51">
        <v>0</v>
      </c>
      <c r="F12" s="51"/>
      <c r="G12" s="51">
        <v>0</v>
      </c>
      <c r="H12" s="51"/>
      <c r="I12" s="51">
        <v>0</v>
      </c>
      <c r="J12" s="51"/>
      <c r="K12" s="51">
        <v>0</v>
      </c>
      <c r="L12" s="51"/>
      <c r="M12" s="51">
        <v>0</v>
      </c>
      <c r="N12" s="51"/>
      <c r="O12" s="51">
        <v>0</v>
      </c>
      <c r="P12" s="51"/>
      <c r="Q12" s="51">
        <v>0</v>
      </c>
      <c r="R12" s="51"/>
      <c r="S12" s="51">
        <v>0</v>
      </c>
      <c r="T12" s="51"/>
      <c r="U12" s="51">
        <v>0</v>
      </c>
      <c r="V12" s="51"/>
      <c r="W12" s="51"/>
      <c r="X12" s="51"/>
      <c r="Y12" s="51">
        <v>0</v>
      </c>
      <c r="Z12" s="51"/>
      <c r="AA12" s="51">
        <v>0</v>
      </c>
      <c r="AB12" s="51"/>
      <c r="AC12" s="51">
        <v>0</v>
      </c>
      <c r="AD12" s="51"/>
      <c r="AE12" s="51">
        <v>0</v>
      </c>
      <c r="AF12" s="51"/>
      <c r="AG12" s="51">
        <v>0</v>
      </c>
      <c r="AH12" s="51"/>
      <c r="AI12" s="51">
        <v>0</v>
      </c>
      <c r="AJ12" s="51"/>
      <c r="AK12" s="51">
        <v>0</v>
      </c>
      <c r="AL12" s="51"/>
      <c r="AM12" s="51">
        <v>0</v>
      </c>
      <c r="AN12" s="51"/>
      <c r="AO12" s="51">
        <v>0</v>
      </c>
      <c r="AP12" s="51"/>
      <c r="AQ12" s="51">
        <v>0</v>
      </c>
      <c r="AR12" s="51"/>
      <c r="AS12" s="51">
        <v>0</v>
      </c>
      <c r="AT12" s="51"/>
      <c r="AU12" s="51">
        <v>0</v>
      </c>
      <c r="AV12" s="51"/>
      <c r="AW12" s="51">
        <v>0</v>
      </c>
      <c r="AX12" s="51"/>
      <c r="AY12" s="51">
        <v>0</v>
      </c>
      <c r="AZ12" s="51"/>
      <c r="BA12" s="51">
        <v>0</v>
      </c>
      <c r="BB12" s="51"/>
      <c r="BC12" s="51">
        <v>0</v>
      </c>
      <c r="BD12" s="51"/>
      <c r="BE12" s="51"/>
      <c r="BF12" s="51"/>
      <c r="BG12" s="47">
        <f t="shared" si="0"/>
        <v>0</v>
      </c>
    </row>
    <row r="13" spans="1:59" s="22" customFormat="1" ht="12">
      <c r="A13" s="26" t="s">
        <v>15</v>
      </c>
      <c r="B13" s="26"/>
      <c r="C13" s="51">
        <v>0</v>
      </c>
      <c r="D13" s="51"/>
      <c r="E13" s="51">
        <v>0</v>
      </c>
      <c r="F13" s="51"/>
      <c r="G13" s="51">
        <v>0</v>
      </c>
      <c r="H13" s="51"/>
      <c r="I13" s="51">
        <v>0</v>
      </c>
      <c r="J13" s="51"/>
      <c r="K13" s="51">
        <v>0</v>
      </c>
      <c r="L13" s="51"/>
      <c r="M13" s="51">
        <v>0</v>
      </c>
      <c r="N13" s="51"/>
      <c r="O13" s="51">
        <v>0</v>
      </c>
      <c r="P13" s="51"/>
      <c r="Q13" s="51">
        <v>0</v>
      </c>
      <c r="R13" s="51"/>
      <c r="S13" s="51">
        <v>0</v>
      </c>
      <c r="T13" s="51"/>
      <c r="U13" s="51">
        <v>0</v>
      </c>
      <c r="V13" s="51"/>
      <c r="W13" s="51"/>
      <c r="X13" s="51"/>
      <c r="Y13" s="51">
        <v>0</v>
      </c>
      <c r="Z13" s="51"/>
      <c r="AA13" s="51">
        <v>0</v>
      </c>
      <c r="AB13" s="51"/>
      <c r="AC13" s="51">
        <v>0</v>
      </c>
      <c r="AD13" s="51"/>
      <c r="AE13" s="51">
        <v>0</v>
      </c>
      <c r="AF13" s="51"/>
      <c r="AG13" s="51">
        <v>0</v>
      </c>
      <c r="AH13" s="51"/>
      <c r="AI13" s="51">
        <v>0</v>
      </c>
      <c r="AJ13" s="51"/>
      <c r="AK13" s="51">
        <v>0</v>
      </c>
      <c r="AL13" s="51"/>
      <c r="AM13" s="51">
        <v>0</v>
      </c>
      <c r="AN13" s="51"/>
      <c r="AO13" s="51">
        <v>0</v>
      </c>
      <c r="AP13" s="51"/>
      <c r="AQ13" s="51">
        <v>0</v>
      </c>
      <c r="AR13" s="51"/>
      <c r="AS13" s="51">
        <v>0</v>
      </c>
      <c r="AT13" s="51"/>
      <c r="AU13" s="51">
        <v>0</v>
      </c>
      <c r="AV13" s="51"/>
      <c r="AW13" s="51">
        <v>0</v>
      </c>
      <c r="AX13" s="51"/>
      <c r="AY13" s="51">
        <v>0</v>
      </c>
      <c r="AZ13" s="51"/>
      <c r="BA13" s="51">
        <v>0</v>
      </c>
      <c r="BB13" s="51"/>
      <c r="BC13" s="51">
        <v>0</v>
      </c>
      <c r="BD13" s="51"/>
      <c r="BE13" s="51"/>
      <c r="BF13" s="51"/>
      <c r="BG13" s="47">
        <f t="shared" si="0"/>
        <v>0</v>
      </c>
    </row>
    <row r="14" spans="1:59" s="22" customFormat="1" ht="12">
      <c r="A14" s="26" t="s">
        <v>16</v>
      </c>
      <c r="B14" s="26"/>
      <c r="C14" s="51">
        <f>G14-E14</f>
        <v>0</v>
      </c>
      <c r="D14" s="51"/>
      <c r="E14" s="51">
        <v>0</v>
      </c>
      <c r="F14" s="51"/>
      <c r="G14" s="51">
        <v>0</v>
      </c>
      <c r="H14" s="51"/>
      <c r="I14" s="51">
        <f>M14-K14</f>
        <v>0</v>
      </c>
      <c r="J14" s="51"/>
      <c r="K14" s="51">
        <f>SUM(BG14)</f>
        <v>0</v>
      </c>
      <c r="L14" s="51"/>
      <c r="M14" s="51">
        <v>0</v>
      </c>
      <c r="N14" s="51"/>
      <c r="O14" s="51">
        <v>0</v>
      </c>
      <c r="P14" s="51"/>
      <c r="Q14" s="51">
        <v>0</v>
      </c>
      <c r="R14" s="51"/>
      <c r="S14" s="51">
        <v>0</v>
      </c>
      <c r="T14" s="51"/>
      <c r="U14" s="51">
        <f>SUM(O14:S14)</f>
        <v>0</v>
      </c>
      <c r="V14" s="51"/>
      <c r="W14" s="51">
        <f>+G14-M14-U14</f>
        <v>0</v>
      </c>
      <c r="X14" s="51"/>
      <c r="Y14" s="47">
        <v>0</v>
      </c>
      <c r="Z14" s="47"/>
      <c r="AA14" s="47">
        <v>0</v>
      </c>
      <c r="AB14" s="47"/>
      <c r="AC14" s="47">
        <v>0</v>
      </c>
      <c r="AD14" s="47"/>
      <c r="AE14" s="52">
        <f>+Y14-AA14-AC14</f>
        <v>0</v>
      </c>
      <c r="AF14" s="52"/>
      <c r="AG14" s="52">
        <v>0</v>
      </c>
      <c r="AH14" s="52"/>
      <c r="AI14" s="47">
        <v>0</v>
      </c>
      <c r="AJ14" s="47"/>
      <c r="AK14" s="47">
        <v>0</v>
      </c>
      <c r="AL14" s="47"/>
      <c r="AM14" s="47">
        <v>0</v>
      </c>
      <c r="AN14" s="47"/>
      <c r="AO14" s="52">
        <f>+AE14+AG14+AI14-AK14+AM14</f>
        <v>0</v>
      </c>
      <c r="AP14" s="52"/>
      <c r="AQ14" s="47">
        <v>0</v>
      </c>
      <c r="AR14" s="47"/>
      <c r="AS14" s="47">
        <v>0</v>
      </c>
      <c r="AT14" s="47"/>
      <c r="AU14" s="47">
        <f>+C14-I14</f>
        <v>0</v>
      </c>
      <c r="AV14" s="47"/>
      <c r="AW14" s="47">
        <v>0</v>
      </c>
      <c r="AX14" s="47"/>
      <c r="AY14" s="47">
        <v>0</v>
      </c>
      <c r="AZ14" s="47"/>
      <c r="BA14" s="47">
        <v>0</v>
      </c>
      <c r="BB14" s="47"/>
      <c r="BC14" s="47">
        <v>0</v>
      </c>
      <c r="BD14" s="47"/>
      <c r="BE14" s="47"/>
      <c r="BF14" s="47"/>
      <c r="BG14" s="47">
        <f t="shared" si="0"/>
        <v>0</v>
      </c>
    </row>
    <row r="15" spans="1:59" s="22" customFormat="1" ht="12">
      <c r="A15" s="26" t="s">
        <v>17</v>
      </c>
      <c r="B15" s="26"/>
      <c r="C15" s="51">
        <v>0</v>
      </c>
      <c r="D15" s="51"/>
      <c r="E15" s="51">
        <v>0</v>
      </c>
      <c r="F15" s="51"/>
      <c r="G15" s="51">
        <v>0</v>
      </c>
      <c r="H15" s="51"/>
      <c r="I15" s="51">
        <v>0</v>
      </c>
      <c r="J15" s="51"/>
      <c r="K15" s="51">
        <v>0</v>
      </c>
      <c r="L15" s="51"/>
      <c r="M15" s="51">
        <v>0</v>
      </c>
      <c r="N15" s="51"/>
      <c r="O15" s="51">
        <v>0</v>
      </c>
      <c r="P15" s="51"/>
      <c r="Q15" s="51">
        <v>0</v>
      </c>
      <c r="R15" s="51"/>
      <c r="S15" s="51">
        <v>0</v>
      </c>
      <c r="T15" s="51"/>
      <c r="U15" s="51">
        <v>0</v>
      </c>
      <c r="V15" s="51"/>
      <c r="W15" s="51"/>
      <c r="X15" s="51"/>
      <c r="Y15" s="51">
        <v>0</v>
      </c>
      <c r="Z15" s="51"/>
      <c r="AA15" s="51">
        <v>0</v>
      </c>
      <c r="AB15" s="51"/>
      <c r="AC15" s="51">
        <v>0</v>
      </c>
      <c r="AD15" s="51"/>
      <c r="AE15" s="51">
        <v>0</v>
      </c>
      <c r="AF15" s="51"/>
      <c r="AG15" s="51">
        <v>0</v>
      </c>
      <c r="AH15" s="51"/>
      <c r="AI15" s="51">
        <v>0</v>
      </c>
      <c r="AJ15" s="51"/>
      <c r="AK15" s="51">
        <v>0</v>
      </c>
      <c r="AL15" s="51"/>
      <c r="AM15" s="51">
        <v>0</v>
      </c>
      <c r="AN15" s="51"/>
      <c r="AO15" s="51">
        <v>0</v>
      </c>
      <c r="AP15" s="51"/>
      <c r="AQ15" s="51">
        <v>0</v>
      </c>
      <c r="AR15" s="51"/>
      <c r="AS15" s="51">
        <v>0</v>
      </c>
      <c r="AT15" s="51"/>
      <c r="AU15" s="51">
        <v>0</v>
      </c>
      <c r="AV15" s="51"/>
      <c r="AW15" s="51">
        <v>0</v>
      </c>
      <c r="AX15" s="51"/>
      <c r="AY15" s="51">
        <v>0</v>
      </c>
      <c r="AZ15" s="51"/>
      <c r="BA15" s="51">
        <v>0</v>
      </c>
      <c r="BB15" s="51"/>
      <c r="BC15" s="51">
        <v>0</v>
      </c>
      <c r="BD15" s="51"/>
      <c r="BE15" s="51"/>
      <c r="BF15" s="51"/>
      <c r="BG15" s="47">
        <f t="shared" si="0"/>
        <v>0</v>
      </c>
    </row>
    <row r="16" spans="1:59" s="22" customFormat="1" ht="12">
      <c r="A16" s="26" t="s">
        <v>18</v>
      </c>
      <c r="B16" s="26"/>
      <c r="C16" s="51">
        <f aca="true" t="shared" si="1" ref="C16:C79">G16-E16</f>
        <v>4842669</v>
      </c>
      <c r="D16" s="51"/>
      <c r="E16" s="51">
        <v>20979056</v>
      </c>
      <c r="F16" s="51"/>
      <c r="G16" s="51">
        <v>25821725</v>
      </c>
      <c r="H16" s="51"/>
      <c r="I16" s="51">
        <f aca="true" t="shared" si="2" ref="I16:I79">M16-K16</f>
        <v>-7691475</v>
      </c>
      <c r="J16" s="51"/>
      <c r="K16" s="51">
        <f aca="true" t="shared" si="3" ref="K16:K79">SUM(BG16)</f>
        <v>9849278</v>
      </c>
      <c r="L16" s="51"/>
      <c r="M16" s="51">
        <v>2157803</v>
      </c>
      <c r="N16" s="51"/>
      <c r="O16" s="51">
        <v>7699896</v>
      </c>
      <c r="P16" s="51"/>
      <c r="Q16" s="51">
        <f>536814+40000</f>
        <v>576814</v>
      </c>
      <c r="R16" s="51"/>
      <c r="S16" s="51">
        <v>5187800</v>
      </c>
      <c r="T16" s="51"/>
      <c r="U16" s="51">
        <f aca="true" t="shared" si="4" ref="U16:U79">SUM(O16:S16)</f>
        <v>13464510</v>
      </c>
      <c r="V16" s="51"/>
      <c r="W16" s="51">
        <f aca="true" t="shared" si="5" ref="W16:W79">+G16-M16-U16</f>
        <v>10199412</v>
      </c>
      <c r="X16" s="51"/>
      <c r="Y16" s="47">
        <v>2859329</v>
      </c>
      <c r="Z16" s="47"/>
      <c r="AA16" s="47">
        <f>2061942-586948</f>
        <v>1474994</v>
      </c>
      <c r="AB16" s="47"/>
      <c r="AC16" s="47">
        <v>586948</v>
      </c>
      <c r="AD16" s="47"/>
      <c r="AE16" s="52">
        <f aca="true" t="shared" si="6" ref="AE16:AE79">+Y16-AA16-AC16</f>
        <v>797387</v>
      </c>
      <c r="AF16" s="52"/>
      <c r="AG16" s="52">
        <v>-323819</v>
      </c>
      <c r="AH16" s="52"/>
      <c r="AI16" s="47">
        <v>0</v>
      </c>
      <c r="AJ16" s="47"/>
      <c r="AK16" s="47">
        <v>0</v>
      </c>
      <c r="AL16" s="47"/>
      <c r="AM16" s="47">
        <v>48489</v>
      </c>
      <c r="AN16" s="47"/>
      <c r="AO16" s="52">
        <f aca="true" t="shared" si="7" ref="AO16:AO79">+AE16+AG16+AI16-AK16+AM16</f>
        <v>522057</v>
      </c>
      <c r="AP16" s="52"/>
      <c r="AQ16" s="47">
        <v>0</v>
      </c>
      <c r="AR16" s="47"/>
      <c r="AS16" s="47">
        <v>0</v>
      </c>
      <c r="AT16" s="47"/>
      <c r="AU16" s="47">
        <f aca="true" t="shared" si="8" ref="AU16:AU79">+C16-I16</f>
        <v>12534144</v>
      </c>
      <c r="AV16" s="47"/>
      <c r="AW16" s="47">
        <v>816008</v>
      </c>
      <c r="AX16" s="47"/>
      <c r="AY16" s="47">
        <v>6919000</v>
      </c>
      <c r="AZ16" s="47"/>
      <c r="BA16" s="47">
        <v>34826</v>
      </c>
      <c r="BB16" s="47"/>
      <c r="BC16" s="47">
        <f>33511+45933+2000000</f>
        <v>2079444</v>
      </c>
      <c r="BD16" s="47"/>
      <c r="BE16" s="47"/>
      <c r="BF16" s="47"/>
      <c r="BG16" s="47">
        <f t="shared" si="0"/>
        <v>9849278</v>
      </c>
    </row>
    <row r="17" spans="1:59" s="22" customFormat="1" ht="12" hidden="1">
      <c r="A17" s="26" t="s">
        <v>97</v>
      </c>
      <c r="B17" s="26"/>
      <c r="C17" s="51">
        <f t="shared" si="1"/>
        <v>0</v>
      </c>
      <c r="D17" s="51"/>
      <c r="E17" s="51">
        <v>0</v>
      </c>
      <c r="F17" s="51"/>
      <c r="G17" s="51">
        <v>0</v>
      </c>
      <c r="H17" s="51"/>
      <c r="I17" s="51">
        <f t="shared" si="2"/>
        <v>0</v>
      </c>
      <c r="J17" s="51"/>
      <c r="K17" s="51">
        <f t="shared" si="3"/>
        <v>0</v>
      </c>
      <c r="L17" s="51"/>
      <c r="M17" s="51">
        <v>0</v>
      </c>
      <c r="N17" s="51"/>
      <c r="O17" s="51">
        <v>0</v>
      </c>
      <c r="P17" s="51"/>
      <c r="Q17" s="51">
        <v>0</v>
      </c>
      <c r="R17" s="51"/>
      <c r="S17" s="51">
        <v>0</v>
      </c>
      <c r="T17" s="51"/>
      <c r="U17" s="51">
        <f t="shared" si="4"/>
        <v>0</v>
      </c>
      <c r="V17" s="51"/>
      <c r="W17" s="51">
        <f t="shared" si="5"/>
        <v>0</v>
      </c>
      <c r="X17" s="51"/>
      <c r="Y17" s="47">
        <v>0</v>
      </c>
      <c r="Z17" s="47"/>
      <c r="AA17" s="47">
        <v>0</v>
      </c>
      <c r="AB17" s="47"/>
      <c r="AC17" s="47">
        <v>0</v>
      </c>
      <c r="AD17" s="47"/>
      <c r="AE17" s="52">
        <f t="shared" si="6"/>
        <v>0</v>
      </c>
      <c r="AF17" s="52"/>
      <c r="AG17" s="52">
        <v>0</v>
      </c>
      <c r="AH17" s="52"/>
      <c r="AI17" s="47">
        <v>0</v>
      </c>
      <c r="AJ17" s="47"/>
      <c r="AK17" s="47">
        <v>0</v>
      </c>
      <c r="AL17" s="47"/>
      <c r="AM17" s="47">
        <v>0</v>
      </c>
      <c r="AN17" s="47"/>
      <c r="AO17" s="52">
        <f t="shared" si="7"/>
        <v>0</v>
      </c>
      <c r="AP17" s="52"/>
      <c r="AQ17" s="47">
        <v>0</v>
      </c>
      <c r="AR17" s="47"/>
      <c r="AS17" s="47">
        <v>0</v>
      </c>
      <c r="AT17" s="47"/>
      <c r="AU17" s="47">
        <f t="shared" si="8"/>
        <v>0</v>
      </c>
      <c r="AV17" s="47"/>
      <c r="AW17" s="47">
        <v>0</v>
      </c>
      <c r="AX17" s="47"/>
      <c r="AY17" s="47">
        <v>0</v>
      </c>
      <c r="AZ17" s="47"/>
      <c r="BA17" s="47">
        <v>0</v>
      </c>
      <c r="BB17" s="47"/>
      <c r="BC17" s="47">
        <v>0</v>
      </c>
      <c r="BD17" s="47"/>
      <c r="BE17" s="47"/>
      <c r="BF17" s="47"/>
      <c r="BG17" s="47">
        <f t="shared" si="0"/>
        <v>0</v>
      </c>
    </row>
    <row r="18" spans="1:59" s="22" customFormat="1" ht="12">
      <c r="A18" s="26" t="s">
        <v>19</v>
      </c>
      <c r="B18" s="26"/>
      <c r="C18" s="51">
        <f t="shared" si="1"/>
        <v>13066234</v>
      </c>
      <c r="D18" s="51"/>
      <c r="E18" s="51">
        <v>126842942</v>
      </c>
      <c r="F18" s="51"/>
      <c r="G18" s="51">
        <v>139909176</v>
      </c>
      <c r="H18" s="51"/>
      <c r="I18" s="51">
        <f t="shared" si="2"/>
        <v>-67180692</v>
      </c>
      <c r="J18" s="51"/>
      <c r="K18" s="51">
        <f t="shared" si="3"/>
        <v>69197334</v>
      </c>
      <c r="L18" s="51"/>
      <c r="M18" s="51">
        <v>2016642</v>
      </c>
      <c r="N18" s="51"/>
      <c r="O18" s="51">
        <v>51994219</v>
      </c>
      <c r="P18" s="51"/>
      <c r="Q18" s="51">
        <f>3204414+2000000</f>
        <v>5204414</v>
      </c>
      <c r="R18" s="51"/>
      <c r="S18" s="51">
        <v>27558268</v>
      </c>
      <c r="T18" s="51"/>
      <c r="U18" s="51">
        <f t="shared" si="4"/>
        <v>84756901</v>
      </c>
      <c r="V18" s="51"/>
      <c r="W18" s="51">
        <f t="shared" si="5"/>
        <v>53135633</v>
      </c>
      <c r="X18" s="51"/>
      <c r="Y18" s="47">
        <v>16675326</v>
      </c>
      <c r="Z18" s="47"/>
      <c r="AA18" s="47">
        <f>19261203-4994480</f>
        <v>14266723</v>
      </c>
      <c r="AB18" s="47"/>
      <c r="AC18" s="47">
        <v>4994480</v>
      </c>
      <c r="AD18" s="47"/>
      <c r="AE18" s="52">
        <f t="shared" si="6"/>
        <v>-2585877</v>
      </c>
      <c r="AF18" s="52"/>
      <c r="AG18" s="52">
        <v>-2646232</v>
      </c>
      <c r="AH18" s="52"/>
      <c r="AI18" s="47">
        <v>0</v>
      </c>
      <c r="AJ18" s="47"/>
      <c r="AK18" s="47">
        <v>0</v>
      </c>
      <c r="AL18" s="47"/>
      <c r="AM18" s="47">
        <v>8084628</v>
      </c>
      <c r="AN18" s="47"/>
      <c r="AO18" s="52">
        <v>2852519</v>
      </c>
      <c r="AP18" s="52"/>
      <c r="AQ18" s="47">
        <v>0</v>
      </c>
      <c r="AR18" s="47"/>
      <c r="AS18" s="47">
        <v>0</v>
      </c>
      <c r="AT18" s="47"/>
      <c r="AU18" s="47">
        <f t="shared" si="8"/>
        <v>80246926</v>
      </c>
      <c r="AV18" s="47"/>
      <c r="AW18" s="47">
        <v>0</v>
      </c>
      <c r="AX18" s="47"/>
      <c r="AY18" s="47">
        <f>27595000+1260000</f>
        <v>28855000</v>
      </c>
      <c r="AZ18" s="47"/>
      <c r="BA18" s="47">
        <v>0</v>
      </c>
      <c r="BB18" s="47"/>
      <c r="BC18" s="47">
        <f>35220652+4830000+159247+93459+38976</f>
        <v>40342334</v>
      </c>
      <c r="BD18" s="47"/>
      <c r="BE18" s="47"/>
      <c r="BF18" s="47"/>
      <c r="BG18" s="47">
        <f t="shared" si="0"/>
        <v>69197334</v>
      </c>
    </row>
    <row r="19" spans="1:59" s="22" customFormat="1" ht="12">
      <c r="A19" s="26" t="s">
        <v>20</v>
      </c>
      <c r="B19" s="26"/>
      <c r="C19" s="51">
        <f t="shared" si="1"/>
        <v>0</v>
      </c>
      <c r="D19" s="51"/>
      <c r="E19" s="51">
        <v>0</v>
      </c>
      <c r="F19" s="51"/>
      <c r="G19" s="51">
        <v>0</v>
      </c>
      <c r="H19" s="51"/>
      <c r="I19" s="51">
        <f t="shared" si="2"/>
        <v>0</v>
      </c>
      <c r="J19" s="51"/>
      <c r="K19" s="51">
        <f t="shared" si="3"/>
        <v>0</v>
      </c>
      <c r="L19" s="51"/>
      <c r="M19" s="51">
        <v>0</v>
      </c>
      <c r="N19" s="51"/>
      <c r="O19" s="51">
        <v>0</v>
      </c>
      <c r="P19" s="51"/>
      <c r="Q19" s="51">
        <v>0</v>
      </c>
      <c r="R19" s="51"/>
      <c r="S19" s="51">
        <v>0</v>
      </c>
      <c r="T19" s="51"/>
      <c r="U19" s="51">
        <f t="shared" si="4"/>
        <v>0</v>
      </c>
      <c r="V19" s="51"/>
      <c r="W19" s="51">
        <f t="shared" si="5"/>
        <v>0</v>
      </c>
      <c r="X19" s="51"/>
      <c r="Y19" s="47">
        <v>0</v>
      </c>
      <c r="Z19" s="47"/>
      <c r="AA19" s="47">
        <v>0</v>
      </c>
      <c r="AB19" s="47"/>
      <c r="AC19" s="47">
        <v>0</v>
      </c>
      <c r="AD19" s="47"/>
      <c r="AE19" s="52">
        <f t="shared" si="6"/>
        <v>0</v>
      </c>
      <c r="AF19" s="52"/>
      <c r="AG19" s="52">
        <v>0</v>
      </c>
      <c r="AH19" s="52"/>
      <c r="AI19" s="47">
        <v>0</v>
      </c>
      <c r="AJ19" s="47"/>
      <c r="AK19" s="47">
        <v>0</v>
      </c>
      <c r="AL19" s="47"/>
      <c r="AM19" s="47">
        <v>0</v>
      </c>
      <c r="AN19" s="47"/>
      <c r="AO19" s="52">
        <f t="shared" si="7"/>
        <v>0</v>
      </c>
      <c r="AP19" s="52"/>
      <c r="AQ19" s="47">
        <v>0</v>
      </c>
      <c r="AR19" s="47"/>
      <c r="AS19" s="47">
        <v>0</v>
      </c>
      <c r="AT19" s="47"/>
      <c r="AU19" s="47">
        <f t="shared" si="8"/>
        <v>0</v>
      </c>
      <c r="AV19" s="47"/>
      <c r="AW19" s="47">
        <v>0</v>
      </c>
      <c r="AX19" s="47"/>
      <c r="AY19" s="47">
        <v>0</v>
      </c>
      <c r="AZ19" s="47"/>
      <c r="BA19" s="47">
        <v>0</v>
      </c>
      <c r="BB19" s="47"/>
      <c r="BC19" s="47">
        <v>0</v>
      </c>
      <c r="BD19" s="47"/>
      <c r="BE19" s="47"/>
      <c r="BF19" s="47"/>
      <c r="BG19" s="47">
        <f t="shared" si="0"/>
        <v>0</v>
      </c>
    </row>
    <row r="20" spans="1:59" s="22" customFormat="1" ht="12" hidden="1">
      <c r="A20" s="26" t="s">
        <v>182</v>
      </c>
      <c r="B20" s="26"/>
      <c r="C20" s="51">
        <f t="shared" si="1"/>
        <v>0</v>
      </c>
      <c r="D20" s="51"/>
      <c r="E20" s="51">
        <v>0</v>
      </c>
      <c r="F20" s="51"/>
      <c r="G20" s="51">
        <v>0</v>
      </c>
      <c r="H20" s="51"/>
      <c r="I20" s="51">
        <f t="shared" si="2"/>
        <v>0</v>
      </c>
      <c r="J20" s="51"/>
      <c r="K20" s="51">
        <f t="shared" si="3"/>
        <v>0</v>
      </c>
      <c r="L20" s="51"/>
      <c r="M20" s="51">
        <v>0</v>
      </c>
      <c r="N20" s="51"/>
      <c r="O20" s="51">
        <v>0</v>
      </c>
      <c r="P20" s="51"/>
      <c r="Q20" s="51">
        <v>0</v>
      </c>
      <c r="R20" s="51"/>
      <c r="S20" s="51">
        <v>0</v>
      </c>
      <c r="T20" s="51"/>
      <c r="U20" s="51">
        <f t="shared" si="4"/>
        <v>0</v>
      </c>
      <c r="V20" s="51"/>
      <c r="W20" s="51">
        <f t="shared" si="5"/>
        <v>0</v>
      </c>
      <c r="X20" s="51"/>
      <c r="Y20" s="47">
        <v>0</v>
      </c>
      <c r="Z20" s="47"/>
      <c r="AA20" s="47">
        <v>0</v>
      </c>
      <c r="AB20" s="47"/>
      <c r="AC20" s="47">
        <v>0</v>
      </c>
      <c r="AD20" s="47"/>
      <c r="AE20" s="52">
        <f t="shared" si="6"/>
        <v>0</v>
      </c>
      <c r="AF20" s="52"/>
      <c r="AG20" s="52">
        <v>0</v>
      </c>
      <c r="AH20" s="52"/>
      <c r="AI20" s="47">
        <v>0</v>
      </c>
      <c r="AJ20" s="47"/>
      <c r="AK20" s="47">
        <v>0</v>
      </c>
      <c r="AL20" s="47"/>
      <c r="AM20" s="47">
        <v>0</v>
      </c>
      <c r="AN20" s="47"/>
      <c r="AO20" s="52">
        <f t="shared" si="7"/>
        <v>0</v>
      </c>
      <c r="AP20" s="52"/>
      <c r="AQ20" s="47">
        <v>0</v>
      </c>
      <c r="AR20" s="47"/>
      <c r="AS20" s="47">
        <v>0</v>
      </c>
      <c r="AT20" s="47"/>
      <c r="AU20" s="47">
        <f t="shared" si="8"/>
        <v>0</v>
      </c>
      <c r="AV20" s="47"/>
      <c r="AW20" s="47">
        <v>0</v>
      </c>
      <c r="AX20" s="47"/>
      <c r="AY20" s="47">
        <v>0</v>
      </c>
      <c r="AZ20" s="47"/>
      <c r="BA20" s="47">
        <v>0</v>
      </c>
      <c r="BB20" s="47"/>
      <c r="BC20" s="47">
        <v>0</v>
      </c>
      <c r="BD20" s="47"/>
      <c r="BE20" s="47"/>
      <c r="BF20" s="47"/>
      <c r="BG20" s="47">
        <f t="shared" si="0"/>
        <v>0</v>
      </c>
    </row>
    <row r="21" spans="1:59" s="22" customFormat="1" ht="12">
      <c r="A21" s="26" t="s">
        <v>21</v>
      </c>
      <c r="B21" s="26"/>
      <c r="C21" s="51">
        <f t="shared" si="1"/>
        <v>999207</v>
      </c>
      <c r="D21" s="51"/>
      <c r="E21" s="51">
        <v>3888365</v>
      </c>
      <c r="F21" s="51"/>
      <c r="G21" s="51">
        <v>4887572</v>
      </c>
      <c r="H21" s="51"/>
      <c r="I21" s="51">
        <f t="shared" si="2"/>
        <v>1206095</v>
      </c>
      <c r="J21" s="51"/>
      <c r="K21" s="51">
        <f t="shared" si="3"/>
        <v>328322</v>
      </c>
      <c r="L21" s="51"/>
      <c r="M21" s="51">
        <v>1534417</v>
      </c>
      <c r="N21" s="51"/>
      <c r="O21" s="51">
        <v>2539765</v>
      </c>
      <c r="P21" s="51"/>
      <c r="Q21" s="51">
        <v>0</v>
      </c>
      <c r="R21" s="51"/>
      <c r="S21" s="51">
        <v>813390</v>
      </c>
      <c r="T21" s="51"/>
      <c r="U21" s="51">
        <f t="shared" si="4"/>
        <v>3353155</v>
      </c>
      <c r="V21" s="51"/>
      <c r="W21" s="51">
        <f t="shared" si="5"/>
        <v>0</v>
      </c>
      <c r="X21" s="51"/>
      <c r="Y21" s="47">
        <v>1572764</v>
      </c>
      <c r="Z21" s="47"/>
      <c r="AA21" s="47">
        <f>1533286-99360</f>
        <v>1433926</v>
      </c>
      <c r="AB21" s="47"/>
      <c r="AC21" s="47">
        <v>99360</v>
      </c>
      <c r="AD21" s="47"/>
      <c r="AE21" s="52">
        <v>39478</v>
      </c>
      <c r="AF21" s="52"/>
      <c r="AG21" s="52">
        <v>-19381</v>
      </c>
      <c r="AH21" s="52"/>
      <c r="AI21" s="47">
        <v>0</v>
      </c>
      <c r="AJ21" s="47"/>
      <c r="AK21" s="47">
        <v>0</v>
      </c>
      <c r="AL21" s="47"/>
      <c r="AM21" s="47">
        <v>0</v>
      </c>
      <c r="AN21" s="47"/>
      <c r="AO21" s="52">
        <v>20097</v>
      </c>
      <c r="AP21" s="52"/>
      <c r="AQ21" s="47">
        <v>0</v>
      </c>
      <c r="AR21" s="47"/>
      <c r="AS21" s="47">
        <v>0</v>
      </c>
      <c r="AT21" s="47"/>
      <c r="AU21" s="47">
        <f t="shared" si="8"/>
        <v>-206888</v>
      </c>
      <c r="AV21" s="47"/>
      <c r="AW21" s="47">
        <v>0</v>
      </c>
      <c r="AX21" s="47"/>
      <c r="AY21" s="47">
        <v>0</v>
      </c>
      <c r="AZ21" s="47"/>
      <c r="BA21" s="47">
        <v>273600</v>
      </c>
      <c r="BB21" s="47"/>
      <c r="BC21" s="47">
        <v>54722</v>
      </c>
      <c r="BD21" s="47"/>
      <c r="BE21" s="47"/>
      <c r="BF21" s="47"/>
      <c r="BG21" s="47">
        <f t="shared" si="0"/>
        <v>328322</v>
      </c>
    </row>
    <row r="22" spans="1:59" s="22" customFormat="1" ht="12">
      <c r="A22" s="26" t="s">
        <v>193</v>
      </c>
      <c r="B22" s="26"/>
      <c r="C22" s="51">
        <f t="shared" si="1"/>
        <v>31358076</v>
      </c>
      <c r="D22" s="51"/>
      <c r="E22" s="51">
        <v>96117453</v>
      </c>
      <c r="F22" s="51"/>
      <c r="G22" s="51">
        <v>127475529</v>
      </c>
      <c r="H22" s="51"/>
      <c r="I22" s="51">
        <f t="shared" si="2"/>
        <v>-38918077</v>
      </c>
      <c r="J22" s="51"/>
      <c r="K22" s="51">
        <f t="shared" si="3"/>
        <v>39394871</v>
      </c>
      <c r="L22" s="51"/>
      <c r="M22" s="51">
        <v>476794</v>
      </c>
      <c r="N22" s="51"/>
      <c r="O22" s="51">
        <v>51303788</v>
      </c>
      <c r="P22" s="51"/>
      <c r="Q22" s="51">
        <v>2927263</v>
      </c>
      <c r="R22" s="51"/>
      <c r="S22" s="51">
        <v>33372813</v>
      </c>
      <c r="T22" s="51"/>
      <c r="U22" s="51">
        <f t="shared" si="4"/>
        <v>87603864</v>
      </c>
      <c r="V22" s="51"/>
      <c r="W22" s="51">
        <f t="shared" si="5"/>
        <v>39394871</v>
      </c>
      <c r="X22" s="51"/>
      <c r="Y22" s="47">
        <v>11096315</v>
      </c>
      <c r="Z22" s="47"/>
      <c r="AA22" s="47">
        <f>8323744-3290588</f>
        <v>5033156</v>
      </c>
      <c r="AB22" s="47"/>
      <c r="AC22" s="47">
        <v>3290588</v>
      </c>
      <c r="AD22" s="47"/>
      <c r="AE22" s="52">
        <f t="shared" si="6"/>
        <v>2772571</v>
      </c>
      <c r="AF22" s="52"/>
      <c r="AG22" s="52">
        <v>-1844114</v>
      </c>
      <c r="AH22" s="52"/>
      <c r="AI22" s="47">
        <v>240000</v>
      </c>
      <c r="AJ22" s="47"/>
      <c r="AK22" s="47">
        <v>0</v>
      </c>
      <c r="AL22" s="47"/>
      <c r="AM22" s="47">
        <v>3638330</v>
      </c>
      <c r="AN22" s="47"/>
      <c r="AO22" s="52">
        <f t="shared" si="7"/>
        <v>4806787</v>
      </c>
      <c r="AP22" s="52"/>
      <c r="AQ22" s="47">
        <v>0</v>
      </c>
      <c r="AR22" s="47"/>
      <c r="AS22" s="47">
        <v>0</v>
      </c>
      <c r="AT22" s="47"/>
      <c r="AU22" s="47">
        <f t="shared" si="8"/>
        <v>70276153</v>
      </c>
      <c r="AV22" s="47"/>
      <c r="AW22" s="47">
        <v>0</v>
      </c>
      <c r="AX22" s="47"/>
      <c r="AY22" s="47">
        <v>34965000</v>
      </c>
      <c r="AZ22" s="47"/>
      <c r="BA22" s="47">
        <v>573300</v>
      </c>
      <c r="BB22" s="47"/>
      <c r="BC22" s="47">
        <f>1328639+117797+314035+26400</f>
        <v>1786871</v>
      </c>
      <c r="BD22" s="47"/>
      <c r="BE22" s="47">
        <v>2069700</v>
      </c>
      <c r="BF22" s="47"/>
      <c r="BG22" s="47">
        <f t="shared" si="0"/>
        <v>39394871</v>
      </c>
    </row>
    <row r="23" spans="1:59" s="22" customFormat="1" ht="12">
      <c r="A23" s="26" t="s">
        <v>22</v>
      </c>
      <c r="B23" s="26"/>
      <c r="C23" s="51">
        <f t="shared" si="1"/>
        <v>0</v>
      </c>
      <c r="D23" s="51"/>
      <c r="E23" s="51">
        <v>0</v>
      </c>
      <c r="F23" s="51"/>
      <c r="G23" s="51">
        <v>0</v>
      </c>
      <c r="H23" s="51"/>
      <c r="I23" s="51">
        <f t="shared" si="2"/>
        <v>0</v>
      </c>
      <c r="J23" s="51"/>
      <c r="K23" s="51">
        <f t="shared" si="3"/>
        <v>0</v>
      </c>
      <c r="L23" s="51"/>
      <c r="M23" s="51">
        <v>0</v>
      </c>
      <c r="N23" s="51"/>
      <c r="O23" s="51">
        <v>0</v>
      </c>
      <c r="P23" s="51"/>
      <c r="Q23" s="51">
        <v>0</v>
      </c>
      <c r="R23" s="51"/>
      <c r="S23" s="51">
        <v>0</v>
      </c>
      <c r="T23" s="51"/>
      <c r="U23" s="51">
        <f t="shared" si="4"/>
        <v>0</v>
      </c>
      <c r="V23" s="51"/>
      <c r="W23" s="51">
        <f t="shared" si="5"/>
        <v>0</v>
      </c>
      <c r="X23" s="51"/>
      <c r="Y23" s="47">
        <v>0</v>
      </c>
      <c r="Z23" s="47"/>
      <c r="AA23" s="47">
        <v>0</v>
      </c>
      <c r="AB23" s="47"/>
      <c r="AC23" s="47">
        <v>0</v>
      </c>
      <c r="AD23" s="47"/>
      <c r="AE23" s="52">
        <f t="shared" si="6"/>
        <v>0</v>
      </c>
      <c r="AF23" s="52"/>
      <c r="AG23" s="52">
        <v>0</v>
      </c>
      <c r="AH23" s="52"/>
      <c r="AI23" s="47">
        <v>0</v>
      </c>
      <c r="AJ23" s="47"/>
      <c r="AK23" s="47">
        <v>0</v>
      </c>
      <c r="AL23" s="47"/>
      <c r="AM23" s="47">
        <v>0</v>
      </c>
      <c r="AN23" s="47"/>
      <c r="AO23" s="52">
        <f t="shared" si="7"/>
        <v>0</v>
      </c>
      <c r="AP23" s="52"/>
      <c r="AQ23" s="47">
        <v>0</v>
      </c>
      <c r="AR23" s="47"/>
      <c r="AS23" s="47">
        <v>0</v>
      </c>
      <c r="AT23" s="47"/>
      <c r="AU23" s="47">
        <f t="shared" si="8"/>
        <v>0</v>
      </c>
      <c r="AV23" s="47"/>
      <c r="AW23" s="47">
        <v>0</v>
      </c>
      <c r="AX23" s="47"/>
      <c r="AY23" s="47">
        <v>0</v>
      </c>
      <c r="AZ23" s="47"/>
      <c r="BA23" s="47">
        <v>0</v>
      </c>
      <c r="BB23" s="47"/>
      <c r="BC23" s="47">
        <v>0</v>
      </c>
      <c r="BD23" s="47"/>
      <c r="BE23" s="47"/>
      <c r="BF23" s="47"/>
      <c r="BG23" s="47">
        <f aca="true" t="shared" si="9" ref="BG23:BG86">SUM(AW23:BC23)+BE23</f>
        <v>0</v>
      </c>
    </row>
    <row r="24" spans="1:59" s="22" customFormat="1" ht="12" hidden="1">
      <c r="A24" s="26" t="s">
        <v>23</v>
      </c>
      <c r="B24" s="26"/>
      <c r="C24" s="51">
        <f t="shared" si="1"/>
        <v>0</v>
      </c>
      <c r="D24" s="51"/>
      <c r="E24" s="51">
        <v>0</v>
      </c>
      <c r="F24" s="51"/>
      <c r="G24" s="51">
        <v>0</v>
      </c>
      <c r="H24" s="51"/>
      <c r="I24" s="51">
        <f t="shared" si="2"/>
        <v>0</v>
      </c>
      <c r="J24" s="51"/>
      <c r="K24" s="51">
        <f t="shared" si="3"/>
        <v>0</v>
      </c>
      <c r="L24" s="51"/>
      <c r="M24" s="51">
        <v>0</v>
      </c>
      <c r="N24" s="51"/>
      <c r="O24" s="51">
        <v>0</v>
      </c>
      <c r="P24" s="51"/>
      <c r="Q24" s="51">
        <v>0</v>
      </c>
      <c r="R24" s="51"/>
      <c r="S24" s="51">
        <v>0</v>
      </c>
      <c r="T24" s="51"/>
      <c r="U24" s="51">
        <f t="shared" si="4"/>
        <v>0</v>
      </c>
      <c r="V24" s="51"/>
      <c r="W24" s="51">
        <f t="shared" si="5"/>
        <v>0</v>
      </c>
      <c r="X24" s="51"/>
      <c r="Y24" s="47">
        <v>0</v>
      </c>
      <c r="Z24" s="47"/>
      <c r="AA24" s="47">
        <v>0</v>
      </c>
      <c r="AB24" s="47"/>
      <c r="AC24" s="47">
        <v>0</v>
      </c>
      <c r="AD24" s="47"/>
      <c r="AE24" s="52">
        <f t="shared" si="6"/>
        <v>0</v>
      </c>
      <c r="AF24" s="52"/>
      <c r="AG24" s="52">
        <v>0</v>
      </c>
      <c r="AH24" s="52"/>
      <c r="AI24" s="47">
        <v>0</v>
      </c>
      <c r="AJ24" s="47"/>
      <c r="AK24" s="47">
        <v>0</v>
      </c>
      <c r="AL24" s="47"/>
      <c r="AM24" s="47">
        <v>0</v>
      </c>
      <c r="AN24" s="47"/>
      <c r="AO24" s="52">
        <f t="shared" si="7"/>
        <v>0</v>
      </c>
      <c r="AP24" s="52"/>
      <c r="AQ24" s="47">
        <v>0</v>
      </c>
      <c r="AR24" s="47"/>
      <c r="AS24" s="47">
        <v>0</v>
      </c>
      <c r="AT24" s="47"/>
      <c r="AU24" s="47">
        <f t="shared" si="8"/>
        <v>0</v>
      </c>
      <c r="AV24" s="47"/>
      <c r="AW24" s="47">
        <v>0</v>
      </c>
      <c r="AX24" s="47"/>
      <c r="AY24" s="47">
        <v>0</v>
      </c>
      <c r="AZ24" s="47"/>
      <c r="BA24" s="47">
        <v>0</v>
      </c>
      <c r="BB24" s="47"/>
      <c r="BC24" s="47">
        <v>0</v>
      </c>
      <c r="BD24" s="47"/>
      <c r="BE24" s="47"/>
      <c r="BF24" s="47"/>
      <c r="BG24" s="47">
        <f t="shared" si="9"/>
        <v>0</v>
      </c>
    </row>
    <row r="25" spans="1:59" s="22" customFormat="1" ht="12" hidden="1">
      <c r="A25" s="26" t="s">
        <v>24</v>
      </c>
      <c r="B25" s="26"/>
      <c r="C25" s="51">
        <f t="shared" si="1"/>
        <v>0</v>
      </c>
      <c r="D25" s="51"/>
      <c r="E25" s="51">
        <v>0</v>
      </c>
      <c r="F25" s="51"/>
      <c r="G25" s="51">
        <v>0</v>
      </c>
      <c r="H25" s="51"/>
      <c r="I25" s="51">
        <f t="shared" si="2"/>
        <v>0</v>
      </c>
      <c r="J25" s="51"/>
      <c r="K25" s="51">
        <f t="shared" si="3"/>
        <v>0</v>
      </c>
      <c r="L25" s="51"/>
      <c r="M25" s="51">
        <v>0</v>
      </c>
      <c r="N25" s="51"/>
      <c r="O25" s="51">
        <v>0</v>
      </c>
      <c r="P25" s="51"/>
      <c r="Q25" s="51">
        <v>0</v>
      </c>
      <c r="R25" s="51"/>
      <c r="S25" s="51">
        <v>0</v>
      </c>
      <c r="T25" s="51"/>
      <c r="U25" s="51">
        <f t="shared" si="4"/>
        <v>0</v>
      </c>
      <c r="V25" s="51"/>
      <c r="W25" s="51">
        <f t="shared" si="5"/>
        <v>0</v>
      </c>
      <c r="X25" s="51"/>
      <c r="Y25" s="47">
        <v>0</v>
      </c>
      <c r="Z25" s="47"/>
      <c r="AA25" s="47">
        <v>0</v>
      </c>
      <c r="AB25" s="47"/>
      <c r="AC25" s="47">
        <v>0</v>
      </c>
      <c r="AD25" s="47"/>
      <c r="AE25" s="52">
        <f t="shared" si="6"/>
        <v>0</v>
      </c>
      <c r="AF25" s="52"/>
      <c r="AG25" s="52">
        <v>0</v>
      </c>
      <c r="AH25" s="52"/>
      <c r="AI25" s="47">
        <v>0</v>
      </c>
      <c r="AJ25" s="47"/>
      <c r="AK25" s="47">
        <v>0</v>
      </c>
      <c r="AL25" s="47"/>
      <c r="AM25" s="47">
        <v>0</v>
      </c>
      <c r="AN25" s="47"/>
      <c r="AO25" s="52">
        <f t="shared" si="7"/>
        <v>0</v>
      </c>
      <c r="AP25" s="52"/>
      <c r="AQ25" s="47">
        <v>0</v>
      </c>
      <c r="AR25" s="47"/>
      <c r="AS25" s="47">
        <v>0</v>
      </c>
      <c r="AT25" s="47"/>
      <c r="AU25" s="47">
        <f t="shared" si="8"/>
        <v>0</v>
      </c>
      <c r="AV25" s="47"/>
      <c r="AW25" s="47">
        <v>0</v>
      </c>
      <c r="AX25" s="47"/>
      <c r="AY25" s="47">
        <v>0</v>
      </c>
      <c r="AZ25" s="47"/>
      <c r="BA25" s="47">
        <v>0</v>
      </c>
      <c r="BB25" s="47"/>
      <c r="BC25" s="47">
        <v>0</v>
      </c>
      <c r="BD25" s="47"/>
      <c r="BE25" s="47"/>
      <c r="BF25" s="47"/>
      <c r="BG25" s="47">
        <f t="shared" si="9"/>
        <v>0</v>
      </c>
    </row>
    <row r="26" spans="1:59" s="22" customFormat="1" ht="12">
      <c r="A26" s="26" t="s">
        <v>191</v>
      </c>
      <c r="B26" s="26"/>
      <c r="C26" s="51">
        <v>0</v>
      </c>
      <c r="D26" s="51"/>
      <c r="E26" s="51">
        <v>0</v>
      </c>
      <c r="F26" s="51"/>
      <c r="G26" s="51">
        <v>0</v>
      </c>
      <c r="H26" s="51"/>
      <c r="I26" s="51">
        <v>0</v>
      </c>
      <c r="J26" s="51"/>
      <c r="K26" s="51">
        <f t="shared" si="3"/>
        <v>0</v>
      </c>
      <c r="L26" s="51"/>
      <c r="M26" s="51">
        <v>0</v>
      </c>
      <c r="N26" s="51"/>
      <c r="O26" s="51">
        <v>0</v>
      </c>
      <c r="P26" s="51"/>
      <c r="Q26" s="51">
        <v>0</v>
      </c>
      <c r="R26" s="51"/>
      <c r="S26" s="51">
        <v>0</v>
      </c>
      <c r="T26" s="51"/>
      <c r="U26" s="51">
        <f t="shared" si="4"/>
        <v>0</v>
      </c>
      <c r="V26" s="51"/>
      <c r="W26" s="51">
        <f t="shared" si="5"/>
        <v>0</v>
      </c>
      <c r="X26" s="51"/>
      <c r="Y26" s="47">
        <v>0</v>
      </c>
      <c r="Z26" s="47"/>
      <c r="AA26" s="47">
        <v>0</v>
      </c>
      <c r="AB26" s="47"/>
      <c r="AC26" s="47">
        <v>0</v>
      </c>
      <c r="AD26" s="47"/>
      <c r="AE26" s="52">
        <f t="shared" si="6"/>
        <v>0</v>
      </c>
      <c r="AF26" s="52"/>
      <c r="AG26" s="52">
        <v>0</v>
      </c>
      <c r="AH26" s="52"/>
      <c r="AI26" s="47">
        <v>0</v>
      </c>
      <c r="AJ26" s="47"/>
      <c r="AK26" s="47">
        <v>0</v>
      </c>
      <c r="AL26" s="47"/>
      <c r="AM26" s="47">
        <v>0</v>
      </c>
      <c r="AN26" s="47"/>
      <c r="AO26" s="52"/>
      <c r="AP26" s="52"/>
      <c r="AQ26" s="47">
        <v>0</v>
      </c>
      <c r="AR26" s="47"/>
      <c r="AS26" s="47">
        <v>0</v>
      </c>
      <c r="AT26" s="47"/>
      <c r="AU26" s="47">
        <f t="shared" si="8"/>
        <v>0</v>
      </c>
      <c r="AV26" s="47"/>
      <c r="AW26" s="47">
        <v>0</v>
      </c>
      <c r="AX26" s="47"/>
      <c r="AY26" s="47">
        <v>0</v>
      </c>
      <c r="AZ26" s="47"/>
      <c r="BA26" s="47">
        <v>0</v>
      </c>
      <c r="BB26" s="47"/>
      <c r="BC26" s="47">
        <v>0</v>
      </c>
      <c r="BD26" s="47"/>
      <c r="BE26" s="47"/>
      <c r="BF26" s="47"/>
      <c r="BG26" s="47">
        <f t="shared" si="9"/>
        <v>0</v>
      </c>
    </row>
    <row r="27" spans="1:59" s="22" customFormat="1" ht="12">
      <c r="A27" s="26" t="s">
        <v>25</v>
      </c>
      <c r="B27" s="26"/>
      <c r="C27" s="51">
        <f t="shared" si="1"/>
        <v>0</v>
      </c>
      <c r="D27" s="51"/>
      <c r="E27" s="51">
        <v>0</v>
      </c>
      <c r="F27" s="51"/>
      <c r="G27" s="51">
        <v>0</v>
      </c>
      <c r="H27" s="51"/>
      <c r="I27" s="51">
        <f t="shared" si="2"/>
        <v>0</v>
      </c>
      <c r="J27" s="51"/>
      <c r="K27" s="51">
        <f t="shared" si="3"/>
        <v>0</v>
      </c>
      <c r="L27" s="51"/>
      <c r="M27" s="51">
        <v>0</v>
      </c>
      <c r="N27" s="51"/>
      <c r="O27" s="51">
        <v>0</v>
      </c>
      <c r="P27" s="51"/>
      <c r="Q27" s="51">
        <v>0</v>
      </c>
      <c r="R27" s="51"/>
      <c r="S27" s="51">
        <v>0</v>
      </c>
      <c r="T27" s="51"/>
      <c r="U27" s="51">
        <f t="shared" si="4"/>
        <v>0</v>
      </c>
      <c r="V27" s="51"/>
      <c r="W27" s="51">
        <f t="shared" si="5"/>
        <v>0</v>
      </c>
      <c r="X27" s="51"/>
      <c r="Y27" s="47">
        <v>0</v>
      </c>
      <c r="Z27" s="47"/>
      <c r="AA27" s="47">
        <v>0</v>
      </c>
      <c r="AB27" s="47"/>
      <c r="AC27" s="47">
        <v>0</v>
      </c>
      <c r="AD27" s="47"/>
      <c r="AE27" s="52">
        <f t="shared" si="6"/>
        <v>0</v>
      </c>
      <c r="AF27" s="52"/>
      <c r="AG27" s="52">
        <v>0</v>
      </c>
      <c r="AH27" s="52"/>
      <c r="AI27" s="47">
        <v>0</v>
      </c>
      <c r="AJ27" s="47"/>
      <c r="AK27" s="47">
        <v>0</v>
      </c>
      <c r="AL27" s="47"/>
      <c r="AM27" s="47">
        <v>0</v>
      </c>
      <c r="AN27" s="47"/>
      <c r="AO27" s="52">
        <f t="shared" si="7"/>
        <v>0</v>
      </c>
      <c r="AP27" s="52"/>
      <c r="AQ27" s="47">
        <v>0</v>
      </c>
      <c r="AR27" s="47"/>
      <c r="AS27" s="47">
        <v>0</v>
      </c>
      <c r="AT27" s="47"/>
      <c r="AU27" s="47">
        <f t="shared" si="8"/>
        <v>0</v>
      </c>
      <c r="AV27" s="47"/>
      <c r="AW27" s="47">
        <v>0</v>
      </c>
      <c r="AX27" s="47"/>
      <c r="AY27" s="47">
        <v>0</v>
      </c>
      <c r="AZ27" s="47"/>
      <c r="BA27" s="47">
        <v>0</v>
      </c>
      <c r="BB27" s="47"/>
      <c r="BC27" s="47">
        <v>0</v>
      </c>
      <c r="BD27" s="47"/>
      <c r="BE27" s="47"/>
      <c r="BF27" s="47"/>
      <c r="BG27" s="47">
        <f t="shared" si="9"/>
        <v>0</v>
      </c>
    </row>
    <row r="28" spans="1:59" s="22" customFormat="1" ht="12">
      <c r="A28" s="26" t="s">
        <v>26</v>
      </c>
      <c r="B28" s="26"/>
      <c r="C28" s="51">
        <f>G28-E28</f>
        <v>0</v>
      </c>
      <c r="D28" s="51"/>
      <c r="E28" s="51">
        <v>0</v>
      </c>
      <c r="F28" s="51"/>
      <c r="G28" s="51">
        <v>0</v>
      </c>
      <c r="H28" s="51"/>
      <c r="I28" s="51">
        <f>M28-K28</f>
        <v>0</v>
      </c>
      <c r="J28" s="51"/>
      <c r="K28" s="51">
        <f>SUM(BG28)</f>
        <v>0</v>
      </c>
      <c r="L28" s="51"/>
      <c r="M28" s="51">
        <v>0</v>
      </c>
      <c r="N28" s="51"/>
      <c r="O28" s="51">
        <v>0</v>
      </c>
      <c r="P28" s="51"/>
      <c r="Q28" s="51">
        <v>0</v>
      </c>
      <c r="R28" s="51"/>
      <c r="S28" s="51">
        <v>0</v>
      </c>
      <c r="T28" s="51"/>
      <c r="U28" s="51">
        <f>SUM(O28:S28)</f>
        <v>0</v>
      </c>
      <c r="V28" s="51"/>
      <c r="W28" s="51">
        <f>+G28-M28-U28</f>
        <v>0</v>
      </c>
      <c r="X28" s="51"/>
      <c r="Y28" s="47">
        <v>0</v>
      </c>
      <c r="Z28" s="47"/>
      <c r="AA28" s="47">
        <v>0</v>
      </c>
      <c r="AB28" s="47"/>
      <c r="AC28" s="47">
        <v>0</v>
      </c>
      <c r="AD28" s="47"/>
      <c r="AE28" s="52">
        <f>+Y28-AA28-AC28</f>
        <v>0</v>
      </c>
      <c r="AF28" s="52"/>
      <c r="AG28" s="52">
        <v>0</v>
      </c>
      <c r="AH28" s="52"/>
      <c r="AI28" s="47">
        <v>0</v>
      </c>
      <c r="AJ28" s="47"/>
      <c r="AK28" s="47">
        <v>0</v>
      </c>
      <c r="AL28" s="47"/>
      <c r="AM28" s="47">
        <v>0</v>
      </c>
      <c r="AN28" s="47"/>
      <c r="AO28" s="52">
        <f>+AE28+AG28+AI28-AK28+AM28</f>
        <v>0</v>
      </c>
      <c r="AP28" s="52"/>
      <c r="AQ28" s="47">
        <v>0</v>
      </c>
      <c r="AR28" s="47"/>
      <c r="AS28" s="47">
        <v>0</v>
      </c>
      <c r="AT28" s="47"/>
      <c r="AU28" s="47">
        <f>+C28-I28</f>
        <v>0</v>
      </c>
      <c r="AV28" s="47"/>
      <c r="AW28" s="47">
        <v>0</v>
      </c>
      <c r="AX28" s="47"/>
      <c r="AY28" s="47">
        <v>0</v>
      </c>
      <c r="AZ28" s="47"/>
      <c r="BA28" s="47">
        <v>0</v>
      </c>
      <c r="BB28" s="47"/>
      <c r="BC28" s="47">
        <v>0</v>
      </c>
      <c r="BD28" s="47"/>
      <c r="BE28" s="47"/>
      <c r="BF28" s="47"/>
      <c r="BG28" s="47">
        <f>SUM(AW28:BC28)+BE28</f>
        <v>0</v>
      </c>
    </row>
    <row r="29" spans="1:59" s="22" customFormat="1" ht="12">
      <c r="A29" s="26" t="s">
        <v>27</v>
      </c>
      <c r="B29" s="26"/>
      <c r="C29" s="51">
        <f t="shared" si="1"/>
        <v>0</v>
      </c>
      <c r="D29" s="51"/>
      <c r="E29" s="51">
        <v>0</v>
      </c>
      <c r="F29" s="51"/>
      <c r="G29" s="51">
        <v>0</v>
      </c>
      <c r="H29" s="51"/>
      <c r="I29" s="51">
        <f t="shared" si="2"/>
        <v>0</v>
      </c>
      <c r="J29" s="51"/>
      <c r="K29" s="51">
        <f t="shared" si="3"/>
        <v>0</v>
      </c>
      <c r="L29" s="51"/>
      <c r="M29" s="51">
        <v>0</v>
      </c>
      <c r="N29" s="51"/>
      <c r="O29" s="51">
        <v>0</v>
      </c>
      <c r="P29" s="51"/>
      <c r="Q29" s="51">
        <v>0</v>
      </c>
      <c r="R29" s="51"/>
      <c r="S29" s="51">
        <v>0</v>
      </c>
      <c r="T29" s="51"/>
      <c r="U29" s="51">
        <f t="shared" si="4"/>
        <v>0</v>
      </c>
      <c r="V29" s="51"/>
      <c r="W29" s="51">
        <f t="shared" si="5"/>
        <v>0</v>
      </c>
      <c r="X29" s="51"/>
      <c r="Y29" s="47">
        <v>0</v>
      </c>
      <c r="Z29" s="47"/>
      <c r="AA29" s="47">
        <v>0</v>
      </c>
      <c r="AB29" s="47"/>
      <c r="AC29" s="47">
        <v>0</v>
      </c>
      <c r="AD29" s="47"/>
      <c r="AE29" s="52">
        <f t="shared" si="6"/>
        <v>0</v>
      </c>
      <c r="AF29" s="52"/>
      <c r="AG29" s="52">
        <v>0</v>
      </c>
      <c r="AH29" s="52"/>
      <c r="AI29" s="47">
        <v>0</v>
      </c>
      <c r="AJ29" s="47"/>
      <c r="AK29" s="47">
        <v>0</v>
      </c>
      <c r="AL29" s="47"/>
      <c r="AM29" s="47">
        <v>0</v>
      </c>
      <c r="AN29" s="47"/>
      <c r="AO29" s="52">
        <f t="shared" si="7"/>
        <v>0</v>
      </c>
      <c r="AP29" s="52"/>
      <c r="AQ29" s="47">
        <v>0</v>
      </c>
      <c r="AR29" s="47"/>
      <c r="AS29" s="47">
        <v>0</v>
      </c>
      <c r="AT29" s="47"/>
      <c r="AU29" s="47">
        <f t="shared" si="8"/>
        <v>0</v>
      </c>
      <c r="AV29" s="47"/>
      <c r="AW29" s="47">
        <v>0</v>
      </c>
      <c r="AX29" s="47"/>
      <c r="AY29" s="47">
        <v>0</v>
      </c>
      <c r="AZ29" s="47"/>
      <c r="BA29" s="47">
        <v>0</v>
      </c>
      <c r="BB29" s="47"/>
      <c r="BC29" s="47">
        <v>0</v>
      </c>
      <c r="BD29" s="47"/>
      <c r="BE29" s="47"/>
      <c r="BF29" s="47"/>
      <c r="BG29" s="47">
        <f t="shared" si="9"/>
        <v>0</v>
      </c>
    </row>
    <row r="30" spans="1:59" s="22" customFormat="1" ht="12">
      <c r="A30" s="26" t="s">
        <v>28</v>
      </c>
      <c r="B30" s="26"/>
      <c r="C30" s="51">
        <f t="shared" si="1"/>
        <v>0</v>
      </c>
      <c r="D30" s="51"/>
      <c r="E30" s="51">
        <v>0</v>
      </c>
      <c r="F30" s="51"/>
      <c r="G30" s="51">
        <v>0</v>
      </c>
      <c r="H30" s="51"/>
      <c r="I30" s="51">
        <f t="shared" si="2"/>
        <v>0</v>
      </c>
      <c r="J30" s="51"/>
      <c r="K30" s="51">
        <f t="shared" si="3"/>
        <v>0</v>
      </c>
      <c r="L30" s="51"/>
      <c r="M30" s="51">
        <v>0</v>
      </c>
      <c r="N30" s="51"/>
      <c r="O30" s="51">
        <v>0</v>
      </c>
      <c r="P30" s="51"/>
      <c r="Q30" s="51">
        <v>0</v>
      </c>
      <c r="R30" s="51"/>
      <c r="S30" s="51">
        <v>0</v>
      </c>
      <c r="T30" s="51"/>
      <c r="U30" s="51">
        <f t="shared" si="4"/>
        <v>0</v>
      </c>
      <c r="V30" s="51"/>
      <c r="W30" s="51">
        <f t="shared" si="5"/>
        <v>0</v>
      </c>
      <c r="X30" s="51"/>
      <c r="Y30" s="47">
        <v>0</v>
      </c>
      <c r="Z30" s="47"/>
      <c r="AA30" s="47">
        <v>0</v>
      </c>
      <c r="AB30" s="47"/>
      <c r="AC30" s="47">
        <v>0</v>
      </c>
      <c r="AD30" s="47"/>
      <c r="AE30" s="52">
        <f t="shared" si="6"/>
        <v>0</v>
      </c>
      <c r="AF30" s="52"/>
      <c r="AG30" s="52">
        <v>0</v>
      </c>
      <c r="AH30" s="52"/>
      <c r="AI30" s="47">
        <v>0</v>
      </c>
      <c r="AJ30" s="47"/>
      <c r="AK30" s="47">
        <v>0</v>
      </c>
      <c r="AL30" s="47"/>
      <c r="AM30" s="47">
        <v>0</v>
      </c>
      <c r="AN30" s="47"/>
      <c r="AO30" s="52">
        <f t="shared" si="7"/>
        <v>0</v>
      </c>
      <c r="AP30" s="52"/>
      <c r="AQ30" s="47">
        <v>0</v>
      </c>
      <c r="AR30" s="47"/>
      <c r="AS30" s="47">
        <v>0</v>
      </c>
      <c r="AT30" s="47"/>
      <c r="AU30" s="47">
        <f t="shared" si="8"/>
        <v>0</v>
      </c>
      <c r="AV30" s="47"/>
      <c r="AW30" s="47">
        <v>0</v>
      </c>
      <c r="AX30" s="47"/>
      <c r="AY30" s="47">
        <v>0</v>
      </c>
      <c r="AZ30" s="47"/>
      <c r="BA30" s="47">
        <v>0</v>
      </c>
      <c r="BB30" s="47"/>
      <c r="BC30" s="47">
        <v>0</v>
      </c>
      <c r="BD30" s="47"/>
      <c r="BE30" s="47"/>
      <c r="BF30" s="47"/>
      <c r="BG30" s="47">
        <f t="shared" si="9"/>
        <v>0</v>
      </c>
    </row>
    <row r="31" spans="1:59" s="22" customFormat="1" ht="12">
      <c r="A31" s="26" t="s">
        <v>29</v>
      </c>
      <c r="B31" s="26"/>
      <c r="C31" s="51">
        <f t="shared" si="1"/>
        <v>4523202</v>
      </c>
      <c r="D31" s="51"/>
      <c r="E31" s="51">
        <v>35445794</v>
      </c>
      <c r="F31" s="51"/>
      <c r="G31" s="51">
        <v>39968996</v>
      </c>
      <c r="H31" s="51"/>
      <c r="I31" s="51">
        <f t="shared" si="2"/>
        <v>2021804</v>
      </c>
      <c r="J31" s="51"/>
      <c r="K31" s="51">
        <f t="shared" si="3"/>
        <v>24773386</v>
      </c>
      <c r="L31" s="51"/>
      <c r="M31" s="51">
        <v>26795190</v>
      </c>
      <c r="N31" s="51"/>
      <c r="O31" s="51">
        <v>10075169</v>
      </c>
      <c r="P31" s="51"/>
      <c r="Q31" s="51">
        <v>0</v>
      </c>
      <c r="R31" s="51"/>
      <c r="S31" s="51">
        <v>3098637</v>
      </c>
      <c r="T31" s="51"/>
      <c r="U31" s="51">
        <f t="shared" si="4"/>
        <v>13173806</v>
      </c>
      <c r="V31" s="51"/>
      <c r="W31" s="51">
        <f t="shared" si="5"/>
        <v>0</v>
      </c>
      <c r="X31" s="51"/>
      <c r="Y31" s="47">
        <v>8032437</v>
      </c>
      <c r="Z31" s="47"/>
      <c r="AA31" s="47">
        <f>7351863-789558</f>
        <v>6562305</v>
      </c>
      <c r="AB31" s="47"/>
      <c r="AC31" s="47">
        <v>789558</v>
      </c>
      <c r="AD31" s="47"/>
      <c r="AE31" s="52">
        <f t="shared" si="6"/>
        <v>680574</v>
      </c>
      <c r="AF31" s="52"/>
      <c r="AG31" s="52">
        <v>-1407551</v>
      </c>
      <c r="AH31" s="52"/>
      <c r="AI31" s="47">
        <v>0</v>
      </c>
      <c r="AJ31" s="47"/>
      <c r="AK31" s="47">
        <v>0</v>
      </c>
      <c r="AL31" s="47"/>
      <c r="AM31" s="47">
        <v>89585</v>
      </c>
      <c r="AN31" s="47"/>
      <c r="AO31" s="52">
        <f t="shared" si="7"/>
        <v>-637392</v>
      </c>
      <c r="AP31" s="52"/>
      <c r="AQ31" s="47">
        <v>0</v>
      </c>
      <c r="AR31" s="47"/>
      <c r="AS31" s="47">
        <v>0</v>
      </c>
      <c r="AT31" s="47"/>
      <c r="AU31" s="47">
        <f t="shared" si="8"/>
        <v>2501398</v>
      </c>
      <c r="AV31" s="47"/>
      <c r="AW31" s="47">
        <v>8210172</v>
      </c>
      <c r="AX31" s="47"/>
      <c r="AY31" s="47">
        <v>0</v>
      </c>
      <c r="AZ31" s="47"/>
      <c r="BA31" s="47">
        <f>16399157+130422</f>
        <v>16529579</v>
      </c>
      <c r="BB31" s="47"/>
      <c r="BC31" s="47">
        <v>33635</v>
      </c>
      <c r="BD31" s="47"/>
      <c r="BE31" s="47"/>
      <c r="BF31" s="47"/>
      <c r="BG31" s="47">
        <f t="shared" si="9"/>
        <v>24773386</v>
      </c>
    </row>
    <row r="32" spans="1:59" s="22" customFormat="1" ht="12">
      <c r="A32" s="26" t="s">
        <v>30</v>
      </c>
      <c r="B32" s="26"/>
      <c r="C32" s="51">
        <f t="shared" si="1"/>
        <v>3162838</v>
      </c>
      <c r="D32" s="51"/>
      <c r="E32" s="51">
        <v>26831708</v>
      </c>
      <c r="F32" s="51"/>
      <c r="G32" s="51">
        <v>29994546</v>
      </c>
      <c r="H32" s="51"/>
      <c r="I32" s="51">
        <f t="shared" si="2"/>
        <v>630070</v>
      </c>
      <c r="J32" s="51"/>
      <c r="K32" s="51">
        <f t="shared" si="3"/>
        <v>11845320</v>
      </c>
      <c r="L32" s="51"/>
      <c r="M32" s="51">
        <v>12475390</v>
      </c>
      <c r="N32" s="51"/>
      <c r="O32" s="51">
        <v>14674274</v>
      </c>
      <c r="P32" s="51"/>
      <c r="Q32" s="51">
        <v>133620</v>
      </c>
      <c r="R32" s="51"/>
      <c r="S32" s="51">
        <v>2711262</v>
      </c>
      <c r="T32" s="51"/>
      <c r="U32" s="51">
        <f t="shared" si="4"/>
        <v>17519156</v>
      </c>
      <c r="V32" s="51"/>
      <c r="W32" s="51">
        <f t="shared" si="5"/>
        <v>0</v>
      </c>
      <c r="X32" s="51"/>
      <c r="Y32" s="47">
        <v>1869470</v>
      </c>
      <c r="Z32" s="47"/>
      <c r="AA32" s="47">
        <f>1733992-626961</f>
        <v>1107031</v>
      </c>
      <c r="AB32" s="47"/>
      <c r="AC32" s="47">
        <v>626961</v>
      </c>
      <c r="AD32" s="47"/>
      <c r="AE32" s="52">
        <v>135478</v>
      </c>
      <c r="AF32" s="52"/>
      <c r="AG32" s="52">
        <v>-448492</v>
      </c>
      <c r="AH32" s="52"/>
      <c r="AI32" s="47">
        <v>0</v>
      </c>
      <c r="AJ32" s="47"/>
      <c r="AK32" s="47">
        <v>0</v>
      </c>
      <c r="AL32" s="47"/>
      <c r="AM32" s="47">
        <v>1205164</v>
      </c>
      <c r="AN32" s="47"/>
      <c r="AO32" s="52">
        <f t="shared" si="7"/>
        <v>892150</v>
      </c>
      <c r="AP32" s="52"/>
      <c r="AQ32" s="47">
        <v>0</v>
      </c>
      <c r="AR32" s="47"/>
      <c r="AS32" s="47">
        <v>0</v>
      </c>
      <c r="AT32" s="47"/>
      <c r="AU32" s="47">
        <f t="shared" si="8"/>
        <v>2532768</v>
      </c>
      <c r="AV32" s="47"/>
      <c r="AW32" s="47">
        <v>8621120</v>
      </c>
      <c r="AX32" s="47"/>
      <c r="AY32" s="47">
        <v>0</v>
      </c>
      <c r="AZ32" s="47"/>
      <c r="BA32" s="47">
        <v>0</v>
      </c>
      <c r="BB32" s="47"/>
      <c r="BC32" s="47">
        <f>3200000+18216+5984</f>
        <v>3224200</v>
      </c>
      <c r="BD32" s="47"/>
      <c r="BE32" s="47"/>
      <c r="BF32" s="47"/>
      <c r="BG32" s="47">
        <f t="shared" si="9"/>
        <v>11845320</v>
      </c>
    </row>
    <row r="33" spans="1:59" s="22" customFormat="1" ht="12" hidden="1">
      <c r="A33" s="26" t="s">
        <v>31</v>
      </c>
      <c r="B33" s="26"/>
      <c r="C33" s="51">
        <f t="shared" si="1"/>
        <v>0</v>
      </c>
      <c r="D33" s="51"/>
      <c r="E33" s="51">
        <v>0</v>
      </c>
      <c r="F33" s="51"/>
      <c r="G33" s="51">
        <v>0</v>
      </c>
      <c r="H33" s="51"/>
      <c r="I33" s="51">
        <f t="shared" si="2"/>
        <v>0</v>
      </c>
      <c r="J33" s="51"/>
      <c r="K33" s="51">
        <f t="shared" si="3"/>
        <v>0</v>
      </c>
      <c r="L33" s="51"/>
      <c r="M33" s="51">
        <v>0</v>
      </c>
      <c r="N33" s="51"/>
      <c r="O33" s="51">
        <v>0</v>
      </c>
      <c r="P33" s="51"/>
      <c r="Q33" s="51">
        <v>0</v>
      </c>
      <c r="R33" s="51"/>
      <c r="S33" s="51">
        <v>0</v>
      </c>
      <c r="T33" s="51"/>
      <c r="U33" s="51">
        <f t="shared" si="4"/>
        <v>0</v>
      </c>
      <c r="V33" s="51"/>
      <c r="W33" s="51">
        <f t="shared" si="5"/>
        <v>0</v>
      </c>
      <c r="X33" s="51"/>
      <c r="Y33" s="47">
        <v>0</v>
      </c>
      <c r="Z33" s="47"/>
      <c r="AA33" s="47">
        <v>0</v>
      </c>
      <c r="AB33" s="47"/>
      <c r="AC33" s="47">
        <v>0</v>
      </c>
      <c r="AD33" s="47"/>
      <c r="AE33" s="52">
        <f t="shared" si="6"/>
        <v>0</v>
      </c>
      <c r="AF33" s="52"/>
      <c r="AG33" s="52">
        <v>0</v>
      </c>
      <c r="AH33" s="52"/>
      <c r="AI33" s="47">
        <v>0</v>
      </c>
      <c r="AJ33" s="47"/>
      <c r="AK33" s="47">
        <v>0</v>
      </c>
      <c r="AL33" s="47"/>
      <c r="AM33" s="47">
        <v>0</v>
      </c>
      <c r="AN33" s="47"/>
      <c r="AO33" s="52">
        <f t="shared" si="7"/>
        <v>0</v>
      </c>
      <c r="AP33" s="52"/>
      <c r="AQ33" s="47">
        <v>0</v>
      </c>
      <c r="AR33" s="47"/>
      <c r="AS33" s="47">
        <v>0</v>
      </c>
      <c r="AT33" s="47"/>
      <c r="AU33" s="47">
        <f t="shared" si="8"/>
        <v>0</v>
      </c>
      <c r="AV33" s="47"/>
      <c r="AW33" s="47">
        <v>0</v>
      </c>
      <c r="AX33" s="47"/>
      <c r="AY33" s="47">
        <v>0</v>
      </c>
      <c r="AZ33" s="47"/>
      <c r="BA33" s="47">
        <v>0</v>
      </c>
      <c r="BB33" s="47"/>
      <c r="BC33" s="47">
        <v>0</v>
      </c>
      <c r="BD33" s="47"/>
      <c r="BE33" s="47"/>
      <c r="BF33" s="47"/>
      <c r="BG33" s="47">
        <f t="shared" si="9"/>
        <v>0</v>
      </c>
    </row>
    <row r="34" spans="1:59" s="22" customFormat="1" ht="12">
      <c r="A34" s="26" t="s">
        <v>32</v>
      </c>
      <c r="B34" s="26"/>
      <c r="C34" s="51">
        <f t="shared" si="1"/>
        <v>1337616</v>
      </c>
      <c r="D34" s="51"/>
      <c r="E34" s="51">
        <v>16144754</v>
      </c>
      <c r="F34" s="51"/>
      <c r="G34" s="51">
        <v>17482370</v>
      </c>
      <c r="H34" s="51"/>
      <c r="I34" s="51">
        <f t="shared" si="2"/>
        <v>959635</v>
      </c>
      <c r="J34" s="51"/>
      <c r="K34" s="51">
        <f t="shared" si="3"/>
        <v>8078016</v>
      </c>
      <c r="L34" s="51"/>
      <c r="M34" s="51">
        <v>9037651</v>
      </c>
      <c r="N34" s="51"/>
      <c r="O34" s="51">
        <v>8300103</v>
      </c>
      <c r="P34" s="51"/>
      <c r="Q34" s="51">
        <v>0</v>
      </c>
      <c r="R34" s="51"/>
      <c r="S34" s="51">
        <v>144616</v>
      </c>
      <c r="T34" s="51"/>
      <c r="U34" s="51">
        <v>8444719</v>
      </c>
      <c r="V34" s="51"/>
      <c r="W34" s="51">
        <f t="shared" si="5"/>
        <v>0</v>
      </c>
      <c r="X34" s="51"/>
      <c r="Y34" s="47">
        <v>1330070</v>
      </c>
      <c r="Z34" s="47"/>
      <c r="AA34" s="47">
        <f>1409031-3382</f>
        <v>1405649</v>
      </c>
      <c r="AB34" s="47"/>
      <c r="AC34" s="47">
        <v>3382</v>
      </c>
      <c r="AD34" s="47"/>
      <c r="AE34" s="52">
        <f t="shared" si="6"/>
        <v>-78961</v>
      </c>
      <c r="AF34" s="52"/>
      <c r="AG34" s="52">
        <v>-410021</v>
      </c>
      <c r="AH34" s="52"/>
      <c r="AI34" s="47">
        <v>23754</v>
      </c>
      <c r="AJ34" s="47"/>
      <c r="AK34" s="47">
        <v>0</v>
      </c>
      <c r="AL34" s="47"/>
      <c r="AM34" s="47">
        <v>2025947</v>
      </c>
      <c r="AN34" s="47"/>
      <c r="AO34" s="52">
        <v>1560719</v>
      </c>
      <c r="AP34" s="52"/>
      <c r="AQ34" s="47">
        <v>0</v>
      </c>
      <c r="AR34" s="47"/>
      <c r="AS34" s="47">
        <v>0</v>
      </c>
      <c r="AT34" s="47"/>
      <c r="AU34" s="47">
        <f t="shared" si="8"/>
        <v>377981</v>
      </c>
      <c r="AV34" s="47"/>
      <c r="AW34" s="47">
        <v>0</v>
      </c>
      <c r="AX34" s="47"/>
      <c r="AY34" s="47">
        <v>0</v>
      </c>
      <c r="AZ34" s="47"/>
      <c r="BA34" s="47">
        <f>300864+7575986</f>
        <v>7876850</v>
      </c>
      <c r="BB34" s="47"/>
      <c r="BC34" s="47">
        <f>1166+200000</f>
        <v>201166</v>
      </c>
      <c r="BD34" s="47"/>
      <c r="BE34" s="47"/>
      <c r="BF34" s="47"/>
      <c r="BG34" s="47">
        <f t="shared" si="9"/>
        <v>8078016</v>
      </c>
    </row>
    <row r="35" spans="1:59" s="22" customFormat="1" ht="12">
      <c r="A35" s="26" t="s">
        <v>33</v>
      </c>
      <c r="B35" s="26"/>
      <c r="C35" s="51">
        <f t="shared" si="1"/>
        <v>0</v>
      </c>
      <c r="D35" s="51"/>
      <c r="E35" s="51">
        <v>0</v>
      </c>
      <c r="F35" s="51"/>
      <c r="G35" s="51">
        <v>0</v>
      </c>
      <c r="H35" s="51"/>
      <c r="I35" s="51">
        <f t="shared" si="2"/>
        <v>0</v>
      </c>
      <c r="J35" s="51"/>
      <c r="K35" s="51">
        <f t="shared" si="3"/>
        <v>0</v>
      </c>
      <c r="L35" s="51"/>
      <c r="M35" s="51">
        <v>0</v>
      </c>
      <c r="N35" s="51"/>
      <c r="O35" s="51">
        <v>0</v>
      </c>
      <c r="P35" s="51"/>
      <c r="Q35" s="51">
        <v>0</v>
      </c>
      <c r="R35" s="51"/>
      <c r="S35" s="51">
        <v>0</v>
      </c>
      <c r="T35" s="51"/>
      <c r="U35" s="51">
        <f t="shared" si="4"/>
        <v>0</v>
      </c>
      <c r="V35" s="51"/>
      <c r="W35" s="51">
        <f t="shared" si="5"/>
        <v>0</v>
      </c>
      <c r="X35" s="51"/>
      <c r="Y35" s="47">
        <v>0</v>
      </c>
      <c r="Z35" s="47"/>
      <c r="AA35" s="47">
        <v>0</v>
      </c>
      <c r="AB35" s="47"/>
      <c r="AC35" s="47">
        <v>0</v>
      </c>
      <c r="AD35" s="47"/>
      <c r="AE35" s="52">
        <f t="shared" si="6"/>
        <v>0</v>
      </c>
      <c r="AF35" s="52"/>
      <c r="AG35" s="52">
        <v>0</v>
      </c>
      <c r="AH35" s="52"/>
      <c r="AI35" s="47">
        <v>0</v>
      </c>
      <c r="AJ35" s="47"/>
      <c r="AK35" s="47">
        <v>0</v>
      </c>
      <c r="AL35" s="47"/>
      <c r="AM35" s="47">
        <v>0</v>
      </c>
      <c r="AN35" s="47"/>
      <c r="AO35" s="52">
        <f t="shared" si="7"/>
        <v>0</v>
      </c>
      <c r="AP35" s="52"/>
      <c r="AQ35" s="47">
        <v>0</v>
      </c>
      <c r="AR35" s="47"/>
      <c r="AS35" s="47">
        <v>0</v>
      </c>
      <c r="AT35" s="47"/>
      <c r="AU35" s="47">
        <f t="shared" si="8"/>
        <v>0</v>
      </c>
      <c r="AV35" s="47"/>
      <c r="AW35" s="47">
        <v>0</v>
      </c>
      <c r="AX35" s="47"/>
      <c r="AY35" s="47">
        <v>0</v>
      </c>
      <c r="AZ35" s="47"/>
      <c r="BA35" s="47">
        <v>0</v>
      </c>
      <c r="BB35" s="47"/>
      <c r="BC35" s="47">
        <v>0</v>
      </c>
      <c r="BD35" s="47"/>
      <c r="BE35" s="47"/>
      <c r="BF35" s="47"/>
      <c r="BG35" s="47">
        <f t="shared" si="9"/>
        <v>0</v>
      </c>
    </row>
    <row r="36" spans="1:59" s="22" customFormat="1" ht="12">
      <c r="A36" s="26" t="s">
        <v>34</v>
      </c>
      <c r="B36" s="26"/>
      <c r="C36" s="51">
        <f t="shared" si="1"/>
        <v>421424</v>
      </c>
      <c r="D36" s="51"/>
      <c r="E36" s="51">
        <v>3072706</v>
      </c>
      <c r="F36" s="51"/>
      <c r="G36" s="51">
        <v>3494130</v>
      </c>
      <c r="H36" s="51"/>
      <c r="I36" s="51">
        <f t="shared" si="2"/>
        <v>15038</v>
      </c>
      <c r="J36" s="51"/>
      <c r="K36" s="51">
        <f t="shared" si="3"/>
        <v>7354</v>
      </c>
      <c r="L36" s="51"/>
      <c r="M36" s="51">
        <v>22392</v>
      </c>
      <c r="N36" s="51"/>
      <c r="O36" s="51">
        <v>3072706</v>
      </c>
      <c r="P36" s="51"/>
      <c r="Q36" s="51">
        <v>0</v>
      </c>
      <c r="R36" s="51"/>
      <c r="S36" s="51">
        <v>399032</v>
      </c>
      <c r="T36" s="51"/>
      <c r="U36" s="51">
        <f t="shared" si="4"/>
        <v>3471738</v>
      </c>
      <c r="V36" s="51"/>
      <c r="W36" s="51">
        <f t="shared" si="5"/>
        <v>0</v>
      </c>
      <c r="X36" s="51"/>
      <c r="Y36" s="47">
        <v>488380</v>
      </c>
      <c r="Z36" s="47"/>
      <c r="AA36" s="47">
        <f>997951-646718</f>
        <v>351233</v>
      </c>
      <c r="AB36" s="47"/>
      <c r="AC36" s="47">
        <v>646718</v>
      </c>
      <c r="AD36" s="47"/>
      <c r="AE36" s="52">
        <f t="shared" si="6"/>
        <v>-509571</v>
      </c>
      <c r="AF36" s="52"/>
      <c r="AG36" s="52">
        <v>0</v>
      </c>
      <c r="AH36" s="52"/>
      <c r="AI36" s="47">
        <v>0</v>
      </c>
      <c r="AJ36" s="47"/>
      <c r="AK36" s="47">
        <v>0</v>
      </c>
      <c r="AL36" s="47"/>
      <c r="AM36" s="47">
        <v>0</v>
      </c>
      <c r="AN36" s="47"/>
      <c r="AO36" s="52">
        <f t="shared" si="7"/>
        <v>-509571</v>
      </c>
      <c r="AP36" s="52"/>
      <c r="AQ36" s="47">
        <v>0</v>
      </c>
      <c r="AR36" s="47"/>
      <c r="AS36" s="47">
        <v>0</v>
      </c>
      <c r="AT36" s="47"/>
      <c r="AU36" s="47">
        <f t="shared" si="8"/>
        <v>406386</v>
      </c>
      <c r="AV36" s="47"/>
      <c r="AW36" s="47">
        <v>0</v>
      </c>
      <c r="AX36" s="47"/>
      <c r="AY36" s="47">
        <v>0</v>
      </c>
      <c r="AZ36" s="47"/>
      <c r="BA36" s="47">
        <v>0</v>
      </c>
      <c r="BB36" s="47"/>
      <c r="BC36" s="47">
        <v>7354</v>
      </c>
      <c r="BD36" s="47"/>
      <c r="BE36" s="47"/>
      <c r="BF36" s="47"/>
      <c r="BG36" s="47">
        <f t="shared" si="9"/>
        <v>7354</v>
      </c>
    </row>
    <row r="37" spans="1:59" s="22" customFormat="1" ht="12">
      <c r="A37" s="26" t="s">
        <v>35</v>
      </c>
      <c r="B37" s="26"/>
      <c r="C37" s="51">
        <f t="shared" si="1"/>
        <v>10071646</v>
      </c>
      <c r="D37" s="51"/>
      <c r="E37" s="51">
        <v>66271527</v>
      </c>
      <c r="F37" s="51"/>
      <c r="G37" s="51">
        <v>76343173</v>
      </c>
      <c r="H37" s="51"/>
      <c r="I37" s="51">
        <f t="shared" si="2"/>
        <v>5904465</v>
      </c>
      <c r="J37" s="51"/>
      <c r="K37" s="51">
        <f t="shared" si="3"/>
        <v>40485261</v>
      </c>
      <c r="L37" s="51"/>
      <c r="M37" s="51">
        <v>46389726</v>
      </c>
      <c r="N37" s="51"/>
      <c r="O37" s="51">
        <v>22717769</v>
      </c>
      <c r="P37" s="51"/>
      <c r="Q37" s="51">
        <v>795175</v>
      </c>
      <c r="R37" s="51"/>
      <c r="S37" s="51">
        <v>6440503</v>
      </c>
      <c r="T37" s="51"/>
      <c r="U37" s="51">
        <f t="shared" si="4"/>
        <v>29953447</v>
      </c>
      <c r="V37" s="51"/>
      <c r="W37" s="51">
        <f t="shared" si="5"/>
        <v>0</v>
      </c>
      <c r="X37" s="51"/>
      <c r="Y37" s="47">
        <v>8321188</v>
      </c>
      <c r="Z37" s="47"/>
      <c r="AA37" s="47">
        <f>5729867-1601373</f>
        <v>4128494</v>
      </c>
      <c r="AB37" s="47"/>
      <c r="AC37" s="47">
        <v>1601373</v>
      </c>
      <c r="AD37" s="47"/>
      <c r="AE37" s="52">
        <f t="shared" si="6"/>
        <v>2591321</v>
      </c>
      <c r="AF37" s="52"/>
      <c r="AG37" s="52">
        <v>-990418</v>
      </c>
      <c r="AH37" s="52"/>
      <c r="AI37" s="47">
        <v>88695</v>
      </c>
      <c r="AJ37" s="47"/>
      <c r="AK37" s="47">
        <v>2545</v>
      </c>
      <c r="AL37" s="47"/>
      <c r="AM37" s="47">
        <v>526466</v>
      </c>
      <c r="AN37" s="47"/>
      <c r="AO37" s="52">
        <f t="shared" si="7"/>
        <v>2213519</v>
      </c>
      <c r="AP37" s="52"/>
      <c r="AQ37" s="47">
        <v>0</v>
      </c>
      <c r="AR37" s="47"/>
      <c r="AS37" s="47">
        <v>0</v>
      </c>
      <c r="AT37" s="47"/>
      <c r="AU37" s="47">
        <f t="shared" si="8"/>
        <v>4167181</v>
      </c>
      <c r="AV37" s="47"/>
      <c r="AW37" s="47">
        <v>4760000</v>
      </c>
      <c r="AX37" s="47"/>
      <c r="AY37" s="47">
        <v>30075000</v>
      </c>
      <c r="AZ37" s="47"/>
      <c r="BA37" s="47">
        <v>2314096</v>
      </c>
      <c r="BB37" s="47"/>
      <c r="BC37" s="47">
        <f>1516927+1819238</f>
        <v>3336165</v>
      </c>
      <c r="BD37" s="47"/>
      <c r="BE37" s="47"/>
      <c r="BF37" s="47"/>
      <c r="BG37" s="47">
        <f t="shared" si="9"/>
        <v>40485261</v>
      </c>
    </row>
    <row r="38" spans="1:59" s="22" customFormat="1" ht="12">
      <c r="A38" s="26" t="s">
        <v>194</v>
      </c>
      <c r="B38" s="26"/>
      <c r="C38" s="51">
        <f t="shared" si="1"/>
        <v>0</v>
      </c>
      <c r="D38" s="51"/>
      <c r="E38" s="51">
        <v>0</v>
      </c>
      <c r="F38" s="51"/>
      <c r="G38" s="51">
        <v>0</v>
      </c>
      <c r="H38" s="51"/>
      <c r="I38" s="51">
        <f t="shared" si="2"/>
        <v>0</v>
      </c>
      <c r="J38" s="51"/>
      <c r="K38" s="51">
        <f t="shared" si="3"/>
        <v>0</v>
      </c>
      <c r="L38" s="51"/>
      <c r="M38" s="51">
        <v>0</v>
      </c>
      <c r="N38" s="51"/>
      <c r="O38" s="51">
        <v>0</v>
      </c>
      <c r="P38" s="51"/>
      <c r="Q38" s="51">
        <v>0</v>
      </c>
      <c r="R38" s="51"/>
      <c r="S38" s="51">
        <v>0</v>
      </c>
      <c r="T38" s="51"/>
      <c r="U38" s="51">
        <f t="shared" si="4"/>
        <v>0</v>
      </c>
      <c r="V38" s="51"/>
      <c r="W38" s="51">
        <f t="shared" si="5"/>
        <v>0</v>
      </c>
      <c r="X38" s="51"/>
      <c r="Y38" s="47">
        <v>0</v>
      </c>
      <c r="Z38" s="47"/>
      <c r="AA38" s="47">
        <v>0</v>
      </c>
      <c r="AB38" s="47"/>
      <c r="AC38" s="47">
        <v>0</v>
      </c>
      <c r="AD38" s="47"/>
      <c r="AE38" s="52">
        <f t="shared" si="6"/>
        <v>0</v>
      </c>
      <c r="AF38" s="52"/>
      <c r="AG38" s="52">
        <v>0</v>
      </c>
      <c r="AH38" s="52"/>
      <c r="AI38" s="47">
        <v>0</v>
      </c>
      <c r="AJ38" s="47"/>
      <c r="AK38" s="47">
        <v>0</v>
      </c>
      <c r="AL38" s="47"/>
      <c r="AM38" s="47">
        <v>0</v>
      </c>
      <c r="AN38" s="47"/>
      <c r="AO38" s="52">
        <f t="shared" si="7"/>
        <v>0</v>
      </c>
      <c r="AP38" s="52"/>
      <c r="AQ38" s="47">
        <v>0</v>
      </c>
      <c r="AR38" s="47"/>
      <c r="AS38" s="47">
        <v>0</v>
      </c>
      <c r="AT38" s="47"/>
      <c r="AU38" s="47">
        <f t="shared" si="8"/>
        <v>0</v>
      </c>
      <c r="AV38" s="47"/>
      <c r="AW38" s="47">
        <v>0</v>
      </c>
      <c r="AX38" s="47"/>
      <c r="AY38" s="47">
        <v>0</v>
      </c>
      <c r="AZ38" s="47"/>
      <c r="BA38" s="47">
        <v>0</v>
      </c>
      <c r="BB38" s="47"/>
      <c r="BC38" s="47">
        <v>0</v>
      </c>
      <c r="BD38" s="47"/>
      <c r="BE38" s="47"/>
      <c r="BF38" s="47"/>
      <c r="BG38" s="47">
        <f t="shared" si="9"/>
        <v>0</v>
      </c>
    </row>
    <row r="39" spans="1:59" s="22" customFormat="1" ht="12">
      <c r="A39" s="26" t="s">
        <v>36</v>
      </c>
      <c r="B39" s="26"/>
      <c r="C39" s="51">
        <f t="shared" si="1"/>
        <v>755363</v>
      </c>
      <c r="D39" s="51"/>
      <c r="E39" s="51">
        <v>3580734</v>
      </c>
      <c r="F39" s="51"/>
      <c r="G39" s="51">
        <v>4336097</v>
      </c>
      <c r="H39" s="51"/>
      <c r="I39" s="51">
        <f t="shared" si="2"/>
        <v>205436</v>
      </c>
      <c r="J39" s="51"/>
      <c r="K39" s="51">
        <f t="shared" si="3"/>
        <v>1063428</v>
      </c>
      <c r="L39" s="51"/>
      <c r="M39" s="51">
        <v>1268864</v>
      </c>
      <c r="N39" s="51"/>
      <c r="O39" s="51">
        <v>2427344</v>
      </c>
      <c r="P39" s="51"/>
      <c r="Q39" s="51">
        <v>0</v>
      </c>
      <c r="R39" s="51"/>
      <c r="S39" s="51">
        <v>639889</v>
      </c>
      <c r="T39" s="51"/>
      <c r="U39" s="51">
        <f t="shared" si="4"/>
        <v>3067233</v>
      </c>
      <c r="V39" s="51"/>
      <c r="W39" s="51">
        <f t="shared" si="5"/>
        <v>0</v>
      </c>
      <c r="X39" s="51"/>
      <c r="Y39" s="47">
        <v>1506432</v>
      </c>
      <c r="Z39" s="47"/>
      <c r="AA39" s="47">
        <f>1641145-194449</f>
        <v>1446696</v>
      </c>
      <c r="AB39" s="47"/>
      <c r="AC39" s="47">
        <v>194449</v>
      </c>
      <c r="AD39" s="47"/>
      <c r="AE39" s="52">
        <f t="shared" si="6"/>
        <v>-134713</v>
      </c>
      <c r="AF39" s="52"/>
      <c r="AG39" s="52">
        <v>-74969</v>
      </c>
      <c r="AH39" s="52"/>
      <c r="AI39" s="47">
        <v>93563</v>
      </c>
      <c r="AJ39" s="47"/>
      <c r="AK39" s="47">
        <v>30000</v>
      </c>
      <c r="AL39" s="47"/>
      <c r="AM39" s="47">
        <v>56906</v>
      </c>
      <c r="AN39" s="47"/>
      <c r="AO39" s="52">
        <f t="shared" si="7"/>
        <v>-89213</v>
      </c>
      <c r="AP39" s="52"/>
      <c r="AQ39" s="47">
        <v>0</v>
      </c>
      <c r="AR39" s="47"/>
      <c r="AS39" s="47">
        <v>0</v>
      </c>
      <c r="AT39" s="47"/>
      <c r="AU39" s="47">
        <f t="shared" si="8"/>
        <v>549927</v>
      </c>
      <c r="AV39" s="47"/>
      <c r="AW39" s="47">
        <v>502281</v>
      </c>
      <c r="AX39" s="47"/>
      <c r="AY39" s="47">
        <v>0</v>
      </c>
      <c r="AZ39" s="47"/>
      <c r="BA39" s="47">
        <v>534339</v>
      </c>
      <c r="BB39" s="47"/>
      <c r="BC39" s="47">
        <v>26808</v>
      </c>
      <c r="BD39" s="47"/>
      <c r="BE39" s="47"/>
      <c r="BF39" s="47"/>
      <c r="BG39" s="47">
        <f t="shared" si="9"/>
        <v>1063428</v>
      </c>
    </row>
    <row r="40" spans="1:59" s="22" customFormat="1" ht="12">
      <c r="A40" s="26" t="s">
        <v>37</v>
      </c>
      <c r="B40" s="26"/>
      <c r="C40" s="51">
        <f t="shared" si="1"/>
        <v>0</v>
      </c>
      <c r="D40" s="51"/>
      <c r="E40" s="51">
        <v>0</v>
      </c>
      <c r="F40" s="51"/>
      <c r="G40" s="51">
        <v>0</v>
      </c>
      <c r="H40" s="51"/>
      <c r="I40" s="51">
        <f t="shared" si="2"/>
        <v>0</v>
      </c>
      <c r="J40" s="51"/>
      <c r="K40" s="51">
        <f t="shared" si="3"/>
        <v>0</v>
      </c>
      <c r="L40" s="51"/>
      <c r="M40" s="51">
        <v>0</v>
      </c>
      <c r="N40" s="51"/>
      <c r="O40" s="51">
        <v>0</v>
      </c>
      <c r="P40" s="51"/>
      <c r="Q40" s="51">
        <v>0</v>
      </c>
      <c r="R40" s="51"/>
      <c r="S40" s="51">
        <v>0</v>
      </c>
      <c r="T40" s="51"/>
      <c r="U40" s="51">
        <f t="shared" si="4"/>
        <v>0</v>
      </c>
      <c r="V40" s="51"/>
      <c r="W40" s="51">
        <f t="shared" si="5"/>
        <v>0</v>
      </c>
      <c r="X40" s="51"/>
      <c r="Y40" s="47">
        <v>0</v>
      </c>
      <c r="Z40" s="47"/>
      <c r="AA40" s="47">
        <v>0</v>
      </c>
      <c r="AB40" s="47"/>
      <c r="AC40" s="47">
        <v>0</v>
      </c>
      <c r="AD40" s="47"/>
      <c r="AE40" s="52">
        <f t="shared" si="6"/>
        <v>0</v>
      </c>
      <c r="AF40" s="52"/>
      <c r="AG40" s="52">
        <v>0</v>
      </c>
      <c r="AH40" s="52"/>
      <c r="AI40" s="47">
        <v>0</v>
      </c>
      <c r="AJ40" s="47"/>
      <c r="AK40" s="47">
        <v>0</v>
      </c>
      <c r="AL40" s="47"/>
      <c r="AM40" s="47">
        <v>0</v>
      </c>
      <c r="AN40" s="47"/>
      <c r="AO40" s="52">
        <f t="shared" si="7"/>
        <v>0</v>
      </c>
      <c r="AP40" s="52"/>
      <c r="AQ40" s="47">
        <v>0</v>
      </c>
      <c r="AR40" s="47"/>
      <c r="AS40" s="47">
        <v>0</v>
      </c>
      <c r="AT40" s="47"/>
      <c r="AU40" s="47">
        <f t="shared" si="8"/>
        <v>0</v>
      </c>
      <c r="AV40" s="47"/>
      <c r="AW40" s="47">
        <v>0</v>
      </c>
      <c r="AX40" s="47"/>
      <c r="AY40" s="47">
        <v>0</v>
      </c>
      <c r="AZ40" s="47"/>
      <c r="BA40" s="47">
        <v>0</v>
      </c>
      <c r="BB40" s="47"/>
      <c r="BC40" s="47">
        <v>0</v>
      </c>
      <c r="BD40" s="47"/>
      <c r="BE40" s="47"/>
      <c r="BF40" s="47"/>
      <c r="BG40" s="47">
        <f t="shared" si="9"/>
        <v>0</v>
      </c>
    </row>
    <row r="41" spans="1:59" s="22" customFormat="1" ht="12">
      <c r="A41" s="26" t="s">
        <v>38</v>
      </c>
      <c r="B41" s="26"/>
      <c r="C41" s="51">
        <f t="shared" si="1"/>
        <v>0</v>
      </c>
      <c r="D41" s="51"/>
      <c r="E41" s="51">
        <v>0</v>
      </c>
      <c r="F41" s="51"/>
      <c r="G41" s="51">
        <v>0</v>
      </c>
      <c r="H41" s="51"/>
      <c r="I41" s="51">
        <f t="shared" si="2"/>
        <v>0</v>
      </c>
      <c r="J41" s="51"/>
      <c r="K41" s="51">
        <f t="shared" si="3"/>
        <v>0</v>
      </c>
      <c r="L41" s="51"/>
      <c r="M41" s="51">
        <v>0</v>
      </c>
      <c r="N41" s="51"/>
      <c r="O41" s="51">
        <v>0</v>
      </c>
      <c r="P41" s="51"/>
      <c r="Q41" s="51">
        <v>0</v>
      </c>
      <c r="R41" s="51"/>
      <c r="S41" s="51">
        <v>0</v>
      </c>
      <c r="T41" s="51"/>
      <c r="U41" s="51">
        <f t="shared" si="4"/>
        <v>0</v>
      </c>
      <c r="V41" s="51"/>
      <c r="W41" s="51">
        <f t="shared" si="5"/>
        <v>0</v>
      </c>
      <c r="X41" s="51"/>
      <c r="Y41" s="47">
        <v>0</v>
      </c>
      <c r="Z41" s="47"/>
      <c r="AA41" s="47">
        <v>0</v>
      </c>
      <c r="AB41" s="47"/>
      <c r="AC41" s="47">
        <v>0</v>
      </c>
      <c r="AD41" s="47"/>
      <c r="AE41" s="52">
        <f t="shared" si="6"/>
        <v>0</v>
      </c>
      <c r="AF41" s="52"/>
      <c r="AG41" s="52">
        <v>0</v>
      </c>
      <c r="AH41" s="52"/>
      <c r="AI41" s="47">
        <v>0</v>
      </c>
      <c r="AJ41" s="47"/>
      <c r="AK41" s="47">
        <v>0</v>
      </c>
      <c r="AL41" s="47"/>
      <c r="AM41" s="47">
        <v>0</v>
      </c>
      <c r="AN41" s="47"/>
      <c r="AO41" s="52">
        <f t="shared" si="7"/>
        <v>0</v>
      </c>
      <c r="AP41" s="52"/>
      <c r="AQ41" s="47">
        <v>0</v>
      </c>
      <c r="AR41" s="47"/>
      <c r="AS41" s="47">
        <v>0</v>
      </c>
      <c r="AT41" s="47"/>
      <c r="AU41" s="47">
        <f t="shared" si="8"/>
        <v>0</v>
      </c>
      <c r="AV41" s="47"/>
      <c r="AW41" s="47">
        <v>0</v>
      </c>
      <c r="AX41" s="47"/>
      <c r="AY41" s="47">
        <v>0</v>
      </c>
      <c r="AZ41" s="47"/>
      <c r="BA41" s="47">
        <v>0</v>
      </c>
      <c r="BB41" s="47"/>
      <c r="BC41" s="47">
        <v>0</v>
      </c>
      <c r="BD41" s="47"/>
      <c r="BE41" s="47"/>
      <c r="BF41" s="47"/>
      <c r="BG41" s="47">
        <f t="shared" si="9"/>
        <v>0</v>
      </c>
    </row>
    <row r="42" spans="1:59" s="22" customFormat="1" ht="12" hidden="1">
      <c r="A42" s="26" t="s">
        <v>177</v>
      </c>
      <c r="B42" s="26"/>
      <c r="C42" s="51">
        <f t="shared" si="1"/>
        <v>0</v>
      </c>
      <c r="D42" s="51"/>
      <c r="E42" s="51">
        <v>0</v>
      </c>
      <c r="F42" s="51"/>
      <c r="G42" s="51">
        <v>0</v>
      </c>
      <c r="H42" s="51"/>
      <c r="I42" s="51">
        <f t="shared" si="2"/>
        <v>0</v>
      </c>
      <c r="J42" s="51"/>
      <c r="K42" s="51">
        <f t="shared" si="3"/>
        <v>0</v>
      </c>
      <c r="L42" s="51"/>
      <c r="M42" s="51">
        <v>0</v>
      </c>
      <c r="N42" s="51"/>
      <c r="O42" s="51">
        <v>0</v>
      </c>
      <c r="P42" s="51"/>
      <c r="Q42" s="51">
        <v>0</v>
      </c>
      <c r="R42" s="51"/>
      <c r="S42" s="51">
        <v>0</v>
      </c>
      <c r="T42" s="51"/>
      <c r="U42" s="51">
        <f t="shared" si="4"/>
        <v>0</v>
      </c>
      <c r="V42" s="51"/>
      <c r="W42" s="51">
        <f t="shared" si="5"/>
        <v>0</v>
      </c>
      <c r="X42" s="51"/>
      <c r="Y42" s="47">
        <v>0</v>
      </c>
      <c r="Z42" s="47"/>
      <c r="AA42" s="47">
        <v>0</v>
      </c>
      <c r="AB42" s="47"/>
      <c r="AC42" s="47">
        <v>0</v>
      </c>
      <c r="AD42" s="47"/>
      <c r="AE42" s="52">
        <f t="shared" si="6"/>
        <v>0</v>
      </c>
      <c r="AF42" s="52"/>
      <c r="AG42" s="52">
        <v>0</v>
      </c>
      <c r="AH42" s="52"/>
      <c r="AI42" s="47">
        <v>0</v>
      </c>
      <c r="AJ42" s="47"/>
      <c r="AK42" s="47">
        <v>0</v>
      </c>
      <c r="AL42" s="47"/>
      <c r="AM42" s="47">
        <v>0</v>
      </c>
      <c r="AN42" s="47"/>
      <c r="AO42" s="52">
        <f t="shared" si="7"/>
        <v>0</v>
      </c>
      <c r="AP42" s="52"/>
      <c r="AQ42" s="47">
        <v>0</v>
      </c>
      <c r="AR42" s="47"/>
      <c r="AS42" s="47">
        <v>0</v>
      </c>
      <c r="AT42" s="47"/>
      <c r="AU42" s="47">
        <f t="shared" si="8"/>
        <v>0</v>
      </c>
      <c r="AV42" s="47"/>
      <c r="AW42" s="47">
        <v>0</v>
      </c>
      <c r="AX42" s="47"/>
      <c r="AY42" s="47">
        <v>0</v>
      </c>
      <c r="AZ42" s="47"/>
      <c r="BA42" s="47">
        <v>0</v>
      </c>
      <c r="BB42" s="47"/>
      <c r="BC42" s="47">
        <v>0</v>
      </c>
      <c r="BD42" s="47"/>
      <c r="BE42" s="47"/>
      <c r="BF42" s="47"/>
      <c r="BG42" s="47">
        <f t="shared" si="9"/>
        <v>0</v>
      </c>
    </row>
    <row r="43" spans="1:59" s="22" customFormat="1" ht="12" hidden="1">
      <c r="A43" s="26" t="s">
        <v>39</v>
      </c>
      <c r="B43" s="26"/>
      <c r="C43" s="51">
        <f t="shared" si="1"/>
        <v>0</v>
      </c>
      <c r="D43" s="51"/>
      <c r="E43" s="51">
        <v>0</v>
      </c>
      <c r="F43" s="51"/>
      <c r="G43" s="51">
        <v>0</v>
      </c>
      <c r="H43" s="51"/>
      <c r="I43" s="51">
        <f t="shared" si="2"/>
        <v>0</v>
      </c>
      <c r="J43" s="51"/>
      <c r="K43" s="51">
        <f t="shared" si="3"/>
        <v>0</v>
      </c>
      <c r="L43" s="51"/>
      <c r="M43" s="51">
        <v>0</v>
      </c>
      <c r="N43" s="51"/>
      <c r="O43" s="51">
        <v>0</v>
      </c>
      <c r="P43" s="51"/>
      <c r="Q43" s="51">
        <v>0</v>
      </c>
      <c r="R43" s="51"/>
      <c r="S43" s="51">
        <v>0</v>
      </c>
      <c r="T43" s="51"/>
      <c r="U43" s="51">
        <f t="shared" si="4"/>
        <v>0</v>
      </c>
      <c r="V43" s="51"/>
      <c r="W43" s="51">
        <f t="shared" si="5"/>
        <v>0</v>
      </c>
      <c r="X43" s="51"/>
      <c r="Y43" s="47">
        <v>0</v>
      </c>
      <c r="Z43" s="47"/>
      <c r="AA43" s="47">
        <v>0</v>
      </c>
      <c r="AB43" s="47"/>
      <c r="AC43" s="47">
        <v>0</v>
      </c>
      <c r="AD43" s="47"/>
      <c r="AE43" s="52">
        <f t="shared" si="6"/>
        <v>0</v>
      </c>
      <c r="AF43" s="52"/>
      <c r="AG43" s="52">
        <v>0</v>
      </c>
      <c r="AH43" s="52"/>
      <c r="AI43" s="47">
        <v>0</v>
      </c>
      <c r="AJ43" s="47"/>
      <c r="AK43" s="47">
        <v>0</v>
      </c>
      <c r="AL43" s="47"/>
      <c r="AM43" s="47">
        <v>0</v>
      </c>
      <c r="AN43" s="47"/>
      <c r="AO43" s="52">
        <f t="shared" si="7"/>
        <v>0</v>
      </c>
      <c r="AP43" s="52"/>
      <c r="AQ43" s="47">
        <v>0</v>
      </c>
      <c r="AR43" s="47"/>
      <c r="AS43" s="47">
        <v>0</v>
      </c>
      <c r="AT43" s="47"/>
      <c r="AU43" s="47">
        <f t="shared" si="8"/>
        <v>0</v>
      </c>
      <c r="AV43" s="47"/>
      <c r="AW43" s="47">
        <v>0</v>
      </c>
      <c r="AX43" s="47"/>
      <c r="AY43" s="47">
        <v>0</v>
      </c>
      <c r="AZ43" s="47"/>
      <c r="BA43" s="47">
        <v>0</v>
      </c>
      <c r="BB43" s="47"/>
      <c r="BC43" s="47">
        <v>0</v>
      </c>
      <c r="BD43" s="47"/>
      <c r="BE43" s="47"/>
      <c r="BF43" s="47"/>
      <c r="BG43" s="47">
        <f t="shared" si="9"/>
        <v>0</v>
      </c>
    </row>
    <row r="44" spans="1:59" s="22" customFormat="1" ht="12">
      <c r="A44" s="26" t="s">
        <v>40</v>
      </c>
      <c r="B44" s="26"/>
      <c r="C44" s="51">
        <f t="shared" si="1"/>
        <v>0</v>
      </c>
      <c r="D44" s="51"/>
      <c r="E44" s="51">
        <v>0</v>
      </c>
      <c r="F44" s="51"/>
      <c r="G44" s="51">
        <v>0</v>
      </c>
      <c r="H44" s="51"/>
      <c r="I44" s="51">
        <f t="shared" si="2"/>
        <v>0</v>
      </c>
      <c r="J44" s="51"/>
      <c r="K44" s="51">
        <f t="shared" si="3"/>
        <v>0</v>
      </c>
      <c r="L44" s="51"/>
      <c r="M44" s="51">
        <v>0</v>
      </c>
      <c r="N44" s="51"/>
      <c r="O44" s="51">
        <v>0</v>
      </c>
      <c r="P44" s="51"/>
      <c r="Q44" s="51">
        <v>0</v>
      </c>
      <c r="R44" s="51"/>
      <c r="S44" s="51">
        <v>0</v>
      </c>
      <c r="T44" s="51"/>
      <c r="U44" s="51">
        <f t="shared" si="4"/>
        <v>0</v>
      </c>
      <c r="V44" s="51"/>
      <c r="W44" s="51">
        <f t="shared" si="5"/>
        <v>0</v>
      </c>
      <c r="X44" s="51"/>
      <c r="Y44" s="47">
        <v>0</v>
      </c>
      <c r="Z44" s="47"/>
      <c r="AA44" s="47">
        <v>0</v>
      </c>
      <c r="AB44" s="47"/>
      <c r="AC44" s="47">
        <v>0</v>
      </c>
      <c r="AD44" s="47"/>
      <c r="AE44" s="52">
        <f t="shared" si="6"/>
        <v>0</v>
      </c>
      <c r="AF44" s="52"/>
      <c r="AG44" s="52">
        <v>0</v>
      </c>
      <c r="AH44" s="52"/>
      <c r="AI44" s="47">
        <v>0</v>
      </c>
      <c r="AJ44" s="47"/>
      <c r="AK44" s="47">
        <v>0</v>
      </c>
      <c r="AL44" s="47"/>
      <c r="AM44" s="47">
        <v>0</v>
      </c>
      <c r="AN44" s="47"/>
      <c r="AO44" s="52">
        <f t="shared" si="7"/>
        <v>0</v>
      </c>
      <c r="AP44" s="52"/>
      <c r="AQ44" s="47">
        <v>0</v>
      </c>
      <c r="AR44" s="47"/>
      <c r="AS44" s="47">
        <v>0</v>
      </c>
      <c r="AT44" s="47"/>
      <c r="AU44" s="47">
        <f t="shared" si="8"/>
        <v>0</v>
      </c>
      <c r="AV44" s="47"/>
      <c r="AW44" s="47">
        <v>0</v>
      </c>
      <c r="AX44" s="47"/>
      <c r="AY44" s="47">
        <v>0</v>
      </c>
      <c r="AZ44" s="47"/>
      <c r="BA44" s="47">
        <v>0</v>
      </c>
      <c r="BB44" s="47"/>
      <c r="BC44" s="47">
        <v>0</v>
      </c>
      <c r="BD44" s="47"/>
      <c r="BE44" s="47"/>
      <c r="BF44" s="47"/>
      <c r="BG44" s="47">
        <f t="shared" si="9"/>
        <v>0</v>
      </c>
    </row>
    <row r="45" spans="1:59" s="22" customFormat="1" ht="12" hidden="1">
      <c r="A45" s="26" t="s">
        <v>41</v>
      </c>
      <c r="B45" s="26"/>
      <c r="C45" s="51">
        <f t="shared" si="1"/>
        <v>0</v>
      </c>
      <c r="D45" s="51"/>
      <c r="E45" s="51">
        <v>0</v>
      </c>
      <c r="F45" s="51"/>
      <c r="G45" s="51">
        <v>0</v>
      </c>
      <c r="H45" s="51"/>
      <c r="I45" s="51">
        <f t="shared" si="2"/>
        <v>0</v>
      </c>
      <c r="J45" s="51"/>
      <c r="K45" s="51">
        <f t="shared" si="3"/>
        <v>0</v>
      </c>
      <c r="L45" s="51"/>
      <c r="M45" s="51">
        <v>0</v>
      </c>
      <c r="N45" s="51"/>
      <c r="O45" s="51">
        <v>0</v>
      </c>
      <c r="P45" s="51"/>
      <c r="Q45" s="51">
        <v>0</v>
      </c>
      <c r="R45" s="51"/>
      <c r="S45" s="51">
        <v>0</v>
      </c>
      <c r="T45" s="51"/>
      <c r="U45" s="51">
        <f t="shared" si="4"/>
        <v>0</v>
      </c>
      <c r="V45" s="51"/>
      <c r="W45" s="51">
        <f t="shared" si="5"/>
        <v>0</v>
      </c>
      <c r="X45" s="51"/>
      <c r="Y45" s="47">
        <v>0</v>
      </c>
      <c r="Z45" s="47"/>
      <c r="AA45" s="47">
        <v>0</v>
      </c>
      <c r="AB45" s="47"/>
      <c r="AC45" s="47">
        <v>0</v>
      </c>
      <c r="AD45" s="47"/>
      <c r="AE45" s="52">
        <f t="shared" si="6"/>
        <v>0</v>
      </c>
      <c r="AF45" s="52"/>
      <c r="AG45" s="52">
        <v>0</v>
      </c>
      <c r="AH45" s="52"/>
      <c r="AI45" s="47">
        <v>0</v>
      </c>
      <c r="AJ45" s="47"/>
      <c r="AK45" s="47">
        <v>0</v>
      </c>
      <c r="AL45" s="47"/>
      <c r="AM45" s="47">
        <v>0</v>
      </c>
      <c r="AN45" s="47"/>
      <c r="AO45" s="52">
        <f t="shared" si="7"/>
        <v>0</v>
      </c>
      <c r="AP45" s="52"/>
      <c r="AQ45" s="47">
        <v>0</v>
      </c>
      <c r="AR45" s="47"/>
      <c r="AS45" s="47">
        <v>0</v>
      </c>
      <c r="AT45" s="47"/>
      <c r="AU45" s="47">
        <f t="shared" si="8"/>
        <v>0</v>
      </c>
      <c r="AV45" s="47"/>
      <c r="AW45" s="47">
        <v>0</v>
      </c>
      <c r="AX45" s="47"/>
      <c r="AY45" s="47">
        <v>0</v>
      </c>
      <c r="AZ45" s="47"/>
      <c r="BA45" s="47">
        <v>0</v>
      </c>
      <c r="BB45" s="47"/>
      <c r="BC45" s="47">
        <v>0</v>
      </c>
      <c r="BD45" s="47"/>
      <c r="BE45" s="47"/>
      <c r="BF45" s="47"/>
      <c r="BG45" s="47">
        <f t="shared" si="9"/>
        <v>0</v>
      </c>
    </row>
    <row r="46" spans="1:59" s="22" customFormat="1" ht="12">
      <c r="A46" s="26" t="s">
        <v>42</v>
      </c>
      <c r="B46" s="26"/>
      <c r="C46" s="51">
        <f t="shared" si="1"/>
        <v>0</v>
      </c>
      <c r="D46" s="51"/>
      <c r="E46" s="51">
        <v>0</v>
      </c>
      <c r="F46" s="51"/>
      <c r="G46" s="51">
        <v>0</v>
      </c>
      <c r="H46" s="51"/>
      <c r="I46" s="51">
        <f t="shared" si="2"/>
        <v>0</v>
      </c>
      <c r="J46" s="51"/>
      <c r="K46" s="51">
        <f t="shared" si="3"/>
        <v>0</v>
      </c>
      <c r="L46" s="51"/>
      <c r="M46" s="51">
        <v>0</v>
      </c>
      <c r="N46" s="51"/>
      <c r="O46" s="51">
        <v>0</v>
      </c>
      <c r="P46" s="51"/>
      <c r="Q46" s="51">
        <v>0</v>
      </c>
      <c r="R46" s="51"/>
      <c r="S46" s="51">
        <v>0</v>
      </c>
      <c r="T46" s="51"/>
      <c r="U46" s="51">
        <f t="shared" si="4"/>
        <v>0</v>
      </c>
      <c r="V46" s="51"/>
      <c r="W46" s="51">
        <f t="shared" si="5"/>
        <v>0</v>
      </c>
      <c r="X46" s="51"/>
      <c r="Y46" s="47">
        <v>0</v>
      </c>
      <c r="Z46" s="47"/>
      <c r="AA46" s="47">
        <v>0</v>
      </c>
      <c r="AB46" s="47"/>
      <c r="AC46" s="47">
        <v>0</v>
      </c>
      <c r="AD46" s="47"/>
      <c r="AE46" s="52">
        <f t="shared" si="6"/>
        <v>0</v>
      </c>
      <c r="AF46" s="52"/>
      <c r="AG46" s="52">
        <v>0</v>
      </c>
      <c r="AH46" s="52"/>
      <c r="AI46" s="47">
        <v>0</v>
      </c>
      <c r="AJ46" s="47"/>
      <c r="AK46" s="47">
        <v>0</v>
      </c>
      <c r="AL46" s="47"/>
      <c r="AM46" s="47">
        <v>0</v>
      </c>
      <c r="AN46" s="47"/>
      <c r="AO46" s="52">
        <f t="shared" si="7"/>
        <v>0</v>
      </c>
      <c r="AP46" s="52"/>
      <c r="AQ46" s="47">
        <v>0</v>
      </c>
      <c r="AR46" s="47"/>
      <c r="AS46" s="47">
        <v>0</v>
      </c>
      <c r="AT46" s="47"/>
      <c r="AU46" s="47">
        <f t="shared" si="8"/>
        <v>0</v>
      </c>
      <c r="AV46" s="47"/>
      <c r="AW46" s="47">
        <v>0</v>
      </c>
      <c r="AX46" s="47"/>
      <c r="AY46" s="47">
        <v>0</v>
      </c>
      <c r="AZ46" s="47"/>
      <c r="BA46" s="47">
        <v>0</v>
      </c>
      <c r="BB46" s="47"/>
      <c r="BC46" s="47">
        <v>0</v>
      </c>
      <c r="BD46" s="47"/>
      <c r="BE46" s="47"/>
      <c r="BF46" s="47"/>
      <c r="BG46" s="47">
        <f t="shared" si="9"/>
        <v>0</v>
      </c>
    </row>
    <row r="47" spans="1:59" s="22" customFormat="1" ht="12">
      <c r="A47" s="26" t="s">
        <v>43</v>
      </c>
      <c r="B47" s="26"/>
      <c r="C47" s="51">
        <f>G47-E47</f>
        <v>6117</v>
      </c>
      <c r="D47" s="51"/>
      <c r="E47" s="51">
        <v>0</v>
      </c>
      <c r="F47" s="51"/>
      <c r="G47" s="51">
        <v>6117</v>
      </c>
      <c r="H47" s="51"/>
      <c r="I47" s="51">
        <f>M47-K47</f>
        <v>-2923463</v>
      </c>
      <c r="J47" s="51"/>
      <c r="K47" s="51">
        <f>SUM(BG47)</f>
        <v>2931463</v>
      </c>
      <c r="L47" s="51"/>
      <c r="M47" s="51">
        <v>8000</v>
      </c>
      <c r="N47" s="51"/>
      <c r="O47" s="51">
        <v>0</v>
      </c>
      <c r="P47" s="51"/>
      <c r="Q47" s="51">
        <v>0</v>
      </c>
      <c r="R47" s="51"/>
      <c r="S47" s="51">
        <v>-1883</v>
      </c>
      <c r="T47" s="51"/>
      <c r="U47" s="51">
        <f>SUM(O47:S47)</f>
        <v>-1883</v>
      </c>
      <c r="V47" s="51"/>
      <c r="W47" s="51">
        <f>+G47-M47-U47</f>
        <v>0</v>
      </c>
      <c r="X47" s="51"/>
      <c r="Y47" s="47">
        <v>3418</v>
      </c>
      <c r="Z47" s="47"/>
      <c r="AA47" s="47">
        <v>8773</v>
      </c>
      <c r="AB47" s="47"/>
      <c r="AC47" s="47">
        <v>0</v>
      </c>
      <c r="AD47" s="47"/>
      <c r="AE47" s="52">
        <f>+Y47-AA47-AC47</f>
        <v>-5355</v>
      </c>
      <c r="AF47" s="52"/>
      <c r="AG47" s="52">
        <v>0</v>
      </c>
      <c r="AH47" s="52"/>
      <c r="AI47" s="47">
        <v>0</v>
      </c>
      <c r="AJ47" s="47"/>
      <c r="AK47" s="47">
        <v>0</v>
      </c>
      <c r="AL47" s="47"/>
      <c r="AM47" s="47">
        <v>0</v>
      </c>
      <c r="AN47" s="47"/>
      <c r="AO47" s="52">
        <f>+AE47+AG47+AI47-AK47+AM47</f>
        <v>-5355</v>
      </c>
      <c r="AP47" s="52"/>
      <c r="AQ47" s="47">
        <v>0</v>
      </c>
      <c r="AR47" s="47"/>
      <c r="AS47" s="47">
        <v>0</v>
      </c>
      <c r="AT47" s="47"/>
      <c r="AU47" s="47">
        <f>+C47-I47</f>
        <v>2929580</v>
      </c>
      <c r="AV47" s="47"/>
      <c r="AW47" s="47">
        <v>0</v>
      </c>
      <c r="AX47" s="47"/>
      <c r="AY47" s="47">
        <v>2776000</v>
      </c>
      <c r="AZ47" s="47"/>
      <c r="BA47" s="47">
        <v>113363</v>
      </c>
      <c r="BB47" s="47"/>
      <c r="BC47" s="47">
        <v>42100</v>
      </c>
      <c r="BD47" s="47"/>
      <c r="BE47" s="47"/>
      <c r="BF47" s="47"/>
      <c r="BG47" s="47">
        <f>SUM(AW47:BC47)+BE47</f>
        <v>2931463</v>
      </c>
    </row>
    <row r="48" spans="1:60" s="22" customFormat="1" ht="12">
      <c r="A48" s="26" t="s">
        <v>44</v>
      </c>
      <c r="B48" s="26"/>
      <c r="C48" s="51">
        <f>G48-E48</f>
        <v>0</v>
      </c>
      <c r="D48" s="51"/>
      <c r="E48" s="51">
        <v>0</v>
      </c>
      <c r="F48" s="51"/>
      <c r="G48" s="51">
        <v>0</v>
      </c>
      <c r="H48" s="51"/>
      <c r="I48" s="51">
        <f>M48-K48</f>
        <v>0</v>
      </c>
      <c r="J48" s="51"/>
      <c r="K48" s="51">
        <f>SUM(BG48)</f>
        <v>0</v>
      </c>
      <c r="L48" s="51"/>
      <c r="M48" s="51">
        <v>0</v>
      </c>
      <c r="N48" s="51"/>
      <c r="O48" s="51">
        <v>0</v>
      </c>
      <c r="P48" s="51"/>
      <c r="Q48" s="51">
        <v>0</v>
      </c>
      <c r="R48" s="51"/>
      <c r="S48" s="51">
        <v>0</v>
      </c>
      <c r="T48" s="51"/>
      <c r="U48" s="51">
        <f>SUM(O48:S48)</f>
        <v>0</v>
      </c>
      <c r="V48" s="51"/>
      <c r="W48" s="51">
        <f>+G48-M48-U48</f>
        <v>0</v>
      </c>
      <c r="X48" s="51"/>
      <c r="Y48" s="47">
        <v>0</v>
      </c>
      <c r="Z48" s="47"/>
      <c r="AA48" s="47">
        <v>0</v>
      </c>
      <c r="AB48" s="47"/>
      <c r="AC48" s="47">
        <v>0</v>
      </c>
      <c r="AD48" s="47"/>
      <c r="AE48" s="52">
        <f>+Y48-AA48-AC48</f>
        <v>0</v>
      </c>
      <c r="AF48" s="52"/>
      <c r="AG48" s="52">
        <v>0</v>
      </c>
      <c r="AH48" s="52"/>
      <c r="AI48" s="47">
        <v>0</v>
      </c>
      <c r="AJ48" s="47"/>
      <c r="AK48" s="47">
        <v>0</v>
      </c>
      <c r="AL48" s="47"/>
      <c r="AM48" s="47">
        <v>0</v>
      </c>
      <c r="AN48" s="47"/>
      <c r="AO48" s="52">
        <f>+AE48+AG48+AI48-AK48+AM48</f>
        <v>0</v>
      </c>
      <c r="AP48" s="52"/>
      <c r="AQ48" s="47">
        <v>0</v>
      </c>
      <c r="AR48" s="47"/>
      <c r="AS48" s="47">
        <v>0</v>
      </c>
      <c r="AT48" s="47"/>
      <c r="AU48" s="47">
        <f>+C48-I48</f>
        <v>0</v>
      </c>
      <c r="AV48" s="47"/>
      <c r="AW48" s="47">
        <v>0</v>
      </c>
      <c r="AX48" s="47"/>
      <c r="AY48" s="47">
        <v>0</v>
      </c>
      <c r="AZ48" s="47"/>
      <c r="BA48" s="47">
        <v>0</v>
      </c>
      <c r="BB48" s="47"/>
      <c r="BC48" s="47">
        <v>0</v>
      </c>
      <c r="BD48" s="47"/>
      <c r="BE48" s="47"/>
      <c r="BF48" s="47"/>
      <c r="BG48" s="47">
        <f>SUM(AW48:BC48)+BE48</f>
        <v>0</v>
      </c>
      <c r="BH48" s="47"/>
    </row>
    <row r="49" spans="1:59" s="22" customFormat="1" ht="12" hidden="1">
      <c r="A49" s="26" t="s">
        <v>45</v>
      </c>
      <c r="B49" s="26"/>
      <c r="C49" s="51">
        <f t="shared" si="1"/>
        <v>0</v>
      </c>
      <c r="D49" s="51"/>
      <c r="E49" s="51">
        <v>0</v>
      </c>
      <c r="F49" s="51"/>
      <c r="G49" s="51">
        <v>0</v>
      </c>
      <c r="H49" s="51"/>
      <c r="I49" s="51">
        <f t="shared" si="2"/>
        <v>0</v>
      </c>
      <c r="J49" s="51"/>
      <c r="K49" s="51">
        <f t="shared" si="3"/>
        <v>0</v>
      </c>
      <c r="L49" s="51"/>
      <c r="M49" s="51">
        <v>0</v>
      </c>
      <c r="N49" s="51"/>
      <c r="O49" s="51">
        <v>0</v>
      </c>
      <c r="P49" s="51"/>
      <c r="Q49" s="51">
        <v>0</v>
      </c>
      <c r="R49" s="51"/>
      <c r="S49" s="51">
        <v>0</v>
      </c>
      <c r="T49" s="51"/>
      <c r="U49" s="51">
        <f t="shared" si="4"/>
        <v>0</v>
      </c>
      <c r="V49" s="51"/>
      <c r="W49" s="51">
        <f t="shared" si="5"/>
        <v>0</v>
      </c>
      <c r="X49" s="51"/>
      <c r="Y49" s="47">
        <v>0</v>
      </c>
      <c r="Z49" s="47"/>
      <c r="AA49" s="47">
        <v>0</v>
      </c>
      <c r="AB49" s="47"/>
      <c r="AC49" s="47">
        <v>0</v>
      </c>
      <c r="AD49" s="47"/>
      <c r="AE49" s="52">
        <f t="shared" si="6"/>
        <v>0</v>
      </c>
      <c r="AF49" s="52"/>
      <c r="AG49" s="52">
        <v>0</v>
      </c>
      <c r="AH49" s="52"/>
      <c r="AI49" s="47">
        <v>0</v>
      </c>
      <c r="AJ49" s="47"/>
      <c r="AK49" s="47">
        <v>0</v>
      </c>
      <c r="AL49" s="47"/>
      <c r="AM49" s="47">
        <v>0</v>
      </c>
      <c r="AN49" s="47"/>
      <c r="AO49" s="52">
        <f t="shared" si="7"/>
        <v>0</v>
      </c>
      <c r="AP49" s="52"/>
      <c r="AQ49" s="47">
        <v>0</v>
      </c>
      <c r="AR49" s="47"/>
      <c r="AS49" s="47">
        <v>0</v>
      </c>
      <c r="AT49" s="47"/>
      <c r="AU49" s="47">
        <f t="shared" si="8"/>
        <v>0</v>
      </c>
      <c r="AV49" s="47"/>
      <c r="AW49" s="47">
        <v>0</v>
      </c>
      <c r="AX49" s="47"/>
      <c r="AY49" s="47">
        <v>0</v>
      </c>
      <c r="AZ49" s="47"/>
      <c r="BA49" s="47">
        <v>0</v>
      </c>
      <c r="BB49" s="47"/>
      <c r="BC49" s="47">
        <v>0</v>
      </c>
      <c r="BD49" s="47"/>
      <c r="BE49" s="47"/>
      <c r="BF49" s="47"/>
      <c r="BG49" s="47">
        <f t="shared" si="9"/>
        <v>0</v>
      </c>
    </row>
    <row r="50" spans="1:60" s="22" customFormat="1" ht="12">
      <c r="A50" s="26" t="s">
        <v>46</v>
      </c>
      <c r="B50" s="26"/>
      <c r="C50" s="51">
        <f t="shared" si="1"/>
        <v>3331398</v>
      </c>
      <c r="D50" s="51"/>
      <c r="E50" s="51">
        <v>18861739</v>
      </c>
      <c r="F50" s="51"/>
      <c r="G50" s="51">
        <v>22193137</v>
      </c>
      <c r="H50" s="51"/>
      <c r="I50" s="51">
        <f t="shared" si="2"/>
        <v>4156684</v>
      </c>
      <c r="J50" s="51"/>
      <c r="K50" s="51">
        <f t="shared" si="3"/>
        <v>3318934</v>
      </c>
      <c r="L50" s="51"/>
      <c r="M50" s="51">
        <v>7475618</v>
      </c>
      <c r="N50" s="51"/>
      <c r="O50" s="51">
        <v>11622203</v>
      </c>
      <c r="P50" s="51"/>
      <c r="Q50" s="51">
        <f>271861+43734</f>
        <v>315595</v>
      </c>
      <c r="R50" s="51"/>
      <c r="S50" s="51">
        <v>2779721</v>
      </c>
      <c r="T50" s="51"/>
      <c r="U50" s="51">
        <f t="shared" si="4"/>
        <v>14717519</v>
      </c>
      <c r="V50" s="51"/>
      <c r="W50" s="51">
        <f t="shared" si="5"/>
        <v>0</v>
      </c>
      <c r="X50" s="51"/>
      <c r="Y50" s="47">
        <v>4198098</v>
      </c>
      <c r="Z50" s="47"/>
      <c r="AA50" s="47">
        <f>3638878-886367</f>
        <v>2752511</v>
      </c>
      <c r="AB50" s="47"/>
      <c r="AC50" s="47">
        <v>886367</v>
      </c>
      <c r="AD50" s="47"/>
      <c r="AE50" s="52">
        <v>559220</v>
      </c>
      <c r="AF50" s="52"/>
      <c r="AG50" s="52">
        <v>-114011</v>
      </c>
      <c r="AH50" s="52"/>
      <c r="AI50" s="47">
        <v>0</v>
      </c>
      <c r="AJ50" s="47"/>
      <c r="AK50" s="47">
        <v>0</v>
      </c>
      <c r="AL50" s="47"/>
      <c r="AM50" s="47">
        <v>594407</v>
      </c>
      <c r="AN50" s="47"/>
      <c r="AO50" s="52">
        <f t="shared" si="7"/>
        <v>1039616</v>
      </c>
      <c r="AP50" s="52"/>
      <c r="AQ50" s="47">
        <v>0</v>
      </c>
      <c r="AR50" s="47"/>
      <c r="AS50" s="47">
        <v>0</v>
      </c>
      <c r="AT50" s="47"/>
      <c r="AU50" s="47">
        <f t="shared" si="8"/>
        <v>-825286</v>
      </c>
      <c r="AV50" s="47"/>
      <c r="AW50" s="47">
        <v>0</v>
      </c>
      <c r="AX50" s="47"/>
      <c r="AY50" s="47">
        <v>0</v>
      </c>
      <c r="AZ50" s="47"/>
      <c r="BA50" s="47">
        <f>691725+2526227</f>
        <v>3217952</v>
      </c>
      <c r="BB50" s="47"/>
      <c r="BC50" s="47">
        <f>39982+61000</f>
        <v>100982</v>
      </c>
      <c r="BD50" s="47"/>
      <c r="BE50" s="47"/>
      <c r="BF50" s="47"/>
      <c r="BG50" s="47">
        <f t="shared" si="9"/>
        <v>3318934</v>
      </c>
      <c r="BH50" s="47"/>
    </row>
    <row r="51" spans="1:60" s="22" customFormat="1" ht="12">
      <c r="A51" s="26" t="s">
        <v>47</v>
      </c>
      <c r="B51" s="26"/>
      <c r="C51" s="51">
        <f t="shared" si="1"/>
        <v>0</v>
      </c>
      <c r="D51" s="51"/>
      <c r="E51" s="51">
        <v>0</v>
      </c>
      <c r="F51" s="51"/>
      <c r="G51" s="51">
        <v>0</v>
      </c>
      <c r="H51" s="51"/>
      <c r="I51" s="51">
        <f t="shared" si="2"/>
        <v>0</v>
      </c>
      <c r="J51" s="51"/>
      <c r="K51" s="51">
        <f t="shared" si="3"/>
        <v>0</v>
      </c>
      <c r="L51" s="51"/>
      <c r="M51" s="51">
        <v>0</v>
      </c>
      <c r="N51" s="51"/>
      <c r="O51" s="51">
        <v>0</v>
      </c>
      <c r="P51" s="51"/>
      <c r="Q51" s="51">
        <v>0</v>
      </c>
      <c r="R51" s="51"/>
      <c r="S51" s="51">
        <v>0</v>
      </c>
      <c r="T51" s="51"/>
      <c r="U51" s="51">
        <f t="shared" si="4"/>
        <v>0</v>
      </c>
      <c r="V51" s="51"/>
      <c r="W51" s="51">
        <f t="shared" si="5"/>
        <v>0</v>
      </c>
      <c r="X51" s="51"/>
      <c r="Y51" s="47">
        <v>0</v>
      </c>
      <c r="Z51" s="47"/>
      <c r="AA51" s="47">
        <v>0</v>
      </c>
      <c r="AB51" s="47"/>
      <c r="AC51" s="47">
        <v>0</v>
      </c>
      <c r="AD51" s="47"/>
      <c r="AE51" s="52">
        <f t="shared" si="6"/>
        <v>0</v>
      </c>
      <c r="AF51" s="52"/>
      <c r="AG51" s="52">
        <v>0</v>
      </c>
      <c r="AH51" s="52"/>
      <c r="AI51" s="47">
        <v>0</v>
      </c>
      <c r="AJ51" s="47"/>
      <c r="AK51" s="47">
        <v>0</v>
      </c>
      <c r="AL51" s="47"/>
      <c r="AM51" s="47">
        <v>0</v>
      </c>
      <c r="AN51" s="47"/>
      <c r="AO51" s="52">
        <f t="shared" si="7"/>
        <v>0</v>
      </c>
      <c r="AP51" s="52"/>
      <c r="AQ51" s="47">
        <v>0</v>
      </c>
      <c r="AR51" s="47"/>
      <c r="AS51" s="47">
        <v>0</v>
      </c>
      <c r="AT51" s="47"/>
      <c r="AU51" s="47">
        <f t="shared" si="8"/>
        <v>0</v>
      </c>
      <c r="AV51" s="47"/>
      <c r="AW51" s="47">
        <v>0</v>
      </c>
      <c r="AX51" s="47"/>
      <c r="AY51" s="47">
        <v>0</v>
      </c>
      <c r="AZ51" s="47"/>
      <c r="BA51" s="47">
        <v>0</v>
      </c>
      <c r="BB51" s="47"/>
      <c r="BC51" s="47">
        <v>0</v>
      </c>
      <c r="BD51" s="47"/>
      <c r="BE51" s="47"/>
      <c r="BF51" s="47"/>
      <c r="BG51" s="47">
        <f t="shared" si="9"/>
        <v>0</v>
      </c>
      <c r="BH51" s="47"/>
    </row>
    <row r="52" spans="1:59" s="22" customFormat="1" ht="12">
      <c r="A52" s="26" t="s">
        <v>48</v>
      </c>
      <c r="B52" s="26"/>
      <c r="C52" s="51">
        <f t="shared" si="1"/>
        <v>12858574</v>
      </c>
      <c r="D52" s="51"/>
      <c r="E52" s="51">
        <v>60882239</v>
      </c>
      <c r="F52" s="51"/>
      <c r="G52" s="51">
        <v>73740813</v>
      </c>
      <c r="H52" s="51"/>
      <c r="I52" s="51">
        <f t="shared" si="2"/>
        <v>13931073</v>
      </c>
      <c r="J52" s="51"/>
      <c r="K52" s="51">
        <f t="shared" si="3"/>
        <v>33038263</v>
      </c>
      <c r="L52" s="51"/>
      <c r="M52" s="51">
        <v>46969336</v>
      </c>
      <c r="N52" s="51"/>
      <c r="O52" s="51">
        <v>21928744</v>
      </c>
      <c r="P52" s="51"/>
      <c r="Q52" s="51">
        <v>0</v>
      </c>
      <c r="R52" s="51"/>
      <c r="S52" s="51">
        <v>4842733</v>
      </c>
      <c r="T52" s="51"/>
      <c r="U52" s="51">
        <f t="shared" si="4"/>
        <v>26771477</v>
      </c>
      <c r="V52" s="51"/>
      <c r="W52" s="51">
        <f t="shared" si="5"/>
        <v>0</v>
      </c>
      <c r="X52" s="51"/>
      <c r="Y52" s="47">
        <v>18788736</v>
      </c>
      <c r="Z52" s="47"/>
      <c r="AA52" s="47">
        <f>10430632-3437225</f>
        <v>6993407</v>
      </c>
      <c r="AB52" s="47"/>
      <c r="AC52" s="47">
        <v>3437225</v>
      </c>
      <c r="AD52" s="47"/>
      <c r="AE52" s="52">
        <f t="shared" si="6"/>
        <v>8358104</v>
      </c>
      <c r="AF52" s="52"/>
      <c r="AG52" s="52">
        <v>-3613212</v>
      </c>
      <c r="AH52" s="52"/>
      <c r="AI52" s="47">
        <v>0</v>
      </c>
      <c r="AJ52" s="47"/>
      <c r="AK52" s="47">
        <v>0</v>
      </c>
      <c r="AL52" s="47"/>
      <c r="AM52" s="47">
        <f>2337211+10888</f>
        <v>2348099</v>
      </c>
      <c r="AN52" s="47"/>
      <c r="AO52" s="52">
        <f t="shared" si="7"/>
        <v>7092991</v>
      </c>
      <c r="AP52" s="52"/>
      <c r="AQ52" s="47">
        <v>0</v>
      </c>
      <c r="AR52" s="47"/>
      <c r="AS52" s="47">
        <v>0</v>
      </c>
      <c r="AT52" s="47"/>
      <c r="AU52" s="47">
        <f t="shared" si="8"/>
        <v>-1072499</v>
      </c>
      <c r="AV52" s="47"/>
      <c r="AW52" s="47">
        <v>3760000</v>
      </c>
      <c r="AX52" s="47"/>
      <c r="AY52" s="47">
        <v>0</v>
      </c>
      <c r="AZ52" s="47"/>
      <c r="BA52" s="47">
        <f>28575304</f>
        <v>28575304</v>
      </c>
      <c r="BB52" s="47"/>
      <c r="BC52" s="47">
        <f>652959+50000</f>
        <v>702959</v>
      </c>
      <c r="BD52" s="47"/>
      <c r="BE52" s="47"/>
      <c r="BF52" s="47"/>
      <c r="BG52" s="47">
        <f t="shared" si="9"/>
        <v>33038263</v>
      </c>
    </row>
    <row r="53" spans="1:59" s="22" customFormat="1" ht="12" hidden="1">
      <c r="A53" s="26" t="s">
        <v>247</v>
      </c>
      <c r="B53" s="26"/>
      <c r="C53" s="51">
        <f t="shared" si="1"/>
        <v>0</v>
      </c>
      <c r="D53" s="51"/>
      <c r="E53" s="51">
        <v>0</v>
      </c>
      <c r="F53" s="51"/>
      <c r="G53" s="51">
        <v>0</v>
      </c>
      <c r="H53" s="51"/>
      <c r="I53" s="51">
        <f t="shared" si="2"/>
        <v>0</v>
      </c>
      <c r="J53" s="51"/>
      <c r="K53" s="51">
        <f t="shared" si="3"/>
        <v>0</v>
      </c>
      <c r="L53" s="51"/>
      <c r="M53" s="51">
        <v>0</v>
      </c>
      <c r="N53" s="51"/>
      <c r="O53" s="51">
        <v>0</v>
      </c>
      <c r="P53" s="51"/>
      <c r="Q53" s="51">
        <v>0</v>
      </c>
      <c r="R53" s="51"/>
      <c r="S53" s="51">
        <v>0</v>
      </c>
      <c r="T53" s="51"/>
      <c r="U53" s="51">
        <f t="shared" si="4"/>
        <v>0</v>
      </c>
      <c r="V53" s="51"/>
      <c r="W53" s="51">
        <f t="shared" si="5"/>
        <v>0</v>
      </c>
      <c r="X53" s="51"/>
      <c r="Y53" s="47">
        <v>0</v>
      </c>
      <c r="Z53" s="47"/>
      <c r="AA53" s="47">
        <v>0</v>
      </c>
      <c r="AB53" s="47"/>
      <c r="AC53" s="47">
        <v>0</v>
      </c>
      <c r="AD53" s="47"/>
      <c r="AE53" s="52">
        <f t="shared" si="6"/>
        <v>0</v>
      </c>
      <c r="AF53" s="52"/>
      <c r="AG53" s="52">
        <v>0</v>
      </c>
      <c r="AH53" s="52"/>
      <c r="AI53" s="47">
        <v>0</v>
      </c>
      <c r="AJ53" s="47"/>
      <c r="AK53" s="47">
        <v>0</v>
      </c>
      <c r="AL53" s="47"/>
      <c r="AM53" s="47">
        <v>0</v>
      </c>
      <c r="AN53" s="47"/>
      <c r="AO53" s="52">
        <f t="shared" si="7"/>
        <v>0</v>
      </c>
      <c r="AP53" s="52"/>
      <c r="AQ53" s="47">
        <v>0</v>
      </c>
      <c r="AR53" s="47"/>
      <c r="AS53" s="47">
        <v>0</v>
      </c>
      <c r="AT53" s="47"/>
      <c r="AU53" s="47">
        <f t="shared" si="8"/>
        <v>0</v>
      </c>
      <c r="AV53" s="47"/>
      <c r="AW53" s="47">
        <v>0</v>
      </c>
      <c r="AX53" s="47"/>
      <c r="AY53" s="47">
        <v>0</v>
      </c>
      <c r="AZ53" s="47"/>
      <c r="BA53" s="47">
        <v>0</v>
      </c>
      <c r="BB53" s="47"/>
      <c r="BC53" s="47">
        <v>0</v>
      </c>
      <c r="BD53" s="47"/>
      <c r="BE53" s="47"/>
      <c r="BF53" s="47"/>
      <c r="BG53" s="47">
        <f t="shared" si="9"/>
        <v>0</v>
      </c>
    </row>
    <row r="54" spans="1:59" s="22" customFormat="1" ht="12">
      <c r="A54" s="26" t="s">
        <v>49</v>
      </c>
      <c r="B54" s="26"/>
      <c r="C54" s="51">
        <f t="shared" si="1"/>
        <v>287852</v>
      </c>
      <c r="D54" s="51"/>
      <c r="E54" s="51">
        <v>798051</v>
      </c>
      <c r="F54" s="51"/>
      <c r="G54" s="51">
        <v>1085903</v>
      </c>
      <c r="H54" s="51"/>
      <c r="I54" s="51">
        <f t="shared" si="2"/>
        <v>75625</v>
      </c>
      <c r="J54" s="51"/>
      <c r="K54" s="51">
        <f t="shared" si="3"/>
        <v>455000</v>
      </c>
      <c r="L54" s="51"/>
      <c r="M54" s="51">
        <v>530625</v>
      </c>
      <c r="N54" s="51"/>
      <c r="O54" s="51">
        <v>303051</v>
      </c>
      <c r="P54" s="51"/>
      <c r="Q54" s="51">
        <v>0</v>
      </c>
      <c r="R54" s="51"/>
      <c r="S54" s="51">
        <v>252227</v>
      </c>
      <c r="T54" s="51"/>
      <c r="U54" s="51">
        <f t="shared" si="4"/>
        <v>555278</v>
      </c>
      <c r="V54" s="51"/>
      <c r="W54" s="51">
        <f t="shared" si="5"/>
        <v>0</v>
      </c>
      <c r="X54" s="51"/>
      <c r="Y54" s="47">
        <v>274520</v>
      </c>
      <c r="Z54" s="47"/>
      <c r="AA54" s="47">
        <f>249938-56793</f>
        <v>193145</v>
      </c>
      <c r="AB54" s="47"/>
      <c r="AC54" s="47">
        <v>56793</v>
      </c>
      <c r="AD54" s="47"/>
      <c r="AE54" s="52">
        <f t="shared" si="6"/>
        <v>24582</v>
      </c>
      <c r="AF54" s="52"/>
      <c r="AG54" s="52">
        <v>-28851</v>
      </c>
      <c r="AH54" s="52"/>
      <c r="AI54" s="47">
        <v>0</v>
      </c>
      <c r="AJ54" s="47"/>
      <c r="AK54" s="47">
        <v>0</v>
      </c>
      <c r="AL54" s="47"/>
      <c r="AM54" s="47">
        <v>0</v>
      </c>
      <c r="AN54" s="47"/>
      <c r="AO54" s="52">
        <f t="shared" si="7"/>
        <v>-4269</v>
      </c>
      <c r="AP54" s="52"/>
      <c r="AQ54" s="47">
        <v>0</v>
      </c>
      <c r="AR54" s="47"/>
      <c r="AS54" s="47">
        <v>0</v>
      </c>
      <c r="AT54" s="47"/>
      <c r="AU54" s="47">
        <f t="shared" si="8"/>
        <v>212227</v>
      </c>
      <c r="AV54" s="47"/>
      <c r="AW54" s="47">
        <v>0</v>
      </c>
      <c r="AX54" s="47"/>
      <c r="AY54" s="47">
        <v>0</v>
      </c>
      <c r="AZ54" s="47"/>
      <c r="BA54" s="47">
        <v>0</v>
      </c>
      <c r="BB54" s="47"/>
      <c r="BC54" s="47">
        <v>455000</v>
      </c>
      <c r="BD54" s="47"/>
      <c r="BE54" s="47"/>
      <c r="BF54" s="47"/>
      <c r="BG54" s="47">
        <f t="shared" si="9"/>
        <v>455000</v>
      </c>
    </row>
    <row r="55" spans="1:59" s="22" customFormat="1" ht="12">
      <c r="A55" s="26" t="s">
        <v>50</v>
      </c>
      <c r="B55" s="26"/>
      <c r="C55" s="51">
        <f t="shared" si="1"/>
        <v>0</v>
      </c>
      <c r="D55" s="51"/>
      <c r="E55" s="51">
        <v>0</v>
      </c>
      <c r="F55" s="51"/>
      <c r="G55" s="51">
        <v>0</v>
      </c>
      <c r="H55" s="51"/>
      <c r="I55" s="51">
        <f t="shared" si="2"/>
        <v>0</v>
      </c>
      <c r="J55" s="51"/>
      <c r="K55" s="51">
        <f t="shared" si="3"/>
        <v>0</v>
      </c>
      <c r="L55" s="51"/>
      <c r="M55" s="51">
        <v>0</v>
      </c>
      <c r="N55" s="51"/>
      <c r="O55" s="51">
        <v>0</v>
      </c>
      <c r="P55" s="51"/>
      <c r="Q55" s="51">
        <v>0</v>
      </c>
      <c r="R55" s="51"/>
      <c r="S55" s="51">
        <v>0</v>
      </c>
      <c r="T55" s="51"/>
      <c r="U55" s="51">
        <f t="shared" si="4"/>
        <v>0</v>
      </c>
      <c r="V55" s="51"/>
      <c r="W55" s="51">
        <f t="shared" si="5"/>
        <v>0</v>
      </c>
      <c r="X55" s="51"/>
      <c r="Y55" s="47">
        <v>0</v>
      </c>
      <c r="Z55" s="47"/>
      <c r="AA55" s="47">
        <v>0</v>
      </c>
      <c r="AB55" s="47"/>
      <c r="AC55" s="47">
        <v>0</v>
      </c>
      <c r="AD55" s="47"/>
      <c r="AE55" s="52">
        <f t="shared" si="6"/>
        <v>0</v>
      </c>
      <c r="AF55" s="52"/>
      <c r="AG55" s="52">
        <v>0</v>
      </c>
      <c r="AH55" s="52"/>
      <c r="AI55" s="47">
        <v>0</v>
      </c>
      <c r="AJ55" s="47"/>
      <c r="AK55" s="47">
        <v>0</v>
      </c>
      <c r="AL55" s="47"/>
      <c r="AM55" s="47">
        <v>0</v>
      </c>
      <c r="AN55" s="47"/>
      <c r="AO55" s="52">
        <f t="shared" si="7"/>
        <v>0</v>
      </c>
      <c r="AP55" s="52"/>
      <c r="AQ55" s="47">
        <v>0</v>
      </c>
      <c r="AR55" s="47"/>
      <c r="AS55" s="47">
        <v>0</v>
      </c>
      <c r="AT55" s="47"/>
      <c r="AU55" s="47">
        <f t="shared" si="8"/>
        <v>0</v>
      </c>
      <c r="AV55" s="47"/>
      <c r="AW55" s="47">
        <v>0</v>
      </c>
      <c r="AX55" s="47"/>
      <c r="AY55" s="47">
        <v>0</v>
      </c>
      <c r="AZ55" s="47"/>
      <c r="BA55" s="47">
        <v>0</v>
      </c>
      <c r="BB55" s="47"/>
      <c r="BC55" s="47">
        <v>0</v>
      </c>
      <c r="BD55" s="47"/>
      <c r="BE55" s="47"/>
      <c r="BF55" s="47"/>
      <c r="BG55" s="47">
        <f t="shared" si="9"/>
        <v>0</v>
      </c>
    </row>
    <row r="56" spans="1:59" s="22" customFormat="1" ht="12">
      <c r="A56" s="26" t="s">
        <v>51</v>
      </c>
      <c r="B56" s="26"/>
      <c r="C56" s="51">
        <f t="shared" si="1"/>
        <v>0</v>
      </c>
      <c r="D56" s="51"/>
      <c r="E56" s="51">
        <v>0</v>
      </c>
      <c r="F56" s="51"/>
      <c r="G56" s="51">
        <v>0</v>
      </c>
      <c r="H56" s="51"/>
      <c r="I56" s="51">
        <f t="shared" si="2"/>
        <v>0</v>
      </c>
      <c r="J56" s="51"/>
      <c r="K56" s="51">
        <f t="shared" si="3"/>
        <v>0</v>
      </c>
      <c r="L56" s="51"/>
      <c r="M56" s="51">
        <v>0</v>
      </c>
      <c r="N56" s="51"/>
      <c r="O56" s="51">
        <v>0</v>
      </c>
      <c r="P56" s="51"/>
      <c r="Q56" s="51">
        <v>0</v>
      </c>
      <c r="R56" s="51"/>
      <c r="S56" s="51">
        <v>0</v>
      </c>
      <c r="T56" s="51"/>
      <c r="U56" s="51">
        <f t="shared" si="4"/>
        <v>0</v>
      </c>
      <c r="V56" s="51"/>
      <c r="W56" s="51">
        <f t="shared" si="5"/>
        <v>0</v>
      </c>
      <c r="X56" s="51"/>
      <c r="Y56" s="47">
        <v>0</v>
      </c>
      <c r="Z56" s="47"/>
      <c r="AA56" s="47">
        <v>0</v>
      </c>
      <c r="AB56" s="47"/>
      <c r="AC56" s="47">
        <v>0</v>
      </c>
      <c r="AD56" s="47"/>
      <c r="AE56" s="52">
        <f t="shared" si="6"/>
        <v>0</v>
      </c>
      <c r="AF56" s="52"/>
      <c r="AG56" s="52">
        <v>0</v>
      </c>
      <c r="AH56" s="52"/>
      <c r="AI56" s="47">
        <v>0</v>
      </c>
      <c r="AJ56" s="47"/>
      <c r="AK56" s="47">
        <v>0</v>
      </c>
      <c r="AL56" s="47"/>
      <c r="AM56" s="47">
        <v>0</v>
      </c>
      <c r="AN56" s="47"/>
      <c r="AO56" s="52">
        <f t="shared" si="7"/>
        <v>0</v>
      </c>
      <c r="AP56" s="52"/>
      <c r="AQ56" s="47">
        <v>0</v>
      </c>
      <c r="AR56" s="47"/>
      <c r="AS56" s="47">
        <v>0</v>
      </c>
      <c r="AT56" s="47"/>
      <c r="AU56" s="47">
        <f t="shared" si="8"/>
        <v>0</v>
      </c>
      <c r="AV56" s="47"/>
      <c r="AW56" s="47">
        <v>0</v>
      </c>
      <c r="AX56" s="47"/>
      <c r="AY56" s="47">
        <v>0</v>
      </c>
      <c r="AZ56" s="47"/>
      <c r="BA56" s="47">
        <v>0</v>
      </c>
      <c r="BB56" s="47"/>
      <c r="BC56" s="47">
        <v>0</v>
      </c>
      <c r="BD56" s="47"/>
      <c r="BE56" s="47"/>
      <c r="BF56" s="47"/>
      <c r="BG56" s="47">
        <f t="shared" si="9"/>
        <v>0</v>
      </c>
    </row>
    <row r="57" spans="1:59" s="22" customFormat="1" ht="12">
      <c r="A57" s="26" t="s">
        <v>195</v>
      </c>
      <c r="B57" s="26"/>
      <c r="C57" s="51">
        <f t="shared" si="1"/>
        <v>2889</v>
      </c>
      <c r="D57" s="51"/>
      <c r="E57" s="51">
        <v>38756</v>
      </c>
      <c r="F57" s="51"/>
      <c r="G57" s="51">
        <v>41645</v>
      </c>
      <c r="H57" s="51"/>
      <c r="I57" s="51">
        <f t="shared" si="2"/>
        <v>177</v>
      </c>
      <c r="J57" s="51"/>
      <c r="K57" s="51">
        <f t="shared" si="3"/>
        <v>4907</v>
      </c>
      <c r="L57" s="51"/>
      <c r="M57" s="51">
        <v>5084</v>
      </c>
      <c r="N57" s="51"/>
      <c r="O57" s="51">
        <v>33701</v>
      </c>
      <c r="P57" s="51"/>
      <c r="Q57" s="51">
        <v>0</v>
      </c>
      <c r="R57" s="51"/>
      <c r="S57" s="51">
        <v>2860</v>
      </c>
      <c r="T57" s="51"/>
      <c r="U57" s="51">
        <f t="shared" si="4"/>
        <v>36561</v>
      </c>
      <c r="V57" s="51"/>
      <c r="W57" s="51">
        <f t="shared" si="5"/>
        <v>0</v>
      </c>
      <c r="X57" s="51"/>
      <c r="Y57" s="47">
        <v>1065</v>
      </c>
      <c r="Z57" s="47"/>
      <c r="AA57" s="47">
        <f>2205-1507</f>
        <v>698</v>
      </c>
      <c r="AB57" s="47"/>
      <c r="AC57" s="47">
        <v>1507</v>
      </c>
      <c r="AD57" s="47"/>
      <c r="AE57" s="52">
        <f t="shared" si="6"/>
        <v>-1140</v>
      </c>
      <c r="AF57" s="52"/>
      <c r="AG57" s="52">
        <v>-306</v>
      </c>
      <c r="AH57" s="52"/>
      <c r="AI57" s="47">
        <v>0</v>
      </c>
      <c r="AJ57" s="47"/>
      <c r="AK57" s="47">
        <v>0</v>
      </c>
      <c r="AL57" s="47"/>
      <c r="AM57" s="47">
        <v>2291</v>
      </c>
      <c r="AN57" s="47"/>
      <c r="AO57" s="52">
        <f t="shared" si="7"/>
        <v>845</v>
      </c>
      <c r="AP57" s="52"/>
      <c r="AQ57" s="47">
        <v>0</v>
      </c>
      <c r="AR57" s="47"/>
      <c r="AS57" s="47">
        <v>0</v>
      </c>
      <c r="AT57" s="47"/>
      <c r="AU57" s="47">
        <f t="shared" si="8"/>
        <v>2712</v>
      </c>
      <c r="AV57" s="47"/>
      <c r="AW57" s="47">
        <v>0</v>
      </c>
      <c r="AX57" s="47"/>
      <c r="AY57" s="47">
        <v>0</v>
      </c>
      <c r="AZ57" s="47"/>
      <c r="BA57" s="47">
        <v>4907</v>
      </c>
      <c r="BB57" s="47"/>
      <c r="BC57" s="47">
        <v>0</v>
      </c>
      <c r="BD57" s="47"/>
      <c r="BE57" s="47"/>
      <c r="BF57" s="47"/>
      <c r="BG57" s="47">
        <f t="shared" si="9"/>
        <v>4907</v>
      </c>
    </row>
    <row r="58" spans="1:59" s="22" customFormat="1" ht="12" hidden="1">
      <c r="A58" s="26" t="s">
        <v>52</v>
      </c>
      <c r="B58" s="26"/>
      <c r="C58" s="51">
        <f t="shared" si="1"/>
        <v>0</v>
      </c>
      <c r="D58" s="51"/>
      <c r="E58" s="51">
        <v>0</v>
      </c>
      <c r="F58" s="51"/>
      <c r="G58" s="51">
        <v>0</v>
      </c>
      <c r="H58" s="51"/>
      <c r="I58" s="51">
        <f t="shared" si="2"/>
        <v>0</v>
      </c>
      <c r="J58" s="51"/>
      <c r="K58" s="51">
        <f t="shared" si="3"/>
        <v>0</v>
      </c>
      <c r="L58" s="51"/>
      <c r="M58" s="51">
        <v>0</v>
      </c>
      <c r="N58" s="51"/>
      <c r="O58" s="51">
        <v>0</v>
      </c>
      <c r="P58" s="51"/>
      <c r="Q58" s="51">
        <v>0</v>
      </c>
      <c r="R58" s="51"/>
      <c r="S58" s="51">
        <v>0</v>
      </c>
      <c r="T58" s="51"/>
      <c r="U58" s="51">
        <f t="shared" si="4"/>
        <v>0</v>
      </c>
      <c r="V58" s="51"/>
      <c r="W58" s="51">
        <f t="shared" si="5"/>
        <v>0</v>
      </c>
      <c r="X58" s="51"/>
      <c r="Y58" s="47">
        <v>0</v>
      </c>
      <c r="Z58" s="47"/>
      <c r="AA58" s="47">
        <v>0</v>
      </c>
      <c r="AB58" s="47"/>
      <c r="AC58" s="47">
        <v>0</v>
      </c>
      <c r="AD58" s="47"/>
      <c r="AE58" s="52">
        <f t="shared" si="6"/>
        <v>0</v>
      </c>
      <c r="AF58" s="52"/>
      <c r="AG58" s="52">
        <v>0</v>
      </c>
      <c r="AH58" s="52"/>
      <c r="AI58" s="47">
        <v>0</v>
      </c>
      <c r="AJ58" s="47"/>
      <c r="AK58" s="47">
        <v>0</v>
      </c>
      <c r="AL58" s="47"/>
      <c r="AM58" s="47">
        <v>0</v>
      </c>
      <c r="AN58" s="47"/>
      <c r="AO58" s="52">
        <f t="shared" si="7"/>
        <v>0</v>
      </c>
      <c r="AP58" s="52"/>
      <c r="AQ58" s="47">
        <v>0</v>
      </c>
      <c r="AR58" s="47"/>
      <c r="AS58" s="47">
        <v>0</v>
      </c>
      <c r="AT58" s="47"/>
      <c r="AU58" s="47">
        <f t="shared" si="8"/>
        <v>0</v>
      </c>
      <c r="AV58" s="47"/>
      <c r="AW58" s="47">
        <v>0</v>
      </c>
      <c r="AX58" s="47"/>
      <c r="AY58" s="47">
        <v>0</v>
      </c>
      <c r="AZ58" s="47"/>
      <c r="BA58" s="47">
        <v>0</v>
      </c>
      <c r="BB58" s="47"/>
      <c r="BC58" s="47">
        <v>0</v>
      </c>
      <c r="BD58" s="47"/>
      <c r="BE58" s="47"/>
      <c r="BF58" s="47"/>
      <c r="BG58" s="47">
        <f t="shared" si="9"/>
        <v>0</v>
      </c>
    </row>
    <row r="59" spans="1:59" s="22" customFormat="1" ht="12">
      <c r="A59" s="26" t="s">
        <v>53</v>
      </c>
      <c r="B59" s="26"/>
      <c r="C59" s="51">
        <f t="shared" si="1"/>
        <v>3826007</v>
      </c>
      <c r="D59" s="51"/>
      <c r="E59" s="51">
        <v>3430578</v>
      </c>
      <c r="F59" s="51"/>
      <c r="G59" s="51">
        <v>7256585</v>
      </c>
      <c r="H59" s="51"/>
      <c r="I59" s="51">
        <f t="shared" si="2"/>
        <v>3426636</v>
      </c>
      <c r="J59" s="51"/>
      <c r="K59" s="51">
        <f t="shared" si="3"/>
        <v>272043</v>
      </c>
      <c r="L59" s="51"/>
      <c r="M59" s="51">
        <v>3698679</v>
      </c>
      <c r="N59" s="51"/>
      <c r="O59" s="51">
        <v>2367386</v>
      </c>
      <c r="P59" s="51"/>
      <c r="Q59" s="51">
        <v>0</v>
      </c>
      <c r="R59" s="51"/>
      <c r="S59" s="51">
        <v>1190520</v>
      </c>
      <c r="T59" s="51"/>
      <c r="U59" s="51">
        <f t="shared" si="4"/>
        <v>3557906</v>
      </c>
      <c r="V59" s="51"/>
      <c r="W59" s="51">
        <f t="shared" si="5"/>
        <v>0</v>
      </c>
      <c r="X59" s="51"/>
      <c r="Y59" s="47">
        <v>538947</v>
      </c>
      <c r="Z59" s="47"/>
      <c r="AA59" s="47">
        <f>324433-85056</f>
        <v>239377</v>
      </c>
      <c r="AB59" s="47"/>
      <c r="AC59" s="47">
        <v>85056</v>
      </c>
      <c r="AD59" s="47"/>
      <c r="AE59" s="52">
        <f t="shared" si="6"/>
        <v>214514</v>
      </c>
      <c r="AF59" s="52"/>
      <c r="AG59" s="52">
        <v>73919</v>
      </c>
      <c r="AH59" s="52"/>
      <c r="AI59" s="47">
        <v>138437</v>
      </c>
      <c r="AJ59" s="47"/>
      <c r="AK59" s="47">
        <v>21385</v>
      </c>
      <c r="AL59" s="47"/>
      <c r="AM59" s="47">
        <v>574787</v>
      </c>
      <c r="AN59" s="47"/>
      <c r="AO59" s="52">
        <f t="shared" si="7"/>
        <v>980272</v>
      </c>
      <c r="AP59" s="52"/>
      <c r="AQ59" s="47">
        <v>0</v>
      </c>
      <c r="AR59" s="47"/>
      <c r="AS59" s="47">
        <v>0</v>
      </c>
      <c r="AT59" s="47"/>
      <c r="AU59" s="47">
        <f t="shared" si="8"/>
        <v>399371</v>
      </c>
      <c r="AV59" s="47"/>
      <c r="AW59" s="47">
        <v>7023</v>
      </c>
      <c r="AX59" s="47"/>
      <c r="AY59" s="47">
        <v>0</v>
      </c>
      <c r="AZ59" s="47"/>
      <c r="BA59" s="47">
        <v>0</v>
      </c>
      <c r="BB59" s="47"/>
      <c r="BC59" s="47">
        <f>257977+7043</f>
        <v>265020</v>
      </c>
      <c r="BD59" s="47"/>
      <c r="BE59" s="47"/>
      <c r="BF59" s="47"/>
      <c r="BG59" s="47">
        <f t="shared" si="9"/>
        <v>272043</v>
      </c>
    </row>
    <row r="60" spans="1:256" s="22" customFormat="1" ht="12">
      <c r="A60" s="88" t="s">
        <v>54</v>
      </c>
      <c r="B60" s="88"/>
      <c r="C60" s="51">
        <f t="shared" si="1"/>
        <v>6249165</v>
      </c>
      <c r="D60" s="51"/>
      <c r="E60" s="51">
        <v>85455477</v>
      </c>
      <c r="F60" s="51"/>
      <c r="G60" s="51">
        <v>91704642</v>
      </c>
      <c r="H60" s="51"/>
      <c r="I60" s="51">
        <f t="shared" si="2"/>
        <v>2270655</v>
      </c>
      <c r="J60" s="51"/>
      <c r="K60" s="51">
        <f t="shared" si="3"/>
        <v>37250965</v>
      </c>
      <c r="L60" s="51"/>
      <c r="M60" s="51">
        <v>39521620</v>
      </c>
      <c r="N60" s="51"/>
      <c r="O60" s="51">
        <v>47049612</v>
      </c>
      <c r="P60" s="51"/>
      <c r="Q60" s="51">
        <v>0</v>
      </c>
      <c r="R60" s="51"/>
      <c r="S60" s="51">
        <v>5133410</v>
      </c>
      <c r="T60" s="51"/>
      <c r="U60" s="51">
        <f t="shared" si="4"/>
        <v>52183022</v>
      </c>
      <c r="V60" s="51"/>
      <c r="W60" s="51">
        <f t="shared" si="5"/>
        <v>0</v>
      </c>
      <c r="X60" s="51"/>
      <c r="Y60" s="47">
        <v>5128887</v>
      </c>
      <c r="Z60" s="47"/>
      <c r="AA60" s="47">
        <f>4771088-857984</f>
        <v>3913104</v>
      </c>
      <c r="AB60" s="47"/>
      <c r="AC60" s="47">
        <v>857984</v>
      </c>
      <c r="AD60" s="47"/>
      <c r="AE60" s="52">
        <f t="shared" si="6"/>
        <v>357799</v>
      </c>
      <c r="AF60" s="52"/>
      <c r="AG60" s="52">
        <v>-1643572</v>
      </c>
      <c r="AH60" s="52"/>
      <c r="AI60" s="47">
        <v>0</v>
      </c>
      <c r="AJ60" s="47"/>
      <c r="AK60" s="47">
        <v>0</v>
      </c>
      <c r="AL60" s="47"/>
      <c r="AM60" s="47">
        <v>3137388</v>
      </c>
      <c r="AN60" s="47"/>
      <c r="AO60" s="52">
        <f t="shared" si="7"/>
        <v>1851615</v>
      </c>
      <c r="AP60" s="52"/>
      <c r="AQ60" s="47">
        <v>0</v>
      </c>
      <c r="AR60" s="47"/>
      <c r="AS60" s="47">
        <v>0</v>
      </c>
      <c r="AT60" s="47"/>
      <c r="AU60" s="47">
        <f t="shared" si="8"/>
        <v>3978510</v>
      </c>
      <c r="AV60" s="47"/>
      <c r="AW60" s="47">
        <v>478189</v>
      </c>
      <c r="AX60" s="47"/>
      <c r="AY60" s="47">
        <v>0</v>
      </c>
      <c r="AZ60" s="47"/>
      <c r="BA60" s="47">
        <f>36427489+285503</f>
        <v>36712992</v>
      </c>
      <c r="BB60" s="47"/>
      <c r="BC60" s="47">
        <v>59784</v>
      </c>
      <c r="BD60" s="47"/>
      <c r="BE60" s="47"/>
      <c r="BF60" s="47"/>
      <c r="BG60" s="47">
        <f t="shared" si="9"/>
        <v>37250965</v>
      </c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89"/>
      <c r="IQ60" s="89"/>
      <c r="IR60" s="89"/>
      <c r="IS60" s="89"/>
      <c r="IT60" s="89"/>
      <c r="IU60" s="89"/>
      <c r="IV60" s="89"/>
    </row>
    <row r="61" spans="1:59" s="22" customFormat="1" ht="12">
      <c r="A61" s="26" t="s">
        <v>55</v>
      </c>
      <c r="B61" s="26"/>
      <c r="C61" s="51">
        <f t="shared" si="1"/>
        <v>0</v>
      </c>
      <c r="D61" s="51"/>
      <c r="E61" s="51">
        <v>0</v>
      </c>
      <c r="F61" s="51"/>
      <c r="G61" s="51">
        <v>0</v>
      </c>
      <c r="H61" s="51"/>
      <c r="I61" s="51">
        <f t="shared" si="2"/>
        <v>0</v>
      </c>
      <c r="J61" s="51"/>
      <c r="K61" s="51">
        <f t="shared" si="3"/>
        <v>0</v>
      </c>
      <c r="L61" s="51"/>
      <c r="M61" s="51">
        <v>0</v>
      </c>
      <c r="N61" s="51"/>
      <c r="O61" s="51">
        <v>0</v>
      </c>
      <c r="P61" s="51"/>
      <c r="Q61" s="51">
        <v>0</v>
      </c>
      <c r="R61" s="51"/>
      <c r="S61" s="51">
        <v>0</v>
      </c>
      <c r="T61" s="51"/>
      <c r="U61" s="51">
        <f t="shared" si="4"/>
        <v>0</v>
      </c>
      <c r="V61" s="51"/>
      <c r="W61" s="51">
        <f t="shared" si="5"/>
        <v>0</v>
      </c>
      <c r="X61" s="51"/>
      <c r="Y61" s="47">
        <v>0</v>
      </c>
      <c r="Z61" s="47"/>
      <c r="AA61" s="47">
        <v>0</v>
      </c>
      <c r="AB61" s="47"/>
      <c r="AC61" s="47">
        <v>0</v>
      </c>
      <c r="AD61" s="47"/>
      <c r="AE61" s="52">
        <f t="shared" si="6"/>
        <v>0</v>
      </c>
      <c r="AF61" s="52"/>
      <c r="AG61" s="52">
        <v>0</v>
      </c>
      <c r="AH61" s="52"/>
      <c r="AI61" s="47">
        <v>0</v>
      </c>
      <c r="AJ61" s="47"/>
      <c r="AK61" s="47">
        <v>0</v>
      </c>
      <c r="AL61" s="47"/>
      <c r="AM61" s="47">
        <v>0</v>
      </c>
      <c r="AN61" s="47"/>
      <c r="AO61" s="52">
        <f t="shared" si="7"/>
        <v>0</v>
      </c>
      <c r="AP61" s="52"/>
      <c r="AQ61" s="47">
        <v>0</v>
      </c>
      <c r="AR61" s="47"/>
      <c r="AS61" s="47">
        <v>0</v>
      </c>
      <c r="AT61" s="47"/>
      <c r="AU61" s="47">
        <f t="shared" si="8"/>
        <v>0</v>
      </c>
      <c r="AV61" s="47"/>
      <c r="AW61" s="47">
        <v>0</v>
      </c>
      <c r="AX61" s="47"/>
      <c r="AY61" s="47">
        <v>0</v>
      </c>
      <c r="AZ61" s="47"/>
      <c r="BA61" s="47">
        <v>0</v>
      </c>
      <c r="BB61" s="47"/>
      <c r="BC61" s="47">
        <v>0</v>
      </c>
      <c r="BD61" s="47"/>
      <c r="BE61" s="47"/>
      <c r="BF61" s="47"/>
      <c r="BG61" s="47">
        <f t="shared" si="9"/>
        <v>0</v>
      </c>
    </row>
    <row r="62" spans="1:59" s="22" customFormat="1" ht="12" hidden="1">
      <c r="A62" s="26" t="s">
        <v>180</v>
      </c>
      <c r="B62" s="26"/>
      <c r="C62" s="51">
        <f t="shared" si="1"/>
        <v>0</v>
      </c>
      <c r="D62" s="51"/>
      <c r="E62" s="51">
        <v>0</v>
      </c>
      <c r="F62" s="51"/>
      <c r="G62" s="51">
        <v>0</v>
      </c>
      <c r="H62" s="51"/>
      <c r="I62" s="51">
        <f t="shared" si="2"/>
        <v>0</v>
      </c>
      <c r="J62" s="51"/>
      <c r="K62" s="51">
        <f t="shared" si="3"/>
        <v>0</v>
      </c>
      <c r="L62" s="51"/>
      <c r="M62" s="51">
        <v>0</v>
      </c>
      <c r="N62" s="51"/>
      <c r="O62" s="51">
        <v>0</v>
      </c>
      <c r="P62" s="51"/>
      <c r="Q62" s="51">
        <v>0</v>
      </c>
      <c r="R62" s="51"/>
      <c r="S62" s="51">
        <v>0</v>
      </c>
      <c r="T62" s="51"/>
      <c r="U62" s="51">
        <f t="shared" si="4"/>
        <v>0</v>
      </c>
      <c r="V62" s="51"/>
      <c r="W62" s="51">
        <f t="shared" si="5"/>
        <v>0</v>
      </c>
      <c r="X62" s="51"/>
      <c r="Y62" s="47">
        <v>0</v>
      </c>
      <c r="Z62" s="47"/>
      <c r="AA62" s="47">
        <v>0</v>
      </c>
      <c r="AB62" s="47"/>
      <c r="AC62" s="47">
        <v>0</v>
      </c>
      <c r="AD62" s="47"/>
      <c r="AE62" s="52">
        <f t="shared" si="6"/>
        <v>0</v>
      </c>
      <c r="AF62" s="52"/>
      <c r="AG62" s="52">
        <v>0</v>
      </c>
      <c r="AH62" s="52"/>
      <c r="AI62" s="47">
        <v>0</v>
      </c>
      <c r="AJ62" s="47"/>
      <c r="AK62" s="47">
        <v>0</v>
      </c>
      <c r="AL62" s="47"/>
      <c r="AM62" s="47">
        <v>0</v>
      </c>
      <c r="AN62" s="47"/>
      <c r="AO62" s="52">
        <f t="shared" si="7"/>
        <v>0</v>
      </c>
      <c r="AP62" s="52"/>
      <c r="AQ62" s="47">
        <v>0</v>
      </c>
      <c r="AR62" s="47"/>
      <c r="AS62" s="47">
        <v>0</v>
      </c>
      <c r="AT62" s="47"/>
      <c r="AU62" s="47">
        <f t="shared" si="8"/>
        <v>0</v>
      </c>
      <c r="AV62" s="47"/>
      <c r="AW62" s="47">
        <v>0</v>
      </c>
      <c r="AX62" s="47"/>
      <c r="AY62" s="47">
        <v>0</v>
      </c>
      <c r="AZ62" s="47"/>
      <c r="BA62" s="47">
        <v>0</v>
      </c>
      <c r="BB62" s="47"/>
      <c r="BC62" s="47">
        <v>0</v>
      </c>
      <c r="BD62" s="47"/>
      <c r="BE62" s="47"/>
      <c r="BF62" s="47"/>
      <c r="BG62" s="47">
        <f t="shared" si="9"/>
        <v>0</v>
      </c>
    </row>
    <row r="63" spans="1:59" s="22" customFormat="1" ht="12" hidden="1">
      <c r="A63" s="26" t="s">
        <v>56</v>
      </c>
      <c r="B63" s="26"/>
      <c r="C63" s="51">
        <f t="shared" si="1"/>
        <v>0</v>
      </c>
      <c r="D63" s="51"/>
      <c r="E63" s="51">
        <v>0</v>
      </c>
      <c r="F63" s="51"/>
      <c r="G63" s="51">
        <v>0</v>
      </c>
      <c r="H63" s="51"/>
      <c r="I63" s="51">
        <f t="shared" si="2"/>
        <v>0</v>
      </c>
      <c r="J63" s="51"/>
      <c r="K63" s="51">
        <f t="shared" si="3"/>
        <v>0</v>
      </c>
      <c r="L63" s="51"/>
      <c r="M63" s="51">
        <v>0</v>
      </c>
      <c r="N63" s="51"/>
      <c r="O63" s="51">
        <v>0</v>
      </c>
      <c r="P63" s="51"/>
      <c r="Q63" s="51">
        <v>0</v>
      </c>
      <c r="R63" s="51"/>
      <c r="S63" s="51">
        <v>0</v>
      </c>
      <c r="T63" s="51"/>
      <c r="U63" s="51">
        <f t="shared" si="4"/>
        <v>0</v>
      </c>
      <c r="V63" s="51"/>
      <c r="W63" s="51">
        <f t="shared" si="5"/>
        <v>0</v>
      </c>
      <c r="X63" s="51"/>
      <c r="Y63" s="47">
        <v>0</v>
      </c>
      <c r="Z63" s="47"/>
      <c r="AA63" s="47">
        <v>0</v>
      </c>
      <c r="AB63" s="47"/>
      <c r="AC63" s="47">
        <v>0</v>
      </c>
      <c r="AD63" s="47"/>
      <c r="AE63" s="52">
        <f t="shared" si="6"/>
        <v>0</v>
      </c>
      <c r="AF63" s="52"/>
      <c r="AG63" s="52">
        <v>0</v>
      </c>
      <c r="AH63" s="52"/>
      <c r="AI63" s="47">
        <v>0</v>
      </c>
      <c r="AJ63" s="47"/>
      <c r="AK63" s="47">
        <v>0</v>
      </c>
      <c r="AL63" s="47"/>
      <c r="AM63" s="47">
        <v>0</v>
      </c>
      <c r="AN63" s="47"/>
      <c r="AO63" s="52">
        <f t="shared" si="7"/>
        <v>0</v>
      </c>
      <c r="AP63" s="52"/>
      <c r="AQ63" s="47">
        <v>0</v>
      </c>
      <c r="AR63" s="47"/>
      <c r="AS63" s="47">
        <v>0</v>
      </c>
      <c r="AT63" s="47"/>
      <c r="AU63" s="47">
        <f t="shared" si="8"/>
        <v>0</v>
      </c>
      <c r="AV63" s="47"/>
      <c r="AW63" s="47">
        <v>0</v>
      </c>
      <c r="AX63" s="47"/>
      <c r="AY63" s="47">
        <v>0</v>
      </c>
      <c r="AZ63" s="47"/>
      <c r="BA63" s="47">
        <v>0</v>
      </c>
      <c r="BB63" s="47"/>
      <c r="BC63" s="47">
        <v>0</v>
      </c>
      <c r="BD63" s="47"/>
      <c r="BE63" s="47"/>
      <c r="BF63" s="47"/>
      <c r="BG63" s="47">
        <f t="shared" si="9"/>
        <v>0</v>
      </c>
    </row>
    <row r="64" spans="1:59" s="22" customFormat="1" ht="12">
      <c r="A64" s="26" t="s">
        <v>57</v>
      </c>
      <c r="B64" s="26"/>
      <c r="C64" s="51">
        <f t="shared" si="1"/>
        <v>458960</v>
      </c>
      <c r="D64" s="51"/>
      <c r="E64" s="51">
        <v>3562752</v>
      </c>
      <c r="F64" s="51"/>
      <c r="G64" s="51">
        <v>4021712</v>
      </c>
      <c r="H64" s="51"/>
      <c r="I64" s="51">
        <f t="shared" si="2"/>
        <v>186118</v>
      </c>
      <c r="J64" s="51"/>
      <c r="K64" s="51">
        <f t="shared" si="3"/>
        <v>1781644</v>
      </c>
      <c r="L64" s="51"/>
      <c r="M64" s="51">
        <v>1967762</v>
      </c>
      <c r="N64" s="51"/>
      <c r="O64" s="51">
        <v>1706780</v>
      </c>
      <c r="P64" s="51"/>
      <c r="Q64" s="51">
        <v>0</v>
      </c>
      <c r="R64" s="51"/>
      <c r="S64" s="51">
        <v>347170</v>
      </c>
      <c r="T64" s="51"/>
      <c r="U64" s="51">
        <f t="shared" si="4"/>
        <v>2053950</v>
      </c>
      <c r="V64" s="51"/>
      <c r="W64" s="51">
        <f t="shared" si="5"/>
        <v>0</v>
      </c>
      <c r="X64" s="51"/>
      <c r="Y64" s="47">
        <v>694850</v>
      </c>
      <c r="Z64" s="47"/>
      <c r="AA64" s="47">
        <f>807699-101940</f>
        <v>705759</v>
      </c>
      <c r="AB64" s="47"/>
      <c r="AC64" s="47">
        <v>101940</v>
      </c>
      <c r="AD64" s="47"/>
      <c r="AE64" s="52">
        <f t="shared" si="6"/>
        <v>-112849</v>
      </c>
      <c r="AF64" s="52"/>
      <c r="AG64" s="52">
        <v>-65226</v>
      </c>
      <c r="AH64" s="52"/>
      <c r="AI64" s="47">
        <v>0</v>
      </c>
      <c r="AJ64" s="47"/>
      <c r="AK64" s="47">
        <v>0</v>
      </c>
      <c r="AL64" s="47"/>
      <c r="AM64" s="47">
        <v>0</v>
      </c>
      <c r="AN64" s="47"/>
      <c r="AO64" s="52">
        <f t="shared" si="7"/>
        <v>-178075</v>
      </c>
      <c r="AP64" s="52"/>
      <c r="AQ64" s="47">
        <v>0</v>
      </c>
      <c r="AR64" s="47"/>
      <c r="AS64" s="47">
        <v>0</v>
      </c>
      <c r="AT64" s="47"/>
      <c r="AU64" s="47">
        <f t="shared" si="8"/>
        <v>272842</v>
      </c>
      <c r="AV64" s="47"/>
      <c r="AW64" s="47">
        <v>1345049</v>
      </c>
      <c r="AX64" s="47"/>
      <c r="AY64" s="47">
        <v>0</v>
      </c>
      <c r="AZ64" s="47"/>
      <c r="BA64" s="47">
        <v>425000</v>
      </c>
      <c r="BB64" s="47"/>
      <c r="BC64" s="47">
        <v>11595</v>
      </c>
      <c r="BD64" s="47"/>
      <c r="BE64" s="47"/>
      <c r="BF64" s="47"/>
      <c r="BG64" s="47">
        <f t="shared" si="9"/>
        <v>1781644</v>
      </c>
    </row>
    <row r="65" spans="1:59" s="22" customFormat="1" ht="12">
      <c r="A65" s="26" t="s">
        <v>58</v>
      </c>
      <c r="B65" s="26"/>
      <c r="C65" s="51">
        <f>G65-E65</f>
        <v>0</v>
      </c>
      <c r="D65" s="51"/>
      <c r="E65" s="51">
        <v>0</v>
      </c>
      <c r="F65" s="51"/>
      <c r="G65" s="51">
        <v>0</v>
      </c>
      <c r="H65" s="51"/>
      <c r="I65" s="51">
        <f>M65-K65</f>
        <v>0</v>
      </c>
      <c r="J65" s="51"/>
      <c r="K65" s="51">
        <f>SUM(BG65)</f>
        <v>0</v>
      </c>
      <c r="L65" s="51"/>
      <c r="M65" s="51">
        <v>0</v>
      </c>
      <c r="N65" s="51"/>
      <c r="O65" s="51">
        <v>0</v>
      </c>
      <c r="P65" s="51"/>
      <c r="Q65" s="51">
        <v>0</v>
      </c>
      <c r="R65" s="51"/>
      <c r="S65" s="51">
        <v>0</v>
      </c>
      <c r="T65" s="51"/>
      <c r="U65" s="51">
        <f>SUM(O65:S65)</f>
        <v>0</v>
      </c>
      <c r="V65" s="51"/>
      <c r="W65" s="51">
        <f>+G65-M65-U65</f>
        <v>0</v>
      </c>
      <c r="X65" s="51"/>
      <c r="Y65" s="47">
        <v>0</v>
      </c>
      <c r="Z65" s="47"/>
      <c r="AA65" s="47">
        <v>0</v>
      </c>
      <c r="AB65" s="47"/>
      <c r="AC65" s="47">
        <v>0</v>
      </c>
      <c r="AD65" s="47"/>
      <c r="AE65" s="52">
        <f>+Y65-AA65-AC65</f>
        <v>0</v>
      </c>
      <c r="AF65" s="52"/>
      <c r="AG65" s="52">
        <v>0</v>
      </c>
      <c r="AH65" s="52"/>
      <c r="AI65" s="47">
        <v>0</v>
      </c>
      <c r="AJ65" s="47"/>
      <c r="AK65" s="47">
        <v>0</v>
      </c>
      <c r="AL65" s="47"/>
      <c r="AM65" s="47">
        <v>0</v>
      </c>
      <c r="AN65" s="47"/>
      <c r="AO65" s="52">
        <f>+AE65+AG65+AI65-AK65+AM65</f>
        <v>0</v>
      </c>
      <c r="AP65" s="52"/>
      <c r="AQ65" s="47">
        <v>0</v>
      </c>
      <c r="AR65" s="47"/>
      <c r="AS65" s="47">
        <v>0</v>
      </c>
      <c r="AT65" s="47"/>
      <c r="AU65" s="47">
        <f>+C65-I65</f>
        <v>0</v>
      </c>
      <c r="AV65" s="47"/>
      <c r="AW65" s="47">
        <v>0</v>
      </c>
      <c r="AX65" s="47"/>
      <c r="AY65" s="47">
        <v>0</v>
      </c>
      <c r="AZ65" s="47"/>
      <c r="BA65" s="47">
        <v>0</v>
      </c>
      <c r="BB65" s="47"/>
      <c r="BC65" s="47">
        <v>0</v>
      </c>
      <c r="BD65" s="47"/>
      <c r="BE65" s="47"/>
      <c r="BF65" s="47"/>
      <c r="BG65" s="47">
        <f>SUM(AW65:BC65)+BE65</f>
        <v>0</v>
      </c>
    </row>
    <row r="66" spans="1:59" s="22" customFormat="1" ht="12">
      <c r="A66" s="26" t="s">
        <v>59</v>
      </c>
      <c r="B66" s="26"/>
      <c r="C66" s="51">
        <f>G66-E66</f>
        <v>55840000</v>
      </c>
      <c r="D66" s="51"/>
      <c r="E66" s="51">
        <v>113173206</v>
      </c>
      <c r="F66" s="51"/>
      <c r="G66" s="51">
        <v>169013206</v>
      </c>
      <c r="H66" s="51"/>
      <c r="I66" s="51">
        <f>M66-K66</f>
        <v>8755351</v>
      </c>
      <c r="J66" s="51"/>
      <c r="K66" s="51">
        <f>SUM(BG66)</f>
        <v>43641162</v>
      </c>
      <c r="L66" s="51"/>
      <c r="M66" s="51">
        <v>52396513</v>
      </c>
      <c r="N66" s="51"/>
      <c r="O66" s="51">
        <v>69497705</v>
      </c>
      <c r="P66" s="51"/>
      <c r="Q66" s="51">
        <f>36232056+2490598</f>
        <v>38722654</v>
      </c>
      <c r="R66" s="51"/>
      <c r="S66" s="51">
        <v>8396334</v>
      </c>
      <c r="T66" s="51"/>
      <c r="U66" s="51">
        <f>SUM(O66:S66)</f>
        <v>116616693</v>
      </c>
      <c r="V66" s="51"/>
      <c r="W66" s="51">
        <f>+G66-M66-U66</f>
        <v>0</v>
      </c>
      <c r="X66" s="51"/>
      <c r="Y66" s="47">
        <v>27987962</v>
      </c>
      <c r="Z66" s="47"/>
      <c r="AA66" s="47">
        <f>25858518-3236579</f>
        <v>22621939</v>
      </c>
      <c r="AB66" s="47"/>
      <c r="AC66" s="47">
        <v>3236579</v>
      </c>
      <c r="AD66" s="47"/>
      <c r="AE66" s="52">
        <f>+Y66-AA66-AC66</f>
        <v>2129444</v>
      </c>
      <c r="AF66" s="52"/>
      <c r="AG66" s="52">
        <v>-798152</v>
      </c>
      <c r="AH66" s="52"/>
      <c r="AI66" s="47">
        <v>404482</v>
      </c>
      <c r="AJ66" s="47"/>
      <c r="AK66" s="47">
        <v>116000</v>
      </c>
      <c r="AL66" s="47"/>
      <c r="AM66" s="47">
        <v>972483</v>
      </c>
      <c r="AN66" s="47"/>
      <c r="AO66" s="52">
        <f>+AE66+AG66+AI66-AK66+AM66</f>
        <v>2592257</v>
      </c>
      <c r="AP66" s="52"/>
      <c r="AQ66" s="47">
        <v>0</v>
      </c>
      <c r="AR66" s="47"/>
      <c r="AS66" s="47">
        <v>0</v>
      </c>
      <c r="AT66" s="47"/>
      <c r="AU66" s="47">
        <f>+C66-I66</f>
        <v>47084649</v>
      </c>
      <c r="AV66" s="47"/>
      <c r="AW66" s="47">
        <v>2440014</v>
      </c>
      <c r="AX66" s="47"/>
      <c r="AY66" s="47">
        <v>40210000</v>
      </c>
      <c r="AZ66" s="47"/>
      <c r="BA66" s="47">
        <v>0</v>
      </c>
      <c r="BB66" s="47"/>
      <c r="BC66" s="47">
        <f>2847391-2051998-42107+18326+219536</f>
        <v>991148</v>
      </c>
      <c r="BD66" s="47"/>
      <c r="BE66" s="47"/>
      <c r="BF66" s="47"/>
      <c r="BG66" s="47">
        <f>SUM(AW66:BC66)+BE66</f>
        <v>43641162</v>
      </c>
    </row>
    <row r="67" spans="1:59" s="22" customFormat="1" ht="12" hidden="1">
      <c r="A67" s="26" t="s">
        <v>60</v>
      </c>
      <c r="B67" s="26"/>
      <c r="C67" s="51">
        <f t="shared" si="1"/>
        <v>0</v>
      </c>
      <c r="D67" s="51"/>
      <c r="E67" s="51">
        <v>0</v>
      </c>
      <c r="F67" s="51"/>
      <c r="G67" s="51">
        <v>0</v>
      </c>
      <c r="H67" s="51"/>
      <c r="I67" s="51">
        <f t="shared" si="2"/>
        <v>0</v>
      </c>
      <c r="J67" s="51"/>
      <c r="K67" s="51">
        <f t="shared" si="3"/>
        <v>0</v>
      </c>
      <c r="L67" s="51"/>
      <c r="M67" s="51">
        <v>0</v>
      </c>
      <c r="N67" s="51"/>
      <c r="O67" s="51">
        <v>0</v>
      </c>
      <c r="P67" s="51"/>
      <c r="Q67" s="51">
        <v>0</v>
      </c>
      <c r="R67" s="51"/>
      <c r="S67" s="51">
        <v>0</v>
      </c>
      <c r="T67" s="51"/>
      <c r="U67" s="51">
        <f t="shared" si="4"/>
        <v>0</v>
      </c>
      <c r="V67" s="51"/>
      <c r="W67" s="51">
        <f t="shared" si="5"/>
        <v>0</v>
      </c>
      <c r="X67" s="51"/>
      <c r="Y67" s="47">
        <v>0</v>
      </c>
      <c r="Z67" s="47"/>
      <c r="AA67" s="47">
        <v>0</v>
      </c>
      <c r="AB67" s="47"/>
      <c r="AC67" s="47">
        <v>0</v>
      </c>
      <c r="AD67" s="47"/>
      <c r="AE67" s="52">
        <f t="shared" si="6"/>
        <v>0</v>
      </c>
      <c r="AF67" s="52"/>
      <c r="AG67" s="52">
        <v>0</v>
      </c>
      <c r="AH67" s="52"/>
      <c r="AI67" s="47">
        <v>0</v>
      </c>
      <c r="AJ67" s="47"/>
      <c r="AK67" s="47">
        <v>0</v>
      </c>
      <c r="AL67" s="47"/>
      <c r="AM67" s="47">
        <v>0</v>
      </c>
      <c r="AN67" s="47"/>
      <c r="AO67" s="52">
        <f t="shared" si="7"/>
        <v>0</v>
      </c>
      <c r="AP67" s="52"/>
      <c r="AQ67" s="47">
        <v>0</v>
      </c>
      <c r="AR67" s="47"/>
      <c r="AS67" s="47">
        <v>0</v>
      </c>
      <c r="AT67" s="47"/>
      <c r="AU67" s="47">
        <f t="shared" si="8"/>
        <v>0</v>
      </c>
      <c r="AV67" s="47"/>
      <c r="AW67" s="47">
        <v>0</v>
      </c>
      <c r="AX67" s="47"/>
      <c r="AY67" s="47">
        <v>0</v>
      </c>
      <c r="AZ67" s="47"/>
      <c r="BA67" s="47">
        <v>0</v>
      </c>
      <c r="BB67" s="47"/>
      <c r="BC67" s="47">
        <v>0</v>
      </c>
      <c r="BD67" s="47"/>
      <c r="BE67" s="47"/>
      <c r="BF67" s="47"/>
      <c r="BG67" s="47">
        <f t="shared" si="9"/>
        <v>0</v>
      </c>
    </row>
    <row r="68" spans="1:59" s="22" customFormat="1" ht="12">
      <c r="A68" s="26" t="s">
        <v>98</v>
      </c>
      <c r="B68" s="26"/>
      <c r="C68" s="51">
        <f t="shared" si="1"/>
        <v>3287162</v>
      </c>
      <c r="D68" s="51"/>
      <c r="E68" s="51">
        <v>19379789</v>
      </c>
      <c r="F68" s="51"/>
      <c r="G68" s="51">
        <v>22666951</v>
      </c>
      <c r="H68" s="51"/>
      <c r="I68" s="51">
        <f t="shared" si="2"/>
        <v>709454</v>
      </c>
      <c r="J68" s="51"/>
      <c r="K68" s="51">
        <f t="shared" si="3"/>
        <v>9430883</v>
      </c>
      <c r="L68" s="51"/>
      <c r="M68" s="51">
        <v>10140337</v>
      </c>
      <c r="N68" s="51"/>
      <c r="O68" s="51">
        <v>9721137</v>
      </c>
      <c r="P68" s="51"/>
      <c r="Q68" s="51">
        <v>0</v>
      </c>
      <c r="R68" s="51"/>
      <c r="S68" s="51">
        <v>2805477</v>
      </c>
      <c r="T68" s="51"/>
      <c r="U68" s="51">
        <f t="shared" si="4"/>
        <v>12526614</v>
      </c>
      <c r="V68" s="51"/>
      <c r="W68" s="51">
        <f t="shared" si="5"/>
        <v>0</v>
      </c>
      <c r="X68" s="51"/>
      <c r="Y68" s="47">
        <v>2579148</v>
      </c>
      <c r="Z68" s="47"/>
      <c r="AA68" s="47">
        <f>2070809-614038</f>
        <v>1456771</v>
      </c>
      <c r="AB68" s="47"/>
      <c r="AC68" s="47">
        <v>614038</v>
      </c>
      <c r="AD68" s="47"/>
      <c r="AE68" s="52">
        <f t="shared" si="6"/>
        <v>508339</v>
      </c>
      <c r="AF68" s="52"/>
      <c r="AG68" s="52">
        <v>-178863</v>
      </c>
      <c r="AH68" s="52"/>
      <c r="AI68" s="47">
        <v>0</v>
      </c>
      <c r="AJ68" s="47"/>
      <c r="AK68" s="47">
        <v>0</v>
      </c>
      <c r="AL68" s="47"/>
      <c r="AM68" s="47">
        <f>168176+982199+247618</f>
        <v>1397993</v>
      </c>
      <c r="AN68" s="47"/>
      <c r="AO68" s="52">
        <f t="shared" si="7"/>
        <v>1727469</v>
      </c>
      <c r="AP68" s="52"/>
      <c r="AQ68" s="47">
        <v>0</v>
      </c>
      <c r="AR68" s="47"/>
      <c r="AS68" s="47">
        <v>0</v>
      </c>
      <c r="AT68" s="47"/>
      <c r="AU68" s="47">
        <f t="shared" si="8"/>
        <v>2577708</v>
      </c>
      <c r="AV68" s="47"/>
      <c r="AW68" s="47">
        <v>7056257</v>
      </c>
      <c r="AX68" s="47"/>
      <c r="AY68" s="47">
        <v>0</v>
      </c>
      <c r="AZ68" s="47"/>
      <c r="BA68" s="47">
        <v>2352395</v>
      </c>
      <c r="BB68" s="47"/>
      <c r="BC68" s="47">
        <v>22231</v>
      </c>
      <c r="BD68" s="47"/>
      <c r="BE68" s="47"/>
      <c r="BF68" s="47"/>
      <c r="BG68" s="47">
        <f t="shared" si="9"/>
        <v>9430883</v>
      </c>
    </row>
    <row r="69" spans="1:59" s="22" customFormat="1" ht="12">
      <c r="A69" s="26" t="s">
        <v>62</v>
      </c>
      <c r="B69" s="26"/>
      <c r="C69" s="51">
        <f t="shared" si="1"/>
        <v>0</v>
      </c>
      <c r="D69" s="51"/>
      <c r="E69" s="51">
        <v>0</v>
      </c>
      <c r="F69" s="51"/>
      <c r="G69" s="51">
        <v>0</v>
      </c>
      <c r="H69" s="51"/>
      <c r="I69" s="51">
        <f t="shared" si="2"/>
        <v>0</v>
      </c>
      <c r="J69" s="51"/>
      <c r="K69" s="51">
        <f t="shared" si="3"/>
        <v>0</v>
      </c>
      <c r="L69" s="51"/>
      <c r="M69" s="51">
        <v>0</v>
      </c>
      <c r="N69" s="51"/>
      <c r="O69" s="51">
        <v>0</v>
      </c>
      <c r="P69" s="51"/>
      <c r="Q69" s="51">
        <v>0</v>
      </c>
      <c r="R69" s="51"/>
      <c r="S69" s="51">
        <v>0</v>
      </c>
      <c r="T69" s="51"/>
      <c r="U69" s="51">
        <f t="shared" si="4"/>
        <v>0</v>
      </c>
      <c r="V69" s="51"/>
      <c r="W69" s="51">
        <f t="shared" si="5"/>
        <v>0</v>
      </c>
      <c r="X69" s="51"/>
      <c r="Y69" s="47">
        <v>0</v>
      </c>
      <c r="Z69" s="47"/>
      <c r="AA69" s="47">
        <v>0</v>
      </c>
      <c r="AB69" s="47"/>
      <c r="AC69" s="47">
        <v>0</v>
      </c>
      <c r="AD69" s="47"/>
      <c r="AE69" s="52">
        <f t="shared" si="6"/>
        <v>0</v>
      </c>
      <c r="AF69" s="52"/>
      <c r="AG69" s="52">
        <v>0</v>
      </c>
      <c r="AH69" s="52"/>
      <c r="AI69" s="47">
        <v>0</v>
      </c>
      <c r="AJ69" s="47"/>
      <c r="AK69" s="47">
        <v>0</v>
      </c>
      <c r="AL69" s="47"/>
      <c r="AM69" s="47">
        <v>0</v>
      </c>
      <c r="AN69" s="47"/>
      <c r="AO69" s="52">
        <f t="shared" si="7"/>
        <v>0</v>
      </c>
      <c r="AP69" s="52"/>
      <c r="AQ69" s="47">
        <v>0</v>
      </c>
      <c r="AR69" s="47"/>
      <c r="AS69" s="47">
        <v>0</v>
      </c>
      <c r="AT69" s="47"/>
      <c r="AU69" s="47">
        <f t="shared" si="8"/>
        <v>0</v>
      </c>
      <c r="AV69" s="47"/>
      <c r="AW69" s="47">
        <v>0</v>
      </c>
      <c r="AX69" s="47"/>
      <c r="AY69" s="47">
        <v>0</v>
      </c>
      <c r="AZ69" s="47"/>
      <c r="BA69" s="47">
        <v>0</v>
      </c>
      <c r="BB69" s="47"/>
      <c r="BC69" s="47">
        <v>0</v>
      </c>
      <c r="BD69" s="47"/>
      <c r="BE69" s="47"/>
      <c r="BF69" s="47"/>
      <c r="BG69" s="47">
        <f t="shared" si="9"/>
        <v>0</v>
      </c>
    </row>
    <row r="70" spans="1:59" s="22" customFormat="1" ht="12">
      <c r="A70" s="26" t="s">
        <v>63</v>
      </c>
      <c r="B70" s="26"/>
      <c r="C70" s="51">
        <f t="shared" si="1"/>
        <v>0</v>
      </c>
      <c r="D70" s="51"/>
      <c r="E70" s="51">
        <v>0</v>
      </c>
      <c r="F70" s="51"/>
      <c r="G70" s="51">
        <v>0</v>
      </c>
      <c r="H70" s="51"/>
      <c r="I70" s="51">
        <f t="shared" si="2"/>
        <v>0</v>
      </c>
      <c r="J70" s="51"/>
      <c r="K70" s="51">
        <f t="shared" si="3"/>
        <v>0</v>
      </c>
      <c r="L70" s="51"/>
      <c r="M70" s="51">
        <v>0</v>
      </c>
      <c r="N70" s="51"/>
      <c r="O70" s="51">
        <v>0</v>
      </c>
      <c r="P70" s="51"/>
      <c r="Q70" s="51">
        <v>0</v>
      </c>
      <c r="R70" s="51"/>
      <c r="S70" s="51">
        <v>0</v>
      </c>
      <c r="T70" s="51"/>
      <c r="U70" s="51">
        <f t="shared" si="4"/>
        <v>0</v>
      </c>
      <c r="V70" s="51"/>
      <c r="W70" s="51">
        <f t="shared" si="5"/>
        <v>0</v>
      </c>
      <c r="X70" s="51"/>
      <c r="Y70" s="47">
        <v>0</v>
      </c>
      <c r="Z70" s="47"/>
      <c r="AA70" s="47">
        <v>0</v>
      </c>
      <c r="AB70" s="47"/>
      <c r="AC70" s="47">
        <v>0</v>
      </c>
      <c r="AD70" s="47"/>
      <c r="AE70" s="52">
        <f t="shared" si="6"/>
        <v>0</v>
      </c>
      <c r="AF70" s="52"/>
      <c r="AG70" s="52">
        <v>0</v>
      </c>
      <c r="AH70" s="52"/>
      <c r="AI70" s="47">
        <v>0</v>
      </c>
      <c r="AJ70" s="47"/>
      <c r="AK70" s="47">
        <v>0</v>
      </c>
      <c r="AL70" s="47"/>
      <c r="AM70" s="47">
        <v>0</v>
      </c>
      <c r="AN70" s="47"/>
      <c r="AO70" s="52">
        <f t="shared" si="7"/>
        <v>0</v>
      </c>
      <c r="AP70" s="52"/>
      <c r="AQ70" s="47">
        <v>0</v>
      </c>
      <c r="AR70" s="47"/>
      <c r="AS70" s="47">
        <v>0</v>
      </c>
      <c r="AT70" s="47"/>
      <c r="AU70" s="47">
        <f t="shared" si="8"/>
        <v>0</v>
      </c>
      <c r="AV70" s="47"/>
      <c r="AW70" s="47">
        <v>0</v>
      </c>
      <c r="AX70" s="47"/>
      <c r="AY70" s="47">
        <v>0</v>
      </c>
      <c r="AZ70" s="47"/>
      <c r="BA70" s="47">
        <v>0</v>
      </c>
      <c r="BB70" s="47"/>
      <c r="BC70" s="47">
        <v>0</v>
      </c>
      <c r="BD70" s="47"/>
      <c r="BE70" s="47"/>
      <c r="BF70" s="47"/>
      <c r="BG70" s="47">
        <f t="shared" si="9"/>
        <v>0</v>
      </c>
    </row>
    <row r="71" spans="1:59" s="22" customFormat="1" ht="12">
      <c r="A71" s="26" t="s">
        <v>64</v>
      </c>
      <c r="B71" s="26"/>
      <c r="C71" s="51">
        <f t="shared" si="1"/>
        <v>5952783</v>
      </c>
      <c r="D71" s="51"/>
      <c r="E71" s="51">
        <v>67129841</v>
      </c>
      <c r="F71" s="51"/>
      <c r="G71" s="51">
        <v>73082624</v>
      </c>
      <c r="H71" s="51"/>
      <c r="I71" s="51">
        <f t="shared" si="2"/>
        <v>2693431</v>
      </c>
      <c r="J71" s="51"/>
      <c r="K71" s="51">
        <f t="shared" si="3"/>
        <v>30991719</v>
      </c>
      <c r="L71" s="51"/>
      <c r="M71" s="51">
        <v>33685150</v>
      </c>
      <c r="N71" s="51"/>
      <c r="O71" s="51">
        <v>35790498</v>
      </c>
      <c r="P71" s="51"/>
      <c r="Q71" s="51">
        <v>0</v>
      </c>
      <c r="R71" s="51"/>
      <c r="S71" s="51">
        <v>3606976</v>
      </c>
      <c r="T71" s="51"/>
      <c r="U71" s="51">
        <f t="shared" si="4"/>
        <v>39397474</v>
      </c>
      <c r="V71" s="51"/>
      <c r="W71" s="51">
        <f t="shared" si="5"/>
        <v>0</v>
      </c>
      <c r="X71" s="51"/>
      <c r="Y71" s="47">
        <v>4390357</v>
      </c>
      <c r="Z71" s="47"/>
      <c r="AA71" s="47">
        <f>3177402-1572211</f>
        <v>1605191</v>
      </c>
      <c r="AB71" s="47"/>
      <c r="AC71" s="47">
        <v>1572211</v>
      </c>
      <c r="AD71" s="47"/>
      <c r="AE71" s="52">
        <f t="shared" si="6"/>
        <v>1212955</v>
      </c>
      <c r="AF71" s="52"/>
      <c r="AG71" s="52">
        <v>-780983</v>
      </c>
      <c r="AH71" s="52"/>
      <c r="AI71" s="47">
        <v>60913</v>
      </c>
      <c r="AJ71" s="47"/>
      <c r="AK71" s="47">
        <v>185432</v>
      </c>
      <c r="AL71" s="47"/>
      <c r="AM71" s="47">
        <v>622554</v>
      </c>
      <c r="AN71" s="47"/>
      <c r="AO71" s="52">
        <f t="shared" si="7"/>
        <v>930007</v>
      </c>
      <c r="AP71" s="52"/>
      <c r="AQ71" s="47">
        <v>0</v>
      </c>
      <c r="AR71" s="47"/>
      <c r="AS71" s="47">
        <v>0</v>
      </c>
      <c r="AT71" s="47"/>
      <c r="AU71" s="47">
        <f t="shared" si="8"/>
        <v>3259352</v>
      </c>
      <c r="AV71" s="47"/>
      <c r="AW71" s="47">
        <v>1871800</v>
      </c>
      <c r="AX71" s="47"/>
      <c r="AY71" s="47">
        <v>0</v>
      </c>
      <c r="AZ71" s="47"/>
      <c r="BA71" s="47">
        <f>81835+25134335+2746547+1095643</f>
        <v>29058360</v>
      </c>
      <c r="BB71" s="47"/>
      <c r="BC71" s="47">
        <v>61559</v>
      </c>
      <c r="BD71" s="47"/>
      <c r="BE71" s="47"/>
      <c r="BF71" s="47"/>
      <c r="BG71" s="47">
        <f t="shared" si="9"/>
        <v>30991719</v>
      </c>
    </row>
    <row r="72" spans="1:59" s="22" customFormat="1" ht="12" hidden="1">
      <c r="A72" s="26" t="s">
        <v>137</v>
      </c>
      <c r="B72" s="26"/>
      <c r="C72" s="51">
        <f t="shared" si="1"/>
        <v>0</v>
      </c>
      <c r="D72" s="51"/>
      <c r="E72" s="51">
        <v>0</v>
      </c>
      <c r="F72" s="51"/>
      <c r="G72" s="51">
        <v>0</v>
      </c>
      <c r="H72" s="51"/>
      <c r="I72" s="51">
        <f t="shared" si="2"/>
        <v>0</v>
      </c>
      <c r="J72" s="51"/>
      <c r="K72" s="51">
        <f t="shared" si="3"/>
        <v>0</v>
      </c>
      <c r="L72" s="51"/>
      <c r="M72" s="51">
        <v>0</v>
      </c>
      <c r="N72" s="51"/>
      <c r="O72" s="51">
        <v>0</v>
      </c>
      <c r="P72" s="51"/>
      <c r="Q72" s="51">
        <v>0</v>
      </c>
      <c r="R72" s="51"/>
      <c r="S72" s="51">
        <v>0</v>
      </c>
      <c r="T72" s="51"/>
      <c r="U72" s="51">
        <f t="shared" si="4"/>
        <v>0</v>
      </c>
      <c r="V72" s="51"/>
      <c r="W72" s="51">
        <f t="shared" si="5"/>
        <v>0</v>
      </c>
      <c r="X72" s="51"/>
      <c r="Y72" s="47">
        <v>0</v>
      </c>
      <c r="Z72" s="47"/>
      <c r="AA72" s="47">
        <v>0</v>
      </c>
      <c r="AB72" s="47"/>
      <c r="AC72" s="47">
        <v>0</v>
      </c>
      <c r="AD72" s="47"/>
      <c r="AE72" s="52">
        <f t="shared" si="6"/>
        <v>0</v>
      </c>
      <c r="AF72" s="52"/>
      <c r="AG72" s="52">
        <v>0</v>
      </c>
      <c r="AH72" s="52"/>
      <c r="AI72" s="47">
        <v>0</v>
      </c>
      <c r="AJ72" s="47"/>
      <c r="AK72" s="47">
        <v>0</v>
      </c>
      <c r="AL72" s="47"/>
      <c r="AM72" s="47">
        <v>0</v>
      </c>
      <c r="AN72" s="47"/>
      <c r="AO72" s="52">
        <f t="shared" si="7"/>
        <v>0</v>
      </c>
      <c r="AP72" s="52"/>
      <c r="AQ72" s="47">
        <v>0</v>
      </c>
      <c r="AR72" s="47"/>
      <c r="AS72" s="47">
        <v>0</v>
      </c>
      <c r="AT72" s="47"/>
      <c r="AU72" s="47">
        <f t="shared" si="8"/>
        <v>0</v>
      </c>
      <c r="AV72" s="47"/>
      <c r="AW72" s="47">
        <v>0</v>
      </c>
      <c r="AX72" s="47"/>
      <c r="AY72" s="47">
        <v>0</v>
      </c>
      <c r="AZ72" s="47"/>
      <c r="BA72" s="47">
        <v>0</v>
      </c>
      <c r="BB72" s="47"/>
      <c r="BC72" s="47">
        <v>0</v>
      </c>
      <c r="BD72" s="47"/>
      <c r="BE72" s="47"/>
      <c r="BF72" s="47"/>
      <c r="BG72" s="47">
        <f t="shared" si="9"/>
        <v>0</v>
      </c>
    </row>
    <row r="73" spans="1:63" s="22" customFormat="1" ht="12" hidden="1">
      <c r="A73" s="26" t="s">
        <v>65</v>
      </c>
      <c r="B73" s="26"/>
      <c r="C73" s="51">
        <f t="shared" si="1"/>
        <v>0</v>
      </c>
      <c r="D73" s="51"/>
      <c r="E73" s="51">
        <v>0</v>
      </c>
      <c r="F73" s="51"/>
      <c r="G73" s="51">
        <v>0</v>
      </c>
      <c r="H73" s="51"/>
      <c r="I73" s="51">
        <f t="shared" si="2"/>
        <v>0</v>
      </c>
      <c r="J73" s="51"/>
      <c r="K73" s="51">
        <f t="shared" si="3"/>
        <v>0</v>
      </c>
      <c r="L73" s="51"/>
      <c r="M73" s="51">
        <v>0</v>
      </c>
      <c r="N73" s="51"/>
      <c r="O73" s="51">
        <v>0</v>
      </c>
      <c r="P73" s="51"/>
      <c r="Q73" s="51">
        <v>0</v>
      </c>
      <c r="R73" s="51"/>
      <c r="S73" s="51">
        <v>0</v>
      </c>
      <c r="T73" s="51"/>
      <c r="U73" s="51">
        <f t="shared" si="4"/>
        <v>0</v>
      </c>
      <c r="V73" s="51"/>
      <c r="W73" s="51">
        <f t="shared" si="5"/>
        <v>0</v>
      </c>
      <c r="X73" s="51"/>
      <c r="Y73" s="47">
        <v>0</v>
      </c>
      <c r="Z73" s="47"/>
      <c r="AA73" s="47">
        <v>0</v>
      </c>
      <c r="AB73" s="47"/>
      <c r="AC73" s="47">
        <v>0</v>
      </c>
      <c r="AD73" s="47"/>
      <c r="AE73" s="52">
        <f t="shared" si="6"/>
        <v>0</v>
      </c>
      <c r="AF73" s="52"/>
      <c r="AG73" s="52">
        <v>0</v>
      </c>
      <c r="AH73" s="52"/>
      <c r="AI73" s="47">
        <v>0</v>
      </c>
      <c r="AJ73" s="47"/>
      <c r="AK73" s="47">
        <v>0</v>
      </c>
      <c r="AL73" s="47"/>
      <c r="AM73" s="47">
        <v>0</v>
      </c>
      <c r="AN73" s="47"/>
      <c r="AO73" s="52">
        <f t="shared" si="7"/>
        <v>0</v>
      </c>
      <c r="AP73" s="52"/>
      <c r="AQ73" s="47">
        <v>0</v>
      </c>
      <c r="AR73" s="47"/>
      <c r="AS73" s="47">
        <v>0</v>
      </c>
      <c r="AT73" s="47"/>
      <c r="AU73" s="47">
        <f t="shared" si="8"/>
        <v>0</v>
      </c>
      <c r="AV73" s="47"/>
      <c r="AW73" s="47">
        <v>0</v>
      </c>
      <c r="AX73" s="47"/>
      <c r="AY73" s="47">
        <v>0</v>
      </c>
      <c r="AZ73" s="47"/>
      <c r="BA73" s="47">
        <v>0</v>
      </c>
      <c r="BB73" s="47"/>
      <c r="BC73" s="47">
        <v>0</v>
      </c>
      <c r="BD73" s="47"/>
      <c r="BE73" s="47"/>
      <c r="BF73" s="47"/>
      <c r="BG73" s="47">
        <f t="shared" si="9"/>
        <v>0</v>
      </c>
      <c r="BI73" s="40"/>
      <c r="BJ73" s="40"/>
      <c r="BK73" s="40"/>
    </row>
    <row r="74" spans="1:63" s="22" customFormat="1" ht="12">
      <c r="A74" s="26" t="s">
        <v>66</v>
      </c>
      <c r="B74" s="26"/>
      <c r="C74" s="51">
        <f t="shared" si="1"/>
        <v>0</v>
      </c>
      <c r="D74" s="51"/>
      <c r="E74" s="51">
        <v>0</v>
      </c>
      <c r="F74" s="51"/>
      <c r="G74" s="51">
        <v>0</v>
      </c>
      <c r="H74" s="51"/>
      <c r="I74" s="51">
        <f t="shared" si="2"/>
        <v>0</v>
      </c>
      <c r="J74" s="51"/>
      <c r="K74" s="51">
        <f t="shared" si="3"/>
        <v>0</v>
      </c>
      <c r="L74" s="51"/>
      <c r="M74" s="51">
        <v>0</v>
      </c>
      <c r="N74" s="51"/>
      <c r="O74" s="51">
        <v>0</v>
      </c>
      <c r="P74" s="51"/>
      <c r="Q74" s="51">
        <v>0</v>
      </c>
      <c r="R74" s="51"/>
      <c r="S74" s="51">
        <v>0</v>
      </c>
      <c r="T74" s="51"/>
      <c r="U74" s="51">
        <f t="shared" si="4"/>
        <v>0</v>
      </c>
      <c r="V74" s="51"/>
      <c r="W74" s="51">
        <f t="shared" si="5"/>
        <v>0</v>
      </c>
      <c r="X74" s="51"/>
      <c r="Y74" s="47">
        <v>0</v>
      </c>
      <c r="Z74" s="47"/>
      <c r="AA74" s="47">
        <v>0</v>
      </c>
      <c r="AB74" s="47"/>
      <c r="AC74" s="47">
        <v>0</v>
      </c>
      <c r="AD74" s="47"/>
      <c r="AE74" s="52">
        <f t="shared" si="6"/>
        <v>0</v>
      </c>
      <c r="AF74" s="52"/>
      <c r="AG74" s="52">
        <v>0</v>
      </c>
      <c r="AH74" s="52"/>
      <c r="AI74" s="47">
        <v>0</v>
      </c>
      <c r="AJ74" s="47"/>
      <c r="AK74" s="47">
        <v>0</v>
      </c>
      <c r="AL74" s="47"/>
      <c r="AM74" s="47">
        <v>0</v>
      </c>
      <c r="AN74" s="47"/>
      <c r="AO74" s="52">
        <f t="shared" si="7"/>
        <v>0</v>
      </c>
      <c r="AP74" s="52"/>
      <c r="AQ74" s="47">
        <v>0</v>
      </c>
      <c r="AR74" s="47"/>
      <c r="AS74" s="47">
        <v>0</v>
      </c>
      <c r="AT74" s="47"/>
      <c r="AU74" s="47">
        <f t="shared" si="8"/>
        <v>0</v>
      </c>
      <c r="AV74" s="47"/>
      <c r="AW74" s="47">
        <v>0</v>
      </c>
      <c r="AX74" s="47"/>
      <c r="AY74" s="47">
        <v>0</v>
      </c>
      <c r="AZ74" s="47"/>
      <c r="BA74" s="47">
        <v>0</v>
      </c>
      <c r="BB74" s="47"/>
      <c r="BC74" s="47">
        <v>0</v>
      </c>
      <c r="BD74" s="47"/>
      <c r="BE74" s="47"/>
      <c r="BF74" s="47"/>
      <c r="BG74" s="47">
        <f t="shared" si="9"/>
        <v>0</v>
      </c>
      <c r="BI74" s="40"/>
      <c r="BJ74" s="40"/>
      <c r="BK74" s="40"/>
    </row>
    <row r="75" spans="1:59" s="22" customFormat="1" ht="12">
      <c r="A75" s="26" t="s">
        <v>67</v>
      </c>
      <c r="B75" s="26"/>
      <c r="C75" s="51">
        <f t="shared" si="1"/>
        <v>0</v>
      </c>
      <c r="D75" s="51"/>
      <c r="E75" s="51">
        <v>0</v>
      </c>
      <c r="F75" s="51"/>
      <c r="G75" s="51">
        <v>0</v>
      </c>
      <c r="H75" s="51"/>
      <c r="I75" s="51">
        <f t="shared" si="2"/>
        <v>0</v>
      </c>
      <c r="J75" s="51"/>
      <c r="K75" s="51">
        <f t="shared" si="3"/>
        <v>0</v>
      </c>
      <c r="L75" s="51"/>
      <c r="M75" s="51">
        <v>0</v>
      </c>
      <c r="N75" s="51"/>
      <c r="O75" s="51">
        <v>0</v>
      </c>
      <c r="P75" s="51"/>
      <c r="Q75" s="51">
        <v>0</v>
      </c>
      <c r="R75" s="51"/>
      <c r="S75" s="51">
        <v>0</v>
      </c>
      <c r="T75" s="51"/>
      <c r="U75" s="51">
        <f t="shared" si="4"/>
        <v>0</v>
      </c>
      <c r="V75" s="51"/>
      <c r="W75" s="51">
        <f t="shared" si="5"/>
        <v>0</v>
      </c>
      <c r="X75" s="51"/>
      <c r="Y75" s="47">
        <v>0</v>
      </c>
      <c r="Z75" s="47"/>
      <c r="AA75" s="47">
        <v>0</v>
      </c>
      <c r="AB75" s="47"/>
      <c r="AC75" s="47">
        <v>0</v>
      </c>
      <c r="AD75" s="47"/>
      <c r="AE75" s="52">
        <f t="shared" si="6"/>
        <v>0</v>
      </c>
      <c r="AF75" s="52"/>
      <c r="AG75" s="52">
        <v>0</v>
      </c>
      <c r="AH75" s="52"/>
      <c r="AI75" s="47">
        <v>0</v>
      </c>
      <c r="AJ75" s="47"/>
      <c r="AK75" s="47">
        <v>0</v>
      </c>
      <c r="AL75" s="47"/>
      <c r="AM75" s="47">
        <v>0</v>
      </c>
      <c r="AN75" s="47"/>
      <c r="AO75" s="52">
        <f t="shared" si="7"/>
        <v>0</v>
      </c>
      <c r="AP75" s="52"/>
      <c r="AQ75" s="47">
        <v>0</v>
      </c>
      <c r="AR75" s="47"/>
      <c r="AS75" s="47">
        <v>0</v>
      </c>
      <c r="AT75" s="47"/>
      <c r="AU75" s="47">
        <f t="shared" si="8"/>
        <v>0</v>
      </c>
      <c r="AV75" s="47"/>
      <c r="AW75" s="47">
        <v>0</v>
      </c>
      <c r="AX75" s="47"/>
      <c r="AY75" s="47">
        <v>0</v>
      </c>
      <c r="AZ75" s="47"/>
      <c r="BA75" s="47">
        <v>0</v>
      </c>
      <c r="BB75" s="47"/>
      <c r="BC75" s="47">
        <v>0</v>
      </c>
      <c r="BD75" s="47"/>
      <c r="BE75" s="47"/>
      <c r="BF75" s="47"/>
      <c r="BG75" s="47">
        <f t="shared" si="9"/>
        <v>0</v>
      </c>
    </row>
    <row r="76" spans="1:59" s="22" customFormat="1" ht="12">
      <c r="A76" s="26" t="s">
        <v>68</v>
      </c>
      <c r="B76" s="26"/>
      <c r="C76" s="51">
        <f t="shared" si="1"/>
        <v>2431356</v>
      </c>
      <c r="D76" s="51"/>
      <c r="E76" s="51">
        <v>14301336</v>
      </c>
      <c r="F76" s="51"/>
      <c r="G76" s="51">
        <v>16732692</v>
      </c>
      <c r="H76" s="51"/>
      <c r="I76" s="51">
        <f t="shared" si="2"/>
        <v>3008775</v>
      </c>
      <c r="J76" s="51"/>
      <c r="K76" s="51">
        <f t="shared" si="3"/>
        <v>6566401</v>
      </c>
      <c r="L76" s="51"/>
      <c r="M76" s="51">
        <v>9575176</v>
      </c>
      <c r="N76" s="51"/>
      <c r="O76" s="51">
        <v>5237605</v>
      </c>
      <c r="P76" s="51"/>
      <c r="Q76" s="51">
        <v>0</v>
      </c>
      <c r="R76" s="51"/>
      <c r="S76" s="51">
        <v>1919911</v>
      </c>
      <c r="T76" s="51"/>
      <c r="U76" s="51">
        <f t="shared" si="4"/>
        <v>7157516</v>
      </c>
      <c r="V76" s="51"/>
      <c r="W76" s="51">
        <f t="shared" si="5"/>
        <v>0</v>
      </c>
      <c r="X76" s="51"/>
      <c r="Y76" s="47">
        <v>2762779</v>
      </c>
      <c r="Z76" s="47"/>
      <c r="AA76" s="47">
        <f>1646364-373868</f>
        <v>1272496</v>
      </c>
      <c r="AB76" s="47"/>
      <c r="AC76" s="47">
        <v>373868</v>
      </c>
      <c r="AD76" s="47"/>
      <c r="AE76" s="52">
        <f t="shared" si="6"/>
        <v>1116415</v>
      </c>
      <c r="AF76" s="52"/>
      <c r="AG76" s="52">
        <v>-278153</v>
      </c>
      <c r="AH76" s="52"/>
      <c r="AI76" s="47">
        <v>0</v>
      </c>
      <c r="AJ76" s="47"/>
      <c r="AK76" s="47">
        <v>0</v>
      </c>
      <c r="AL76" s="47"/>
      <c r="AM76" s="47">
        <v>0</v>
      </c>
      <c r="AN76" s="47"/>
      <c r="AO76" s="52">
        <f t="shared" si="7"/>
        <v>838262</v>
      </c>
      <c r="AP76" s="52"/>
      <c r="AQ76" s="47">
        <v>0</v>
      </c>
      <c r="AR76" s="47"/>
      <c r="AS76" s="47">
        <v>0</v>
      </c>
      <c r="AT76" s="47"/>
      <c r="AU76" s="47">
        <f t="shared" si="8"/>
        <v>-577419</v>
      </c>
      <c r="AV76" s="47"/>
      <c r="AW76" s="47">
        <v>0</v>
      </c>
      <c r="AX76" s="47"/>
      <c r="AY76" s="47">
        <v>6170204</v>
      </c>
      <c r="AZ76" s="47"/>
      <c r="BA76" s="47">
        <f>196476+36516</f>
        <v>232992</v>
      </c>
      <c r="BB76" s="47"/>
      <c r="BC76" s="47">
        <v>163205</v>
      </c>
      <c r="BD76" s="47"/>
      <c r="BE76" s="47"/>
      <c r="BF76" s="47"/>
      <c r="BG76" s="47">
        <f t="shared" si="9"/>
        <v>6566401</v>
      </c>
    </row>
    <row r="77" spans="1:59" s="22" customFormat="1" ht="12">
      <c r="A77" s="26" t="s">
        <v>69</v>
      </c>
      <c r="B77" s="26"/>
      <c r="C77" s="51">
        <f t="shared" si="1"/>
        <v>0</v>
      </c>
      <c r="D77" s="51"/>
      <c r="E77" s="51">
        <v>0</v>
      </c>
      <c r="F77" s="51"/>
      <c r="G77" s="51">
        <v>0</v>
      </c>
      <c r="H77" s="51"/>
      <c r="I77" s="51">
        <f t="shared" si="2"/>
        <v>0</v>
      </c>
      <c r="J77" s="51"/>
      <c r="K77" s="51">
        <f t="shared" si="3"/>
        <v>0</v>
      </c>
      <c r="L77" s="51"/>
      <c r="M77" s="51">
        <v>0</v>
      </c>
      <c r="N77" s="51"/>
      <c r="O77" s="51">
        <v>0</v>
      </c>
      <c r="P77" s="51"/>
      <c r="Q77" s="51">
        <v>0</v>
      </c>
      <c r="R77" s="51"/>
      <c r="S77" s="51">
        <v>0</v>
      </c>
      <c r="T77" s="51"/>
      <c r="U77" s="51">
        <f t="shared" si="4"/>
        <v>0</v>
      </c>
      <c r="V77" s="51"/>
      <c r="W77" s="51">
        <f t="shared" si="5"/>
        <v>0</v>
      </c>
      <c r="X77" s="51"/>
      <c r="Y77" s="47">
        <v>0</v>
      </c>
      <c r="Z77" s="47"/>
      <c r="AA77" s="47">
        <v>0</v>
      </c>
      <c r="AB77" s="47"/>
      <c r="AC77" s="47">
        <v>0</v>
      </c>
      <c r="AD77" s="47"/>
      <c r="AE77" s="52">
        <f t="shared" si="6"/>
        <v>0</v>
      </c>
      <c r="AF77" s="52"/>
      <c r="AG77" s="52">
        <v>0</v>
      </c>
      <c r="AH77" s="52"/>
      <c r="AI77" s="47">
        <v>0</v>
      </c>
      <c r="AJ77" s="47"/>
      <c r="AK77" s="47">
        <v>0</v>
      </c>
      <c r="AL77" s="47"/>
      <c r="AM77" s="47">
        <v>0</v>
      </c>
      <c r="AN77" s="47"/>
      <c r="AO77" s="52">
        <f t="shared" si="7"/>
        <v>0</v>
      </c>
      <c r="AP77" s="52"/>
      <c r="AQ77" s="47">
        <v>0</v>
      </c>
      <c r="AR77" s="47"/>
      <c r="AS77" s="47">
        <v>0</v>
      </c>
      <c r="AT77" s="47"/>
      <c r="AU77" s="47">
        <f t="shared" si="8"/>
        <v>0</v>
      </c>
      <c r="AV77" s="47"/>
      <c r="AW77" s="47">
        <v>0</v>
      </c>
      <c r="AX77" s="47"/>
      <c r="AY77" s="47">
        <v>0</v>
      </c>
      <c r="AZ77" s="47"/>
      <c r="BA77" s="47">
        <v>0</v>
      </c>
      <c r="BB77" s="47"/>
      <c r="BC77" s="47">
        <v>0</v>
      </c>
      <c r="BD77" s="47"/>
      <c r="BE77" s="47"/>
      <c r="BF77" s="47"/>
      <c r="BG77" s="47">
        <f t="shared" si="9"/>
        <v>0</v>
      </c>
    </row>
    <row r="78" spans="1:59" s="22" customFormat="1" ht="12" hidden="1">
      <c r="A78" s="26" t="s">
        <v>185</v>
      </c>
      <c r="B78" s="26"/>
      <c r="C78" s="51">
        <f t="shared" si="1"/>
        <v>0</v>
      </c>
      <c r="D78" s="51"/>
      <c r="E78" s="51">
        <v>0</v>
      </c>
      <c r="F78" s="51"/>
      <c r="G78" s="51">
        <v>0</v>
      </c>
      <c r="H78" s="51"/>
      <c r="I78" s="51">
        <f t="shared" si="2"/>
        <v>0</v>
      </c>
      <c r="J78" s="51"/>
      <c r="K78" s="51">
        <f t="shared" si="3"/>
        <v>0</v>
      </c>
      <c r="L78" s="51"/>
      <c r="M78" s="51">
        <v>0</v>
      </c>
      <c r="N78" s="51"/>
      <c r="O78" s="51">
        <v>0</v>
      </c>
      <c r="P78" s="51"/>
      <c r="Q78" s="51">
        <v>0</v>
      </c>
      <c r="R78" s="51"/>
      <c r="S78" s="51">
        <v>0</v>
      </c>
      <c r="T78" s="51"/>
      <c r="U78" s="51">
        <f t="shared" si="4"/>
        <v>0</v>
      </c>
      <c r="V78" s="51"/>
      <c r="W78" s="51">
        <f t="shared" si="5"/>
        <v>0</v>
      </c>
      <c r="X78" s="51"/>
      <c r="Y78" s="47">
        <v>0</v>
      </c>
      <c r="Z78" s="47"/>
      <c r="AA78" s="47">
        <v>0</v>
      </c>
      <c r="AB78" s="47"/>
      <c r="AC78" s="47">
        <v>0</v>
      </c>
      <c r="AD78" s="47"/>
      <c r="AE78" s="52">
        <f t="shared" si="6"/>
        <v>0</v>
      </c>
      <c r="AF78" s="52"/>
      <c r="AG78" s="52">
        <v>0</v>
      </c>
      <c r="AH78" s="52"/>
      <c r="AI78" s="47">
        <v>0</v>
      </c>
      <c r="AJ78" s="47"/>
      <c r="AK78" s="47">
        <v>0</v>
      </c>
      <c r="AL78" s="47"/>
      <c r="AM78" s="47">
        <v>0</v>
      </c>
      <c r="AN78" s="47"/>
      <c r="AO78" s="52">
        <f t="shared" si="7"/>
        <v>0</v>
      </c>
      <c r="AP78" s="52"/>
      <c r="AQ78" s="47">
        <v>0</v>
      </c>
      <c r="AR78" s="47"/>
      <c r="AS78" s="47">
        <v>0</v>
      </c>
      <c r="AT78" s="47"/>
      <c r="AU78" s="47">
        <f t="shared" si="8"/>
        <v>0</v>
      </c>
      <c r="AV78" s="47"/>
      <c r="AW78" s="47">
        <v>0</v>
      </c>
      <c r="AX78" s="47"/>
      <c r="AY78" s="47">
        <v>0</v>
      </c>
      <c r="AZ78" s="47"/>
      <c r="BA78" s="47">
        <v>0</v>
      </c>
      <c r="BB78" s="47"/>
      <c r="BC78" s="47">
        <v>0</v>
      </c>
      <c r="BD78" s="47"/>
      <c r="BE78" s="47"/>
      <c r="BF78" s="47"/>
      <c r="BG78" s="47">
        <f t="shared" si="9"/>
        <v>0</v>
      </c>
    </row>
    <row r="79" spans="1:59" s="22" customFormat="1" ht="12">
      <c r="A79" s="26" t="s">
        <v>141</v>
      </c>
      <c r="B79" s="26"/>
      <c r="C79" s="51">
        <f t="shared" si="1"/>
        <v>0</v>
      </c>
      <c r="D79" s="51"/>
      <c r="E79" s="51">
        <v>0</v>
      </c>
      <c r="F79" s="51"/>
      <c r="G79" s="51">
        <v>0</v>
      </c>
      <c r="H79" s="51"/>
      <c r="I79" s="51">
        <f t="shared" si="2"/>
        <v>0</v>
      </c>
      <c r="J79" s="51"/>
      <c r="K79" s="51">
        <f t="shared" si="3"/>
        <v>0</v>
      </c>
      <c r="L79" s="51"/>
      <c r="M79" s="51">
        <v>0</v>
      </c>
      <c r="N79" s="51"/>
      <c r="O79" s="51">
        <v>0</v>
      </c>
      <c r="P79" s="51"/>
      <c r="Q79" s="51">
        <v>0</v>
      </c>
      <c r="R79" s="51"/>
      <c r="S79" s="51">
        <v>0</v>
      </c>
      <c r="T79" s="51"/>
      <c r="U79" s="51">
        <f t="shared" si="4"/>
        <v>0</v>
      </c>
      <c r="V79" s="51"/>
      <c r="W79" s="51">
        <f t="shared" si="5"/>
        <v>0</v>
      </c>
      <c r="X79" s="51"/>
      <c r="Y79" s="47">
        <v>0</v>
      </c>
      <c r="Z79" s="47"/>
      <c r="AA79" s="47">
        <v>0</v>
      </c>
      <c r="AB79" s="47"/>
      <c r="AC79" s="47">
        <v>0</v>
      </c>
      <c r="AD79" s="47"/>
      <c r="AE79" s="52">
        <f t="shared" si="6"/>
        <v>0</v>
      </c>
      <c r="AF79" s="52"/>
      <c r="AG79" s="52">
        <v>0</v>
      </c>
      <c r="AH79" s="52"/>
      <c r="AI79" s="47">
        <v>0</v>
      </c>
      <c r="AJ79" s="47"/>
      <c r="AK79" s="47">
        <v>0</v>
      </c>
      <c r="AL79" s="47"/>
      <c r="AM79" s="47">
        <v>0</v>
      </c>
      <c r="AN79" s="47"/>
      <c r="AO79" s="52">
        <f t="shared" si="7"/>
        <v>0</v>
      </c>
      <c r="AP79" s="52"/>
      <c r="AQ79" s="47">
        <v>0</v>
      </c>
      <c r="AR79" s="47"/>
      <c r="AS79" s="47">
        <v>0</v>
      </c>
      <c r="AT79" s="47"/>
      <c r="AU79" s="47">
        <f t="shared" si="8"/>
        <v>0</v>
      </c>
      <c r="AV79" s="47"/>
      <c r="AW79" s="47">
        <v>0</v>
      </c>
      <c r="AX79" s="47"/>
      <c r="AY79" s="47">
        <v>0</v>
      </c>
      <c r="AZ79" s="47"/>
      <c r="BA79" s="47">
        <v>0</v>
      </c>
      <c r="BB79" s="47"/>
      <c r="BC79" s="47">
        <v>0</v>
      </c>
      <c r="BD79" s="47"/>
      <c r="BE79" s="47"/>
      <c r="BF79" s="47"/>
      <c r="BG79" s="47">
        <f t="shared" si="9"/>
        <v>0</v>
      </c>
    </row>
    <row r="80" spans="1:59" s="22" customFormat="1" ht="12">
      <c r="A80" s="26" t="s">
        <v>70</v>
      </c>
      <c r="B80" s="26"/>
      <c r="C80" s="51">
        <f aca="true" t="shared" si="10" ref="C80:C92">G80-E80</f>
        <v>0</v>
      </c>
      <c r="D80" s="51"/>
      <c r="E80" s="51">
        <v>0</v>
      </c>
      <c r="F80" s="51"/>
      <c r="G80" s="51">
        <v>0</v>
      </c>
      <c r="H80" s="51"/>
      <c r="I80" s="51">
        <f aca="true" t="shared" si="11" ref="I80:I92">M80-K80</f>
        <v>0</v>
      </c>
      <c r="J80" s="51"/>
      <c r="K80" s="51">
        <f aca="true" t="shared" si="12" ref="K80:K92">SUM(BG80)</f>
        <v>0</v>
      </c>
      <c r="L80" s="51"/>
      <c r="M80" s="51">
        <v>0</v>
      </c>
      <c r="N80" s="51"/>
      <c r="O80" s="51">
        <v>0</v>
      </c>
      <c r="P80" s="51"/>
      <c r="Q80" s="51">
        <v>0</v>
      </c>
      <c r="R80" s="51"/>
      <c r="S80" s="51">
        <v>0</v>
      </c>
      <c r="T80" s="51"/>
      <c r="U80" s="51">
        <f aca="true" t="shared" si="13" ref="U80:U91">SUM(O80:S80)</f>
        <v>0</v>
      </c>
      <c r="V80" s="51"/>
      <c r="W80" s="51">
        <f aca="true" t="shared" si="14" ref="W80:W92">+G80-M80-U80</f>
        <v>0</v>
      </c>
      <c r="X80" s="51"/>
      <c r="Y80" s="47">
        <v>0</v>
      </c>
      <c r="Z80" s="47"/>
      <c r="AA80" s="47">
        <v>0</v>
      </c>
      <c r="AB80" s="47"/>
      <c r="AC80" s="47">
        <v>0</v>
      </c>
      <c r="AD80" s="47"/>
      <c r="AE80" s="52">
        <f aca="true" t="shared" si="15" ref="AE80:AE92">+Y80-AA80-AC80</f>
        <v>0</v>
      </c>
      <c r="AF80" s="52"/>
      <c r="AG80" s="52">
        <v>0</v>
      </c>
      <c r="AH80" s="52"/>
      <c r="AI80" s="47">
        <v>0</v>
      </c>
      <c r="AJ80" s="47"/>
      <c r="AK80" s="47">
        <v>0</v>
      </c>
      <c r="AL80" s="47"/>
      <c r="AM80" s="47">
        <v>0</v>
      </c>
      <c r="AN80" s="47"/>
      <c r="AO80" s="52">
        <f aca="true" t="shared" si="16" ref="AO80:AO92">+AE80+AG80+AI80-AK80+AM80</f>
        <v>0</v>
      </c>
      <c r="AP80" s="52"/>
      <c r="AQ80" s="47">
        <v>0</v>
      </c>
      <c r="AR80" s="47"/>
      <c r="AS80" s="47">
        <v>0</v>
      </c>
      <c r="AT80" s="47"/>
      <c r="AU80" s="47">
        <f aca="true" t="shared" si="17" ref="AU80:AU92">+C80-I80</f>
        <v>0</v>
      </c>
      <c r="AV80" s="47"/>
      <c r="AW80" s="47">
        <v>0</v>
      </c>
      <c r="AX80" s="47"/>
      <c r="AY80" s="47">
        <v>0</v>
      </c>
      <c r="AZ80" s="47"/>
      <c r="BA80" s="47">
        <v>0</v>
      </c>
      <c r="BB80" s="47"/>
      <c r="BC80" s="47">
        <v>0</v>
      </c>
      <c r="BD80" s="47"/>
      <c r="BE80" s="47"/>
      <c r="BF80" s="47"/>
      <c r="BG80" s="47">
        <f t="shared" si="9"/>
        <v>0</v>
      </c>
    </row>
    <row r="81" spans="1:59" s="22" customFormat="1" ht="12">
      <c r="A81" s="26" t="s">
        <v>99</v>
      </c>
      <c r="B81" s="26"/>
      <c r="C81" s="51">
        <f t="shared" si="10"/>
        <v>0</v>
      </c>
      <c r="D81" s="51"/>
      <c r="E81" s="51">
        <v>0</v>
      </c>
      <c r="F81" s="51"/>
      <c r="G81" s="51">
        <v>0</v>
      </c>
      <c r="H81" s="51"/>
      <c r="I81" s="51">
        <f t="shared" si="11"/>
        <v>0</v>
      </c>
      <c r="J81" s="51"/>
      <c r="K81" s="51">
        <f t="shared" si="12"/>
        <v>0</v>
      </c>
      <c r="L81" s="51"/>
      <c r="M81" s="51">
        <v>0</v>
      </c>
      <c r="N81" s="51"/>
      <c r="O81" s="51">
        <v>0</v>
      </c>
      <c r="P81" s="51"/>
      <c r="Q81" s="51">
        <v>0</v>
      </c>
      <c r="R81" s="51"/>
      <c r="S81" s="51">
        <v>0</v>
      </c>
      <c r="T81" s="51"/>
      <c r="U81" s="51">
        <f t="shared" si="13"/>
        <v>0</v>
      </c>
      <c r="V81" s="51"/>
      <c r="W81" s="51">
        <f t="shared" si="14"/>
        <v>0</v>
      </c>
      <c r="X81" s="51"/>
      <c r="Y81" s="47">
        <v>0</v>
      </c>
      <c r="Z81" s="47"/>
      <c r="AA81" s="47">
        <v>0</v>
      </c>
      <c r="AB81" s="47"/>
      <c r="AC81" s="47">
        <v>0</v>
      </c>
      <c r="AD81" s="47"/>
      <c r="AE81" s="52">
        <f t="shared" si="15"/>
        <v>0</v>
      </c>
      <c r="AF81" s="52"/>
      <c r="AG81" s="52">
        <v>0</v>
      </c>
      <c r="AH81" s="52"/>
      <c r="AI81" s="47">
        <v>0</v>
      </c>
      <c r="AJ81" s="47"/>
      <c r="AK81" s="47">
        <v>0</v>
      </c>
      <c r="AL81" s="47"/>
      <c r="AM81" s="47">
        <v>0</v>
      </c>
      <c r="AN81" s="47"/>
      <c r="AO81" s="52">
        <f t="shared" si="16"/>
        <v>0</v>
      </c>
      <c r="AP81" s="52"/>
      <c r="AQ81" s="47">
        <v>0</v>
      </c>
      <c r="AR81" s="47"/>
      <c r="AS81" s="47">
        <v>0</v>
      </c>
      <c r="AT81" s="47"/>
      <c r="AU81" s="47">
        <f t="shared" si="17"/>
        <v>0</v>
      </c>
      <c r="AV81" s="47"/>
      <c r="AW81" s="47">
        <v>0</v>
      </c>
      <c r="AX81" s="47"/>
      <c r="AY81" s="47">
        <v>0</v>
      </c>
      <c r="AZ81" s="47"/>
      <c r="BA81" s="47">
        <v>0</v>
      </c>
      <c r="BB81" s="47"/>
      <c r="BC81" s="47">
        <v>0</v>
      </c>
      <c r="BD81" s="47"/>
      <c r="BE81" s="47"/>
      <c r="BF81" s="47"/>
      <c r="BG81" s="47">
        <f t="shared" si="9"/>
        <v>0</v>
      </c>
    </row>
    <row r="82" spans="1:59" s="22" customFormat="1" ht="12">
      <c r="A82" s="26" t="s">
        <v>71</v>
      </c>
      <c r="B82" s="26"/>
      <c r="C82" s="51">
        <f t="shared" si="10"/>
        <v>0</v>
      </c>
      <c r="D82" s="51"/>
      <c r="E82" s="51">
        <v>0</v>
      </c>
      <c r="F82" s="51"/>
      <c r="G82" s="51">
        <v>0</v>
      </c>
      <c r="H82" s="51"/>
      <c r="I82" s="51">
        <f t="shared" si="11"/>
        <v>0</v>
      </c>
      <c r="J82" s="51"/>
      <c r="K82" s="51">
        <f t="shared" si="12"/>
        <v>0</v>
      </c>
      <c r="L82" s="51"/>
      <c r="M82" s="51">
        <v>0</v>
      </c>
      <c r="N82" s="51"/>
      <c r="O82" s="51">
        <v>0</v>
      </c>
      <c r="P82" s="51"/>
      <c r="Q82" s="51">
        <v>0</v>
      </c>
      <c r="R82" s="51"/>
      <c r="S82" s="51">
        <v>0</v>
      </c>
      <c r="T82" s="51"/>
      <c r="U82" s="51">
        <f t="shared" si="13"/>
        <v>0</v>
      </c>
      <c r="V82" s="51"/>
      <c r="W82" s="51">
        <f t="shared" si="14"/>
        <v>0</v>
      </c>
      <c r="X82" s="51"/>
      <c r="Y82" s="47">
        <v>0</v>
      </c>
      <c r="Z82" s="47"/>
      <c r="AA82" s="47">
        <v>0</v>
      </c>
      <c r="AB82" s="47"/>
      <c r="AC82" s="47">
        <v>0</v>
      </c>
      <c r="AD82" s="47"/>
      <c r="AE82" s="52">
        <f t="shared" si="15"/>
        <v>0</v>
      </c>
      <c r="AF82" s="52"/>
      <c r="AG82" s="52">
        <v>0</v>
      </c>
      <c r="AH82" s="52"/>
      <c r="AI82" s="47">
        <v>0</v>
      </c>
      <c r="AJ82" s="47"/>
      <c r="AK82" s="47">
        <v>0</v>
      </c>
      <c r="AL82" s="47"/>
      <c r="AM82" s="47">
        <v>0</v>
      </c>
      <c r="AN82" s="47"/>
      <c r="AO82" s="52">
        <f t="shared" si="16"/>
        <v>0</v>
      </c>
      <c r="AP82" s="52"/>
      <c r="AQ82" s="47">
        <v>0</v>
      </c>
      <c r="AR82" s="47"/>
      <c r="AS82" s="47">
        <v>0</v>
      </c>
      <c r="AT82" s="47"/>
      <c r="AU82" s="47">
        <f t="shared" si="17"/>
        <v>0</v>
      </c>
      <c r="AV82" s="47"/>
      <c r="AW82" s="47">
        <v>0</v>
      </c>
      <c r="AX82" s="47"/>
      <c r="AY82" s="47">
        <v>0</v>
      </c>
      <c r="AZ82" s="47"/>
      <c r="BA82" s="47">
        <v>0</v>
      </c>
      <c r="BB82" s="47"/>
      <c r="BC82" s="47">
        <v>0</v>
      </c>
      <c r="BD82" s="47"/>
      <c r="BE82" s="47"/>
      <c r="BF82" s="47"/>
      <c r="BG82" s="47">
        <f t="shared" si="9"/>
        <v>0</v>
      </c>
    </row>
    <row r="83" spans="1:59" s="22" customFormat="1" ht="12">
      <c r="A83" s="26" t="s">
        <v>72</v>
      </c>
      <c r="B83" s="26"/>
      <c r="C83" s="51">
        <f t="shared" si="10"/>
        <v>0</v>
      </c>
      <c r="D83" s="51"/>
      <c r="E83" s="51">
        <v>0</v>
      </c>
      <c r="F83" s="51"/>
      <c r="G83" s="51">
        <v>0</v>
      </c>
      <c r="H83" s="51"/>
      <c r="I83" s="51">
        <f t="shared" si="11"/>
        <v>0</v>
      </c>
      <c r="J83" s="51"/>
      <c r="K83" s="51">
        <f t="shared" si="12"/>
        <v>0</v>
      </c>
      <c r="L83" s="51"/>
      <c r="M83" s="51">
        <v>0</v>
      </c>
      <c r="N83" s="51"/>
      <c r="O83" s="51">
        <v>0</v>
      </c>
      <c r="P83" s="51"/>
      <c r="Q83" s="51">
        <v>0</v>
      </c>
      <c r="R83" s="51"/>
      <c r="S83" s="51">
        <v>0</v>
      </c>
      <c r="T83" s="51"/>
      <c r="U83" s="51">
        <f t="shared" si="13"/>
        <v>0</v>
      </c>
      <c r="V83" s="51"/>
      <c r="W83" s="51">
        <f t="shared" si="14"/>
        <v>0</v>
      </c>
      <c r="X83" s="51"/>
      <c r="Y83" s="47">
        <v>0</v>
      </c>
      <c r="Z83" s="47"/>
      <c r="AA83" s="47">
        <v>0</v>
      </c>
      <c r="AB83" s="47"/>
      <c r="AC83" s="47">
        <v>0</v>
      </c>
      <c r="AD83" s="47"/>
      <c r="AE83" s="52">
        <f t="shared" si="15"/>
        <v>0</v>
      </c>
      <c r="AF83" s="52"/>
      <c r="AG83" s="52">
        <v>0</v>
      </c>
      <c r="AH83" s="52"/>
      <c r="AI83" s="47">
        <v>0</v>
      </c>
      <c r="AJ83" s="47"/>
      <c r="AK83" s="47">
        <v>0</v>
      </c>
      <c r="AL83" s="47"/>
      <c r="AM83" s="47">
        <v>0</v>
      </c>
      <c r="AN83" s="47"/>
      <c r="AO83" s="52">
        <f t="shared" si="16"/>
        <v>0</v>
      </c>
      <c r="AP83" s="52"/>
      <c r="AQ83" s="47">
        <v>0</v>
      </c>
      <c r="AR83" s="47"/>
      <c r="AS83" s="47">
        <v>0</v>
      </c>
      <c r="AT83" s="47"/>
      <c r="AU83" s="47">
        <f t="shared" si="17"/>
        <v>0</v>
      </c>
      <c r="AV83" s="47"/>
      <c r="AW83" s="47">
        <v>0</v>
      </c>
      <c r="AX83" s="47"/>
      <c r="AY83" s="47">
        <v>0</v>
      </c>
      <c r="AZ83" s="47"/>
      <c r="BA83" s="47">
        <v>0</v>
      </c>
      <c r="BB83" s="47"/>
      <c r="BC83" s="47">
        <v>0</v>
      </c>
      <c r="BD83" s="47"/>
      <c r="BE83" s="47"/>
      <c r="BF83" s="47"/>
      <c r="BG83" s="47">
        <f t="shared" si="9"/>
        <v>0</v>
      </c>
    </row>
    <row r="84" spans="1:59" s="22" customFormat="1" ht="12">
      <c r="A84" s="26" t="s">
        <v>73</v>
      </c>
      <c r="B84" s="26"/>
      <c r="C84" s="51">
        <f t="shared" si="10"/>
        <v>0</v>
      </c>
      <c r="D84" s="51"/>
      <c r="E84" s="51">
        <v>0</v>
      </c>
      <c r="F84" s="51"/>
      <c r="G84" s="51">
        <v>0</v>
      </c>
      <c r="H84" s="51"/>
      <c r="I84" s="51">
        <f t="shared" si="11"/>
        <v>0</v>
      </c>
      <c r="J84" s="51"/>
      <c r="K84" s="51">
        <f t="shared" si="12"/>
        <v>0</v>
      </c>
      <c r="L84" s="51"/>
      <c r="M84" s="51">
        <v>0</v>
      </c>
      <c r="N84" s="51"/>
      <c r="O84" s="51">
        <v>0</v>
      </c>
      <c r="P84" s="51"/>
      <c r="Q84" s="51">
        <v>0</v>
      </c>
      <c r="R84" s="51"/>
      <c r="S84" s="51">
        <v>0</v>
      </c>
      <c r="T84" s="51"/>
      <c r="U84" s="51">
        <f t="shared" si="13"/>
        <v>0</v>
      </c>
      <c r="V84" s="51"/>
      <c r="W84" s="51">
        <f t="shared" si="14"/>
        <v>0</v>
      </c>
      <c r="X84" s="51"/>
      <c r="Y84" s="47">
        <v>0</v>
      </c>
      <c r="Z84" s="47"/>
      <c r="AA84" s="47">
        <v>0</v>
      </c>
      <c r="AB84" s="47"/>
      <c r="AC84" s="47">
        <v>0</v>
      </c>
      <c r="AD84" s="47"/>
      <c r="AE84" s="52">
        <f t="shared" si="15"/>
        <v>0</v>
      </c>
      <c r="AF84" s="52"/>
      <c r="AG84" s="52">
        <v>0</v>
      </c>
      <c r="AH84" s="52"/>
      <c r="AI84" s="47">
        <v>0</v>
      </c>
      <c r="AJ84" s="47"/>
      <c r="AK84" s="47">
        <v>0</v>
      </c>
      <c r="AL84" s="47"/>
      <c r="AM84" s="47">
        <v>0</v>
      </c>
      <c r="AN84" s="47"/>
      <c r="AO84" s="52">
        <f t="shared" si="16"/>
        <v>0</v>
      </c>
      <c r="AP84" s="52"/>
      <c r="AQ84" s="47">
        <v>0</v>
      </c>
      <c r="AR84" s="47"/>
      <c r="AS84" s="47">
        <v>0</v>
      </c>
      <c r="AT84" s="47"/>
      <c r="AU84" s="47">
        <f t="shared" si="17"/>
        <v>0</v>
      </c>
      <c r="AV84" s="47"/>
      <c r="AW84" s="47">
        <v>0</v>
      </c>
      <c r="AX84" s="47"/>
      <c r="AY84" s="47">
        <v>0</v>
      </c>
      <c r="AZ84" s="47"/>
      <c r="BA84" s="47">
        <v>0</v>
      </c>
      <c r="BB84" s="47"/>
      <c r="BC84" s="47">
        <v>0</v>
      </c>
      <c r="BD84" s="47"/>
      <c r="BE84" s="47"/>
      <c r="BF84" s="47"/>
      <c r="BG84" s="47">
        <f t="shared" si="9"/>
        <v>0</v>
      </c>
    </row>
    <row r="85" spans="1:59" s="22" customFormat="1" ht="12">
      <c r="A85" s="26" t="s">
        <v>74</v>
      </c>
      <c r="B85" s="26"/>
      <c r="C85" s="51">
        <f t="shared" si="10"/>
        <v>0</v>
      </c>
      <c r="D85" s="51"/>
      <c r="E85" s="51">
        <v>0</v>
      </c>
      <c r="F85" s="51"/>
      <c r="G85" s="51">
        <v>0</v>
      </c>
      <c r="H85" s="51"/>
      <c r="I85" s="51">
        <f t="shared" si="11"/>
        <v>0</v>
      </c>
      <c r="J85" s="51"/>
      <c r="K85" s="51">
        <f t="shared" si="12"/>
        <v>0</v>
      </c>
      <c r="L85" s="51"/>
      <c r="M85" s="51">
        <v>0</v>
      </c>
      <c r="N85" s="51"/>
      <c r="O85" s="51">
        <v>0</v>
      </c>
      <c r="P85" s="51"/>
      <c r="Q85" s="51">
        <v>0</v>
      </c>
      <c r="R85" s="51"/>
      <c r="S85" s="51">
        <v>0</v>
      </c>
      <c r="T85" s="51"/>
      <c r="U85" s="51">
        <f t="shared" si="13"/>
        <v>0</v>
      </c>
      <c r="V85" s="51"/>
      <c r="W85" s="51">
        <f t="shared" si="14"/>
        <v>0</v>
      </c>
      <c r="X85" s="51"/>
      <c r="Y85" s="47">
        <v>0</v>
      </c>
      <c r="Z85" s="47"/>
      <c r="AA85" s="47">
        <v>0</v>
      </c>
      <c r="AB85" s="47"/>
      <c r="AC85" s="47">
        <v>0</v>
      </c>
      <c r="AD85" s="47"/>
      <c r="AE85" s="52">
        <f t="shared" si="15"/>
        <v>0</v>
      </c>
      <c r="AF85" s="52"/>
      <c r="AG85" s="52">
        <v>0</v>
      </c>
      <c r="AH85" s="52"/>
      <c r="AI85" s="47">
        <v>0</v>
      </c>
      <c r="AJ85" s="47"/>
      <c r="AK85" s="47">
        <v>0</v>
      </c>
      <c r="AL85" s="47"/>
      <c r="AM85" s="47">
        <v>0</v>
      </c>
      <c r="AN85" s="47"/>
      <c r="AO85" s="52">
        <f t="shared" si="16"/>
        <v>0</v>
      </c>
      <c r="AP85" s="52"/>
      <c r="AQ85" s="47">
        <v>0</v>
      </c>
      <c r="AR85" s="47"/>
      <c r="AS85" s="47">
        <v>0</v>
      </c>
      <c r="AT85" s="47"/>
      <c r="AU85" s="47">
        <f t="shared" si="17"/>
        <v>0</v>
      </c>
      <c r="AV85" s="47"/>
      <c r="AW85" s="47">
        <v>0</v>
      </c>
      <c r="AX85" s="47"/>
      <c r="AY85" s="47">
        <v>0</v>
      </c>
      <c r="AZ85" s="47"/>
      <c r="BA85" s="47">
        <v>0</v>
      </c>
      <c r="BB85" s="47"/>
      <c r="BC85" s="47">
        <v>0</v>
      </c>
      <c r="BD85" s="47"/>
      <c r="BE85" s="47"/>
      <c r="BF85" s="47"/>
      <c r="BG85" s="47">
        <f t="shared" si="9"/>
        <v>0</v>
      </c>
    </row>
    <row r="86" spans="1:59" s="22" customFormat="1" ht="12">
      <c r="A86" s="26" t="s">
        <v>75</v>
      </c>
      <c r="B86" s="26"/>
      <c r="C86" s="51">
        <f t="shared" si="10"/>
        <v>5301838</v>
      </c>
      <c r="D86" s="51"/>
      <c r="E86" s="51">
        <v>6528886</v>
      </c>
      <c r="F86" s="51"/>
      <c r="G86" s="51">
        <v>11830724</v>
      </c>
      <c r="H86" s="51"/>
      <c r="I86" s="51">
        <f t="shared" si="11"/>
        <v>281869</v>
      </c>
      <c r="J86" s="51"/>
      <c r="K86" s="51">
        <f t="shared" si="12"/>
        <v>669720</v>
      </c>
      <c r="L86" s="51"/>
      <c r="M86" s="51">
        <v>951589</v>
      </c>
      <c r="N86" s="51"/>
      <c r="O86" s="51">
        <v>4594962</v>
      </c>
      <c r="P86" s="51"/>
      <c r="Q86" s="51">
        <v>0</v>
      </c>
      <c r="R86" s="51"/>
      <c r="S86" s="51">
        <v>6284173</v>
      </c>
      <c r="T86" s="51"/>
      <c r="U86" s="51">
        <f t="shared" si="13"/>
        <v>10879135</v>
      </c>
      <c r="V86" s="51"/>
      <c r="W86" s="51">
        <f t="shared" si="14"/>
        <v>0</v>
      </c>
      <c r="X86" s="51"/>
      <c r="Y86" s="47">
        <v>648536</v>
      </c>
      <c r="Z86" s="47"/>
      <c r="AA86" s="47">
        <f>1653638-206087</f>
        <v>1447551</v>
      </c>
      <c r="AB86" s="47"/>
      <c r="AC86" s="47">
        <v>206087</v>
      </c>
      <c r="AD86" s="47"/>
      <c r="AE86" s="52">
        <f t="shared" si="15"/>
        <v>-1005102</v>
      </c>
      <c r="AF86" s="52"/>
      <c r="AG86" s="52">
        <v>-66184</v>
      </c>
      <c r="AH86" s="52"/>
      <c r="AI86" s="47">
        <v>0</v>
      </c>
      <c r="AJ86" s="47"/>
      <c r="AK86" s="47">
        <v>-21852</v>
      </c>
      <c r="AL86" s="47"/>
      <c r="AM86" s="47">
        <v>44856</v>
      </c>
      <c r="AN86" s="47"/>
      <c r="AO86" s="52">
        <f t="shared" si="16"/>
        <v>-1004578</v>
      </c>
      <c r="AP86" s="52"/>
      <c r="AQ86" s="47">
        <v>0</v>
      </c>
      <c r="AR86" s="47"/>
      <c r="AS86" s="47">
        <v>0</v>
      </c>
      <c r="AT86" s="47"/>
      <c r="AU86" s="47">
        <f t="shared" si="17"/>
        <v>5019969</v>
      </c>
      <c r="AV86" s="47"/>
      <c r="AW86" s="47">
        <v>163768</v>
      </c>
      <c r="AX86" s="47"/>
      <c r="AY86" s="47">
        <v>0</v>
      </c>
      <c r="AZ86" s="47"/>
      <c r="BA86" s="47">
        <f>502127</f>
        <v>502127</v>
      </c>
      <c r="BB86" s="47"/>
      <c r="BC86" s="47">
        <v>3825</v>
      </c>
      <c r="BD86" s="47"/>
      <c r="BE86" s="47"/>
      <c r="BF86" s="47"/>
      <c r="BG86" s="47">
        <f t="shared" si="9"/>
        <v>669720</v>
      </c>
    </row>
    <row r="87" spans="1:59" s="22" customFormat="1" ht="12">
      <c r="A87" s="26" t="s">
        <v>76</v>
      </c>
      <c r="B87" s="26"/>
      <c r="C87" s="51">
        <v>4195654</v>
      </c>
      <c r="D87" s="51"/>
      <c r="E87" s="51">
        <v>15169620</v>
      </c>
      <c r="F87" s="51"/>
      <c r="G87" s="51">
        <v>19365274</v>
      </c>
      <c r="H87" s="51"/>
      <c r="I87" s="51">
        <f t="shared" si="11"/>
        <v>227173</v>
      </c>
      <c r="J87" s="51"/>
      <c r="K87" s="51">
        <f t="shared" si="12"/>
        <v>633291</v>
      </c>
      <c r="L87" s="51"/>
      <c r="M87" s="51">
        <v>860464</v>
      </c>
      <c r="N87" s="51"/>
      <c r="O87" s="51">
        <v>14532176</v>
      </c>
      <c r="P87" s="51"/>
      <c r="Q87" s="51">
        <v>0</v>
      </c>
      <c r="R87" s="51"/>
      <c r="S87" s="51">
        <v>3972634</v>
      </c>
      <c r="T87" s="51"/>
      <c r="U87" s="51">
        <f t="shared" si="13"/>
        <v>18504810</v>
      </c>
      <c r="V87" s="51"/>
      <c r="W87" s="51">
        <f t="shared" si="14"/>
        <v>0</v>
      </c>
      <c r="X87" s="51"/>
      <c r="Y87" s="47">
        <v>3941346</v>
      </c>
      <c r="Z87" s="47"/>
      <c r="AA87" s="47">
        <f>4545679-985055</f>
        <v>3560624</v>
      </c>
      <c r="AB87" s="47"/>
      <c r="AC87" s="47">
        <v>985055</v>
      </c>
      <c r="AD87" s="47"/>
      <c r="AE87" s="52">
        <f t="shared" si="15"/>
        <v>-604333</v>
      </c>
      <c r="AF87" s="52"/>
      <c r="AG87" s="52">
        <v>4886</v>
      </c>
      <c r="AH87" s="52"/>
      <c r="AI87" s="47">
        <v>566200</v>
      </c>
      <c r="AJ87" s="47"/>
      <c r="AK87" s="47">
        <v>882550</v>
      </c>
      <c r="AL87" s="47"/>
      <c r="AM87" s="47">
        <v>297656</v>
      </c>
      <c r="AN87" s="47"/>
      <c r="AO87" s="52">
        <f t="shared" si="16"/>
        <v>-618141</v>
      </c>
      <c r="AP87" s="52"/>
      <c r="AQ87" s="47">
        <v>0</v>
      </c>
      <c r="AR87" s="47"/>
      <c r="AS87" s="47">
        <v>0</v>
      </c>
      <c r="AT87" s="47"/>
      <c r="AU87" s="47">
        <f t="shared" si="17"/>
        <v>3968481</v>
      </c>
      <c r="AV87" s="47"/>
      <c r="AW87" s="47">
        <v>183960</v>
      </c>
      <c r="AX87" s="47"/>
      <c r="AY87" s="47">
        <v>0</v>
      </c>
      <c r="AZ87" s="47"/>
      <c r="BA87" s="47">
        <v>411214</v>
      </c>
      <c r="BB87" s="47"/>
      <c r="BC87" s="47">
        <v>38117</v>
      </c>
      <c r="BD87" s="47"/>
      <c r="BE87" s="47"/>
      <c r="BF87" s="47"/>
      <c r="BG87" s="47">
        <f aca="true" t="shared" si="18" ref="BG87:BG97">SUM(AW87:BC87)+BE87</f>
        <v>633291</v>
      </c>
    </row>
    <row r="88" spans="1:59" s="22" customFormat="1" ht="12">
      <c r="A88" s="26" t="s">
        <v>77</v>
      </c>
      <c r="B88" s="26"/>
      <c r="C88" s="51">
        <f t="shared" si="10"/>
        <v>1757149</v>
      </c>
      <c r="D88" s="51"/>
      <c r="E88" s="51">
        <v>4628576</v>
      </c>
      <c r="F88" s="51"/>
      <c r="G88" s="51">
        <v>6385725</v>
      </c>
      <c r="H88" s="51"/>
      <c r="I88" s="51">
        <f t="shared" si="11"/>
        <v>165371</v>
      </c>
      <c r="J88" s="51"/>
      <c r="K88" s="51">
        <f t="shared" si="12"/>
        <v>1168047</v>
      </c>
      <c r="L88" s="51"/>
      <c r="M88" s="51">
        <v>1333418</v>
      </c>
      <c r="N88" s="51"/>
      <c r="O88" s="51">
        <v>3396447</v>
      </c>
      <c r="P88" s="51"/>
      <c r="Q88" s="51">
        <v>0</v>
      </c>
      <c r="R88" s="51"/>
      <c r="S88" s="51">
        <v>1655860</v>
      </c>
      <c r="T88" s="51"/>
      <c r="U88" s="51">
        <f t="shared" si="13"/>
        <v>5052307</v>
      </c>
      <c r="V88" s="51"/>
      <c r="W88" s="51">
        <f t="shared" si="14"/>
        <v>0</v>
      </c>
      <c r="X88" s="51"/>
      <c r="Y88" s="47">
        <v>658717</v>
      </c>
      <c r="Z88" s="47"/>
      <c r="AA88" s="47">
        <f>742042-156763</f>
        <v>585279</v>
      </c>
      <c r="AB88" s="47"/>
      <c r="AC88" s="47">
        <v>156763</v>
      </c>
      <c r="AD88" s="47"/>
      <c r="AE88" s="52">
        <f t="shared" si="15"/>
        <v>-83325</v>
      </c>
      <c r="AF88" s="52"/>
      <c r="AG88" s="52">
        <v>-27976</v>
      </c>
      <c r="AH88" s="52"/>
      <c r="AI88" s="47">
        <v>0</v>
      </c>
      <c r="AJ88" s="47"/>
      <c r="AK88" s="47">
        <v>538</v>
      </c>
      <c r="AL88" s="47"/>
      <c r="AM88" s="47">
        <v>0</v>
      </c>
      <c r="AN88" s="47"/>
      <c r="AO88" s="52">
        <f t="shared" si="16"/>
        <v>-111839</v>
      </c>
      <c r="AP88" s="52"/>
      <c r="AQ88" s="47">
        <v>0</v>
      </c>
      <c r="AR88" s="47"/>
      <c r="AS88" s="47">
        <v>0</v>
      </c>
      <c r="AT88" s="47"/>
      <c r="AU88" s="47">
        <f t="shared" si="17"/>
        <v>1591778</v>
      </c>
      <c r="AV88" s="47"/>
      <c r="AW88" s="47">
        <v>0</v>
      </c>
      <c r="AX88" s="47"/>
      <c r="AY88" s="47">
        <v>0</v>
      </c>
      <c r="AZ88" s="47"/>
      <c r="BA88" s="47">
        <f>349456+815049</f>
        <v>1164505</v>
      </c>
      <c r="BB88" s="47"/>
      <c r="BC88" s="47">
        <v>3542</v>
      </c>
      <c r="BD88" s="47"/>
      <c r="BE88" s="47"/>
      <c r="BF88" s="47"/>
      <c r="BG88" s="47">
        <f t="shared" si="18"/>
        <v>1168047</v>
      </c>
    </row>
    <row r="89" spans="1:59" s="22" customFormat="1" ht="12">
      <c r="A89" s="26" t="s">
        <v>78</v>
      </c>
      <c r="B89" s="26"/>
      <c r="C89" s="51">
        <f t="shared" si="10"/>
        <v>0</v>
      </c>
      <c r="D89" s="51"/>
      <c r="E89" s="51">
        <v>0</v>
      </c>
      <c r="F89" s="51"/>
      <c r="G89" s="51">
        <v>0</v>
      </c>
      <c r="H89" s="51"/>
      <c r="I89" s="51">
        <f t="shared" si="11"/>
        <v>0</v>
      </c>
      <c r="J89" s="51"/>
      <c r="K89" s="51">
        <f t="shared" si="12"/>
        <v>0</v>
      </c>
      <c r="L89" s="51"/>
      <c r="M89" s="51">
        <v>0</v>
      </c>
      <c r="N89" s="51"/>
      <c r="O89" s="51">
        <v>0</v>
      </c>
      <c r="P89" s="51"/>
      <c r="Q89" s="51">
        <v>0</v>
      </c>
      <c r="R89" s="51"/>
      <c r="S89" s="51">
        <v>0</v>
      </c>
      <c r="T89" s="51"/>
      <c r="U89" s="51">
        <f t="shared" si="13"/>
        <v>0</v>
      </c>
      <c r="V89" s="51"/>
      <c r="W89" s="51">
        <f t="shared" si="14"/>
        <v>0</v>
      </c>
      <c r="X89" s="51"/>
      <c r="Y89" s="47">
        <v>0</v>
      </c>
      <c r="Z89" s="47"/>
      <c r="AA89" s="47">
        <v>0</v>
      </c>
      <c r="AB89" s="47"/>
      <c r="AC89" s="47">
        <v>0</v>
      </c>
      <c r="AD89" s="47"/>
      <c r="AE89" s="52">
        <f t="shared" si="15"/>
        <v>0</v>
      </c>
      <c r="AF89" s="52"/>
      <c r="AG89" s="52">
        <v>0</v>
      </c>
      <c r="AH89" s="52"/>
      <c r="AI89" s="47">
        <v>0</v>
      </c>
      <c r="AJ89" s="47"/>
      <c r="AK89" s="47">
        <v>0</v>
      </c>
      <c r="AL89" s="47"/>
      <c r="AM89" s="47">
        <v>0</v>
      </c>
      <c r="AN89" s="47"/>
      <c r="AO89" s="52">
        <f t="shared" si="16"/>
        <v>0</v>
      </c>
      <c r="AP89" s="52"/>
      <c r="AQ89" s="47">
        <v>0</v>
      </c>
      <c r="AR89" s="47"/>
      <c r="AS89" s="47">
        <v>0</v>
      </c>
      <c r="AT89" s="47"/>
      <c r="AU89" s="47">
        <f t="shared" si="17"/>
        <v>0</v>
      </c>
      <c r="AV89" s="47"/>
      <c r="AW89" s="47">
        <v>0</v>
      </c>
      <c r="AX89" s="47"/>
      <c r="AY89" s="47">
        <v>0</v>
      </c>
      <c r="AZ89" s="47"/>
      <c r="BA89" s="47">
        <v>0</v>
      </c>
      <c r="BB89" s="47"/>
      <c r="BC89" s="47">
        <v>0</v>
      </c>
      <c r="BD89" s="47"/>
      <c r="BE89" s="47"/>
      <c r="BF89" s="47"/>
      <c r="BG89" s="47">
        <f t="shared" si="18"/>
        <v>0</v>
      </c>
    </row>
    <row r="90" spans="1:59" s="22" customFormat="1" ht="12">
      <c r="A90" s="26" t="s">
        <v>79</v>
      </c>
      <c r="B90" s="26"/>
      <c r="C90" s="51">
        <f t="shared" si="10"/>
        <v>0</v>
      </c>
      <c r="D90" s="51"/>
      <c r="E90" s="51">
        <v>0</v>
      </c>
      <c r="F90" s="51"/>
      <c r="G90" s="51">
        <v>0</v>
      </c>
      <c r="H90" s="51"/>
      <c r="I90" s="51">
        <f t="shared" si="11"/>
        <v>0</v>
      </c>
      <c r="J90" s="51"/>
      <c r="K90" s="51">
        <f t="shared" si="12"/>
        <v>0</v>
      </c>
      <c r="L90" s="51"/>
      <c r="M90" s="51">
        <v>0</v>
      </c>
      <c r="N90" s="51"/>
      <c r="O90" s="51">
        <v>0</v>
      </c>
      <c r="P90" s="51"/>
      <c r="Q90" s="51">
        <v>0</v>
      </c>
      <c r="R90" s="51"/>
      <c r="S90" s="51">
        <v>0</v>
      </c>
      <c r="T90" s="51"/>
      <c r="U90" s="51">
        <f t="shared" si="13"/>
        <v>0</v>
      </c>
      <c r="V90" s="51"/>
      <c r="W90" s="51">
        <f t="shared" si="14"/>
        <v>0</v>
      </c>
      <c r="X90" s="51"/>
      <c r="Y90" s="47">
        <v>0</v>
      </c>
      <c r="Z90" s="47"/>
      <c r="AA90" s="47">
        <v>0</v>
      </c>
      <c r="AB90" s="47"/>
      <c r="AC90" s="47">
        <v>0</v>
      </c>
      <c r="AD90" s="47"/>
      <c r="AE90" s="52">
        <f t="shared" si="15"/>
        <v>0</v>
      </c>
      <c r="AF90" s="52"/>
      <c r="AG90" s="52">
        <v>0</v>
      </c>
      <c r="AH90" s="52"/>
      <c r="AI90" s="47">
        <v>0</v>
      </c>
      <c r="AJ90" s="47"/>
      <c r="AK90" s="47">
        <v>0</v>
      </c>
      <c r="AL90" s="47"/>
      <c r="AM90" s="47">
        <v>0</v>
      </c>
      <c r="AN90" s="47"/>
      <c r="AO90" s="52">
        <f t="shared" si="16"/>
        <v>0</v>
      </c>
      <c r="AP90" s="52"/>
      <c r="AQ90" s="47">
        <v>0</v>
      </c>
      <c r="AR90" s="47"/>
      <c r="AS90" s="47">
        <v>0</v>
      </c>
      <c r="AT90" s="47"/>
      <c r="AU90" s="47">
        <f t="shared" si="17"/>
        <v>0</v>
      </c>
      <c r="AV90" s="47"/>
      <c r="AW90" s="47">
        <v>0</v>
      </c>
      <c r="AX90" s="47"/>
      <c r="AY90" s="47">
        <v>0</v>
      </c>
      <c r="AZ90" s="47"/>
      <c r="BA90" s="47">
        <v>0</v>
      </c>
      <c r="BB90" s="47"/>
      <c r="BC90" s="47">
        <v>0</v>
      </c>
      <c r="BD90" s="47"/>
      <c r="BE90" s="47"/>
      <c r="BF90" s="47"/>
      <c r="BG90" s="47">
        <f t="shared" si="18"/>
        <v>0</v>
      </c>
    </row>
    <row r="91" spans="1:59" s="22" customFormat="1" ht="12">
      <c r="A91" s="26" t="s">
        <v>80</v>
      </c>
      <c r="B91" s="26"/>
      <c r="C91" s="51">
        <f t="shared" si="10"/>
        <v>0</v>
      </c>
      <c r="D91" s="51"/>
      <c r="E91" s="51">
        <v>0</v>
      </c>
      <c r="F91" s="51"/>
      <c r="G91" s="51">
        <v>0</v>
      </c>
      <c r="H91" s="51"/>
      <c r="I91" s="51">
        <f t="shared" si="11"/>
        <v>0</v>
      </c>
      <c r="J91" s="51"/>
      <c r="K91" s="51">
        <f t="shared" si="12"/>
        <v>0</v>
      </c>
      <c r="L91" s="51"/>
      <c r="M91" s="51">
        <v>0</v>
      </c>
      <c r="N91" s="51"/>
      <c r="O91" s="51">
        <v>0</v>
      </c>
      <c r="P91" s="51"/>
      <c r="Q91" s="51">
        <v>0</v>
      </c>
      <c r="R91" s="51"/>
      <c r="S91" s="51">
        <v>0</v>
      </c>
      <c r="T91" s="51"/>
      <c r="U91" s="51">
        <f t="shared" si="13"/>
        <v>0</v>
      </c>
      <c r="V91" s="51"/>
      <c r="W91" s="51">
        <f t="shared" si="14"/>
        <v>0</v>
      </c>
      <c r="X91" s="51"/>
      <c r="Y91" s="47">
        <v>0</v>
      </c>
      <c r="Z91" s="47"/>
      <c r="AA91" s="47">
        <v>0</v>
      </c>
      <c r="AB91" s="47"/>
      <c r="AC91" s="47">
        <v>0</v>
      </c>
      <c r="AD91" s="47"/>
      <c r="AE91" s="52">
        <f t="shared" si="15"/>
        <v>0</v>
      </c>
      <c r="AF91" s="52"/>
      <c r="AG91" s="52">
        <v>0</v>
      </c>
      <c r="AH91" s="52"/>
      <c r="AI91" s="47">
        <v>0</v>
      </c>
      <c r="AJ91" s="47"/>
      <c r="AK91" s="47">
        <v>0</v>
      </c>
      <c r="AL91" s="47"/>
      <c r="AM91" s="47">
        <v>0</v>
      </c>
      <c r="AN91" s="47"/>
      <c r="AO91" s="52">
        <f t="shared" si="16"/>
        <v>0</v>
      </c>
      <c r="AP91" s="52"/>
      <c r="AQ91" s="47">
        <v>0</v>
      </c>
      <c r="AR91" s="47"/>
      <c r="AS91" s="47">
        <v>0</v>
      </c>
      <c r="AT91" s="47"/>
      <c r="AU91" s="47">
        <f t="shared" si="17"/>
        <v>0</v>
      </c>
      <c r="AV91" s="47"/>
      <c r="AW91" s="47">
        <v>0</v>
      </c>
      <c r="AX91" s="47"/>
      <c r="AY91" s="47">
        <v>0</v>
      </c>
      <c r="AZ91" s="47"/>
      <c r="BA91" s="47">
        <v>0</v>
      </c>
      <c r="BB91" s="47"/>
      <c r="BC91" s="47">
        <v>0</v>
      </c>
      <c r="BD91" s="47"/>
      <c r="BE91" s="47"/>
      <c r="BF91" s="47"/>
      <c r="BG91" s="47">
        <f t="shared" si="18"/>
        <v>0</v>
      </c>
    </row>
    <row r="92" spans="1:59" s="22" customFormat="1" ht="12">
      <c r="A92" s="26" t="s">
        <v>81</v>
      </c>
      <c r="B92" s="26"/>
      <c r="C92" s="51">
        <f t="shared" si="10"/>
        <v>22887677</v>
      </c>
      <c r="D92" s="51"/>
      <c r="E92" s="51">
        <v>69825754</v>
      </c>
      <c r="F92" s="51"/>
      <c r="G92" s="51">
        <v>92713431</v>
      </c>
      <c r="H92" s="51"/>
      <c r="I92" s="51">
        <f t="shared" si="11"/>
        <v>2102553</v>
      </c>
      <c r="J92" s="51"/>
      <c r="K92" s="51">
        <f t="shared" si="12"/>
        <v>19467137</v>
      </c>
      <c r="L92" s="51"/>
      <c r="M92" s="51">
        <v>21569690</v>
      </c>
      <c r="N92" s="51"/>
      <c r="O92" s="51">
        <v>45195586</v>
      </c>
      <c r="P92" s="51"/>
      <c r="Q92" s="51">
        <v>159338</v>
      </c>
      <c r="R92" s="51"/>
      <c r="S92" s="51">
        <v>25788817</v>
      </c>
      <c r="T92" s="51"/>
      <c r="U92" s="51">
        <v>71143741</v>
      </c>
      <c r="V92" s="51"/>
      <c r="W92" s="51">
        <f t="shared" si="14"/>
        <v>0</v>
      </c>
      <c r="X92" s="51"/>
      <c r="Y92" s="47">
        <v>7764593</v>
      </c>
      <c r="Z92" s="47"/>
      <c r="AA92" s="47">
        <f>7651293-1944638</f>
        <v>5706655</v>
      </c>
      <c r="AB92" s="47"/>
      <c r="AC92" s="47">
        <v>1944638</v>
      </c>
      <c r="AD92" s="47"/>
      <c r="AE92" s="52">
        <f t="shared" si="15"/>
        <v>113300</v>
      </c>
      <c r="AF92" s="52"/>
      <c r="AG92" s="52">
        <v>-1047669</v>
      </c>
      <c r="AH92" s="52"/>
      <c r="AI92" s="47">
        <v>0</v>
      </c>
      <c r="AJ92" s="47"/>
      <c r="AK92" s="47">
        <v>0</v>
      </c>
      <c r="AL92" s="47"/>
      <c r="AM92" s="47">
        <f>4018524+3746355</f>
        <v>7764879</v>
      </c>
      <c r="AN92" s="47"/>
      <c r="AO92" s="52">
        <f t="shared" si="16"/>
        <v>6830510</v>
      </c>
      <c r="AP92" s="52"/>
      <c r="AQ92" s="47">
        <v>0</v>
      </c>
      <c r="AR92" s="47"/>
      <c r="AS92" s="47">
        <v>0</v>
      </c>
      <c r="AT92" s="47"/>
      <c r="AU92" s="47">
        <f t="shared" si="17"/>
        <v>20785124</v>
      </c>
      <c r="AV92" s="47"/>
      <c r="AW92" s="47">
        <v>0</v>
      </c>
      <c r="AX92" s="47"/>
      <c r="AY92" s="47">
        <v>17987587</v>
      </c>
      <c r="AZ92" s="47"/>
      <c r="BA92" s="47">
        <v>0</v>
      </c>
      <c r="BB92" s="47"/>
      <c r="BC92" s="47">
        <f>254410+1225140</f>
        <v>1479550</v>
      </c>
      <c r="BD92" s="47"/>
      <c r="BE92" s="47"/>
      <c r="BF92" s="47"/>
      <c r="BG92" s="47">
        <f t="shared" si="18"/>
        <v>19467137</v>
      </c>
    </row>
    <row r="93" spans="1:59" s="22" customFormat="1" ht="12">
      <c r="A93" s="26" t="s">
        <v>82</v>
      </c>
      <c r="B93" s="26"/>
      <c r="C93" s="51">
        <v>0</v>
      </c>
      <c r="D93" s="51"/>
      <c r="E93" s="51">
        <v>0</v>
      </c>
      <c r="F93" s="51"/>
      <c r="G93" s="51">
        <v>0</v>
      </c>
      <c r="H93" s="51"/>
      <c r="I93" s="51">
        <v>0</v>
      </c>
      <c r="J93" s="51"/>
      <c r="K93" s="51">
        <v>0</v>
      </c>
      <c r="L93" s="51"/>
      <c r="M93" s="51">
        <v>0</v>
      </c>
      <c r="N93" s="51"/>
      <c r="O93" s="51">
        <v>0</v>
      </c>
      <c r="P93" s="51"/>
      <c r="Q93" s="51">
        <v>0</v>
      </c>
      <c r="R93" s="51"/>
      <c r="S93" s="51">
        <v>0</v>
      </c>
      <c r="T93" s="51"/>
      <c r="U93" s="51">
        <v>0</v>
      </c>
      <c r="V93" s="51"/>
      <c r="W93" s="51"/>
      <c r="X93" s="51"/>
      <c r="Y93" s="51">
        <v>0</v>
      </c>
      <c r="Z93" s="51"/>
      <c r="AA93" s="51">
        <v>0</v>
      </c>
      <c r="AB93" s="51"/>
      <c r="AC93" s="51">
        <v>0</v>
      </c>
      <c r="AD93" s="51"/>
      <c r="AE93" s="51">
        <v>0</v>
      </c>
      <c r="AF93" s="51"/>
      <c r="AG93" s="51">
        <v>0</v>
      </c>
      <c r="AH93" s="51"/>
      <c r="AI93" s="51">
        <v>0</v>
      </c>
      <c r="AJ93" s="51"/>
      <c r="AK93" s="51">
        <v>0</v>
      </c>
      <c r="AL93" s="51"/>
      <c r="AM93" s="51">
        <v>0</v>
      </c>
      <c r="AN93" s="51"/>
      <c r="AO93" s="51">
        <v>0</v>
      </c>
      <c r="AP93" s="51"/>
      <c r="AQ93" s="51">
        <v>0</v>
      </c>
      <c r="AR93" s="51"/>
      <c r="AS93" s="51">
        <v>0</v>
      </c>
      <c r="AT93" s="51"/>
      <c r="AU93" s="51">
        <v>0</v>
      </c>
      <c r="AV93" s="51"/>
      <c r="AW93" s="51">
        <v>0</v>
      </c>
      <c r="AX93" s="51"/>
      <c r="AY93" s="51">
        <v>0</v>
      </c>
      <c r="AZ93" s="51"/>
      <c r="BA93" s="51">
        <v>0</v>
      </c>
      <c r="BB93" s="51"/>
      <c r="BC93" s="51">
        <v>0</v>
      </c>
      <c r="BD93" s="51"/>
      <c r="BE93" s="51"/>
      <c r="BF93" s="51"/>
      <c r="BG93" s="47">
        <f t="shared" si="18"/>
        <v>0</v>
      </c>
    </row>
    <row r="94" spans="1:59" s="22" customFormat="1" ht="12">
      <c r="A94" s="26" t="s">
        <v>144</v>
      </c>
      <c r="B94" s="26"/>
      <c r="C94" s="51">
        <v>0</v>
      </c>
      <c r="D94" s="51"/>
      <c r="E94" s="51">
        <v>0</v>
      </c>
      <c r="F94" s="51"/>
      <c r="G94" s="51">
        <v>0</v>
      </c>
      <c r="H94" s="51"/>
      <c r="I94" s="51">
        <v>0</v>
      </c>
      <c r="J94" s="51"/>
      <c r="K94" s="51">
        <v>0</v>
      </c>
      <c r="L94" s="51"/>
      <c r="M94" s="51">
        <v>0</v>
      </c>
      <c r="N94" s="51"/>
      <c r="O94" s="51">
        <v>0</v>
      </c>
      <c r="P94" s="51"/>
      <c r="Q94" s="51">
        <v>0</v>
      </c>
      <c r="R94" s="51"/>
      <c r="S94" s="51">
        <v>0</v>
      </c>
      <c r="T94" s="51"/>
      <c r="U94" s="51">
        <v>0</v>
      </c>
      <c r="V94" s="51"/>
      <c r="W94" s="51"/>
      <c r="X94" s="51"/>
      <c r="Y94" s="51">
        <v>0</v>
      </c>
      <c r="Z94" s="51"/>
      <c r="AA94" s="51">
        <v>0</v>
      </c>
      <c r="AB94" s="51"/>
      <c r="AC94" s="51">
        <v>0</v>
      </c>
      <c r="AD94" s="51"/>
      <c r="AE94" s="51">
        <v>0</v>
      </c>
      <c r="AF94" s="51"/>
      <c r="AG94" s="51">
        <v>0</v>
      </c>
      <c r="AH94" s="51"/>
      <c r="AI94" s="51">
        <v>0</v>
      </c>
      <c r="AJ94" s="51"/>
      <c r="AK94" s="51">
        <v>0</v>
      </c>
      <c r="AL94" s="51"/>
      <c r="AM94" s="51">
        <v>0</v>
      </c>
      <c r="AN94" s="51"/>
      <c r="AO94" s="51">
        <v>0</v>
      </c>
      <c r="AP94" s="51"/>
      <c r="AQ94" s="51">
        <v>0</v>
      </c>
      <c r="AR94" s="51"/>
      <c r="AS94" s="51">
        <v>0</v>
      </c>
      <c r="AT94" s="51"/>
      <c r="AU94" s="51">
        <v>0</v>
      </c>
      <c r="AV94" s="51"/>
      <c r="AW94" s="51">
        <v>0</v>
      </c>
      <c r="AX94" s="51"/>
      <c r="AY94" s="51">
        <v>0</v>
      </c>
      <c r="AZ94" s="51"/>
      <c r="BA94" s="51">
        <v>0</v>
      </c>
      <c r="BB94" s="51"/>
      <c r="BC94" s="51">
        <v>0</v>
      </c>
      <c r="BD94" s="51"/>
      <c r="BE94" s="51"/>
      <c r="BF94" s="51"/>
      <c r="BG94" s="47">
        <f t="shared" si="18"/>
        <v>0</v>
      </c>
    </row>
    <row r="95" spans="1:59" s="22" customFormat="1" ht="12" hidden="1">
      <c r="A95" s="26" t="s">
        <v>183</v>
      </c>
      <c r="B95" s="26"/>
      <c r="C95" s="51">
        <v>0</v>
      </c>
      <c r="D95" s="51"/>
      <c r="E95" s="51">
        <v>0</v>
      </c>
      <c r="F95" s="51"/>
      <c r="G95" s="51">
        <v>0</v>
      </c>
      <c r="H95" s="51"/>
      <c r="I95" s="51">
        <v>0</v>
      </c>
      <c r="J95" s="51"/>
      <c r="K95" s="51">
        <v>0</v>
      </c>
      <c r="L95" s="51"/>
      <c r="M95" s="51">
        <v>0</v>
      </c>
      <c r="N95" s="51"/>
      <c r="O95" s="51">
        <v>0</v>
      </c>
      <c r="P95" s="51"/>
      <c r="Q95" s="51">
        <v>0</v>
      </c>
      <c r="R95" s="51"/>
      <c r="S95" s="51">
        <v>0</v>
      </c>
      <c r="T95" s="51"/>
      <c r="U95" s="51">
        <v>0</v>
      </c>
      <c r="V95" s="51"/>
      <c r="W95" s="51"/>
      <c r="X95" s="51"/>
      <c r="Y95" s="51">
        <v>0</v>
      </c>
      <c r="Z95" s="51"/>
      <c r="AA95" s="51">
        <v>0</v>
      </c>
      <c r="AB95" s="51"/>
      <c r="AC95" s="51">
        <v>0</v>
      </c>
      <c r="AD95" s="51"/>
      <c r="AE95" s="51">
        <v>0</v>
      </c>
      <c r="AF95" s="51"/>
      <c r="AG95" s="51">
        <v>0</v>
      </c>
      <c r="AH95" s="51"/>
      <c r="AI95" s="51">
        <v>0</v>
      </c>
      <c r="AJ95" s="51"/>
      <c r="AK95" s="51">
        <v>0</v>
      </c>
      <c r="AL95" s="51"/>
      <c r="AM95" s="51">
        <v>0</v>
      </c>
      <c r="AN95" s="51"/>
      <c r="AO95" s="51">
        <v>0</v>
      </c>
      <c r="AP95" s="51"/>
      <c r="AQ95" s="51">
        <v>0</v>
      </c>
      <c r="AR95" s="51"/>
      <c r="AS95" s="51">
        <v>0</v>
      </c>
      <c r="AT95" s="51"/>
      <c r="AU95" s="51">
        <v>0</v>
      </c>
      <c r="AV95" s="51"/>
      <c r="AW95" s="51">
        <v>0</v>
      </c>
      <c r="AX95" s="51"/>
      <c r="AY95" s="51">
        <v>0</v>
      </c>
      <c r="AZ95" s="51"/>
      <c r="BA95" s="51">
        <v>0</v>
      </c>
      <c r="BB95" s="51"/>
      <c r="BC95" s="51">
        <v>0</v>
      </c>
      <c r="BD95" s="51"/>
      <c r="BE95" s="51"/>
      <c r="BF95" s="51"/>
      <c r="BG95" s="47">
        <f t="shared" si="18"/>
        <v>0</v>
      </c>
    </row>
    <row r="96" spans="1:59" s="22" customFormat="1" ht="12">
      <c r="A96" s="26" t="s">
        <v>84</v>
      </c>
      <c r="B96" s="26"/>
      <c r="C96" s="51">
        <v>0</v>
      </c>
      <c r="D96" s="51"/>
      <c r="E96" s="51">
        <v>0</v>
      </c>
      <c r="F96" s="51"/>
      <c r="G96" s="51">
        <v>0</v>
      </c>
      <c r="H96" s="51"/>
      <c r="I96" s="51">
        <v>0</v>
      </c>
      <c r="J96" s="51"/>
      <c r="K96" s="51">
        <v>0</v>
      </c>
      <c r="L96" s="51"/>
      <c r="M96" s="51">
        <v>0</v>
      </c>
      <c r="N96" s="51"/>
      <c r="O96" s="51">
        <v>0</v>
      </c>
      <c r="P96" s="51"/>
      <c r="Q96" s="51">
        <v>0</v>
      </c>
      <c r="R96" s="51"/>
      <c r="S96" s="51">
        <v>0</v>
      </c>
      <c r="T96" s="51"/>
      <c r="U96" s="51">
        <v>0</v>
      </c>
      <c r="V96" s="51"/>
      <c r="W96" s="51"/>
      <c r="X96" s="51"/>
      <c r="Y96" s="51">
        <v>0</v>
      </c>
      <c r="Z96" s="51"/>
      <c r="AA96" s="51">
        <v>0</v>
      </c>
      <c r="AB96" s="51"/>
      <c r="AC96" s="51">
        <v>0</v>
      </c>
      <c r="AD96" s="51"/>
      <c r="AE96" s="51">
        <v>0</v>
      </c>
      <c r="AF96" s="51"/>
      <c r="AG96" s="51">
        <v>0</v>
      </c>
      <c r="AH96" s="51"/>
      <c r="AI96" s="51">
        <v>0</v>
      </c>
      <c r="AJ96" s="51"/>
      <c r="AK96" s="51">
        <v>0</v>
      </c>
      <c r="AL96" s="51"/>
      <c r="AM96" s="51">
        <v>0</v>
      </c>
      <c r="AN96" s="51"/>
      <c r="AO96" s="51">
        <v>0</v>
      </c>
      <c r="AP96" s="51"/>
      <c r="AQ96" s="51">
        <v>0</v>
      </c>
      <c r="AR96" s="51"/>
      <c r="AS96" s="51">
        <v>0</v>
      </c>
      <c r="AT96" s="51"/>
      <c r="AU96" s="51">
        <v>0</v>
      </c>
      <c r="AV96" s="51"/>
      <c r="AW96" s="51">
        <v>0</v>
      </c>
      <c r="AX96" s="51"/>
      <c r="AY96" s="51">
        <v>0</v>
      </c>
      <c r="AZ96" s="51"/>
      <c r="BA96" s="51">
        <v>0</v>
      </c>
      <c r="BB96" s="51"/>
      <c r="BC96" s="51">
        <v>0</v>
      </c>
      <c r="BD96" s="51"/>
      <c r="BE96" s="51"/>
      <c r="BF96" s="51"/>
      <c r="BG96" s="47">
        <f t="shared" si="18"/>
        <v>0</v>
      </c>
    </row>
    <row r="97" spans="1:59" s="22" customFormat="1" ht="12" hidden="1">
      <c r="A97" s="26" t="s">
        <v>184</v>
      </c>
      <c r="B97" s="26"/>
      <c r="C97" s="51">
        <v>0</v>
      </c>
      <c r="D97" s="51"/>
      <c r="E97" s="51">
        <v>0</v>
      </c>
      <c r="F97" s="51"/>
      <c r="G97" s="51">
        <v>0</v>
      </c>
      <c r="H97" s="51"/>
      <c r="I97" s="51">
        <v>0</v>
      </c>
      <c r="J97" s="51"/>
      <c r="K97" s="51">
        <v>0</v>
      </c>
      <c r="L97" s="51"/>
      <c r="M97" s="51">
        <v>0</v>
      </c>
      <c r="N97" s="51"/>
      <c r="O97" s="51">
        <v>0</v>
      </c>
      <c r="P97" s="51"/>
      <c r="Q97" s="51">
        <v>0</v>
      </c>
      <c r="R97" s="51"/>
      <c r="S97" s="51">
        <v>0</v>
      </c>
      <c r="T97" s="51"/>
      <c r="U97" s="51">
        <v>0</v>
      </c>
      <c r="V97" s="51"/>
      <c r="W97" s="51"/>
      <c r="X97" s="51"/>
      <c r="Y97" s="51">
        <v>0</v>
      </c>
      <c r="Z97" s="51"/>
      <c r="AA97" s="51">
        <v>0</v>
      </c>
      <c r="AB97" s="51"/>
      <c r="AC97" s="51">
        <v>0</v>
      </c>
      <c r="AD97" s="51"/>
      <c r="AE97" s="51">
        <v>0</v>
      </c>
      <c r="AF97" s="51"/>
      <c r="AG97" s="51">
        <v>0</v>
      </c>
      <c r="AH97" s="51"/>
      <c r="AI97" s="51">
        <v>0</v>
      </c>
      <c r="AJ97" s="51"/>
      <c r="AK97" s="51">
        <v>0</v>
      </c>
      <c r="AL97" s="51"/>
      <c r="AM97" s="51">
        <v>0</v>
      </c>
      <c r="AN97" s="51"/>
      <c r="AO97" s="51">
        <v>0</v>
      </c>
      <c r="AP97" s="51"/>
      <c r="AQ97" s="51">
        <v>0</v>
      </c>
      <c r="AR97" s="51"/>
      <c r="AS97" s="51">
        <v>0</v>
      </c>
      <c r="AT97" s="51"/>
      <c r="AU97" s="51">
        <v>0</v>
      </c>
      <c r="AV97" s="51"/>
      <c r="AW97" s="51">
        <v>0</v>
      </c>
      <c r="AX97" s="51"/>
      <c r="AY97" s="51">
        <v>0</v>
      </c>
      <c r="AZ97" s="51"/>
      <c r="BA97" s="51">
        <v>0</v>
      </c>
      <c r="BB97" s="51"/>
      <c r="BC97" s="51">
        <v>0</v>
      </c>
      <c r="BD97" s="51"/>
      <c r="BE97" s="51"/>
      <c r="BF97" s="51"/>
      <c r="BG97" s="47">
        <f t="shared" si="18"/>
        <v>0</v>
      </c>
    </row>
    <row r="98" spans="1:38" s="22" customFormat="1" ht="12">
      <c r="A98" s="26"/>
      <c r="B98" s="26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23"/>
      <c r="AB98" s="23"/>
      <c r="AC98" s="23"/>
      <c r="AD98" s="23"/>
      <c r="AE98" s="27"/>
      <c r="AF98" s="27"/>
      <c r="AG98" s="27"/>
      <c r="AH98" s="27"/>
      <c r="AI98" s="27"/>
      <c r="AJ98" s="27"/>
      <c r="AK98" s="27"/>
      <c r="AL98" s="27"/>
    </row>
    <row r="99" spans="1:38" s="22" customFormat="1" ht="12">
      <c r="A99" s="26"/>
      <c r="B99" s="26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23"/>
      <c r="AB99" s="23"/>
      <c r="AC99" s="23"/>
      <c r="AD99" s="23"/>
      <c r="AE99" s="27"/>
      <c r="AF99" s="27"/>
      <c r="AG99" s="27"/>
      <c r="AH99" s="27"/>
      <c r="AI99" s="27"/>
      <c r="AJ99" s="27"/>
      <c r="AK99" s="27"/>
      <c r="AL99" s="27"/>
    </row>
    <row r="100" spans="3:30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9"/>
      <c r="AB100" s="9"/>
      <c r="AC100" s="9"/>
      <c r="AD100" s="9"/>
    </row>
    <row r="101" spans="3:30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9"/>
      <c r="AB101" s="9"/>
      <c r="AC101" s="9"/>
      <c r="AD101" s="9"/>
    </row>
    <row r="102" spans="3:30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9"/>
      <c r="AB102" s="9"/>
      <c r="AC102" s="9"/>
      <c r="AD102" s="9"/>
    </row>
    <row r="103" spans="3:30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9"/>
      <c r="AB103" s="9"/>
      <c r="AC103" s="9"/>
      <c r="AD103" s="9"/>
    </row>
    <row r="104" spans="3:30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9"/>
      <c r="AB104" s="9"/>
      <c r="AC104" s="9"/>
      <c r="AD104" s="9"/>
    </row>
    <row r="105" spans="3:30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9"/>
      <c r="AB105" s="9"/>
      <c r="AC105" s="9"/>
      <c r="AD105" s="9"/>
    </row>
    <row r="106" spans="3:30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9"/>
      <c r="AB106" s="9"/>
      <c r="AC106" s="9"/>
      <c r="AD106" s="9"/>
    </row>
    <row r="107" spans="3:30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9"/>
      <c r="AB107" s="9"/>
      <c r="AC107" s="9"/>
      <c r="AD107" s="9"/>
    </row>
    <row r="108" spans="3:30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9"/>
      <c r="AB108" s="9"/>
      <c r="AC108" s="9"/>
      <c r="AD108" s="9"/>
    </row>
    <row r="109" spans="3:30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9"/>
      <c r="AB109" s="9"/>
      <c r="AC109" s="9"/>
      <c r="AD109" s="9"/>
    </row>
    <row r="110" spans="3:30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9"/>
      <c r="AB110" s="9"/>
      <c r="AC110" s="9"/>
      <c r="AD110" s="9"/>
    </row>
    <row r="111" spans="3:30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9"/>
      <c r="AB111" s="9"/>
      <c r="AC111" s="9"/>
      <c r="AD111" s="9"/>
    </row>
    <row r="112" spans="3:30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9"/>
      <c r="AB112" s="9"/>
      <c r="AC112" s="9"/>
      <c r="AD112" s="9"/>
    </row>
    <row r="113" spans="3:30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9"/>
      <c r="AB113" s="9"/>
      <c r="AC113" s="9"/>
      <c r="AD113" s="9"/>
    </row>
    <row r="114" spans="3:30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9"/>
      <c r="AB114" s="9"/>
      <c r="AC114" s="9"/>
      <c r="AD114" s="9"/>
    </row>
    <row r="115" spans="3:30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9"/>
      <c r="AB115" s="9"/>
      <c r="AC115" s="9"/>
      <c r="AD115" s="9"/>
    </row>
  </sheetData>
  <mergeCells count="2">
    <mergeCell ref="AW6:BC6"/>
    <mergeCell ref="O6:S6"/>
  </mergeCells>
  <printOptions/>
  <pageMargins left="1" right="1" top="0.5" bottom="0.5" header="0" footer="0.25"/>
  <pageSetup firstPageNumber="28" useFirstPageNumber="1" horizontalDpi="600" verticalDpi="600" orientation="portrait" r:id="rId1"/>
  <headerFooter alignWithMargins="0">
    <oddFooter>&amp;C&amp;"Times New Roman,Regular"&amp;11&amp;P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W131"/>
  <sheetViews>
    <sheetView zoomScaleSheetLayoutView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18.00390625" style="3" customWidth="1"/>
    <col min="2" max="2" width="1.7109375" style="3" customWidth="1"/>
    <col min="3" max="3" width="11.7109375" style="3" customWidth="1"/>
    <col min="4" max="4" width="1.7109375" style="3" customWidth="1"/>
    <col min="5" max="5" width="11.7109375" style="3" customWidth="1"/>
    <col min="6" max="6" width="1.7109375" style="3" customWidth="1"/>
    <col min="7" max="7" width="11.7109375" style="3" customWidth="1"/>
    <col min="8" max="8" width="1.7109375" style="3" customWidth="1"/>
    <col min="9" max="9" width="11.7109375" style="3" customWidth="1"/>
    <col min="10" max="10" width="1.7109375" style="3" customWidth="1"/>
    <col min="11" max="11" width="11.7109375" style="3" customWidth="1"/>
    <col min="12" max="12" width="1.7109375" style="3" customWidth="1"/>
    <col min="13" max="13" width="11.7109375" style="3" customWidth="1"/>
    <col min="14" max="14" width="1.7109375" style="3" customWidth="1"/>
    <col min="15" max="15" width="11.7109375" style="3" customWidth="1"/>
    <col min="16" max="16" width="1.7109375" style="3" customWidth="1"/>
    <col min="17" max="17" width="11.7109375" style="3" customWidth="1"/>
    <col min="18" max="18" width="1.7109375" style="3" customWidth="1"/>
    <col min="19" max="19" width="11.7109375" style="3" customWidth="1"/>
    <col min="20" max="20" width="1.7109375" style="3" customWidth="1"/>
    <col min="21" max="21" width="11.7109375" style="3" customWidth="1"/>
    <col min="22" max="22" width="1.7109375" style="3" customWidth="1"/>
    <col min="23" max="23" width="11.7109375" style="3" hidden="1" customWidth="1"/>
    <col min="24" max="24" width="1.7109375" style="3" hidden="1" customWidth="1"/>
    <col min="25" max="25" width="15.7109375" style="3" customWidth="1"/>
    <col min="26" max="26" width="1.7109375" style="3" customWidth="1"/>
    <col min="27" max="27" width="10.7109375" style="3" customWidth="1"/>
    <col min="28" max="28" width="1.7109375" style="3" customWidth="1"/>
    <col min="29" max="29" width="10.7109375" style="3" customWidth="1"/>
    <col min="30" max="30" width="1.7109375" style="3" customWidth="1"/>
    <col min="31" max="31" width="10.7109375" style="3" customWidth="1"/>
    <col min="32" max="32" width="1.7109375" style="3" customWidth="1"/>
    <col min="33" max="33" width="10.7109375" style="8" customWidth="1"/>
    <col min="34" max="34" width="1.7109375" style="8" customWidth="1"/>
    <col min="35" max="35" width="10.7109375" style="8" customWidth="1"/>
    <col min="36" max="36" width="1.7109375" style="8" customWidth="1"/>
    <col min="37" max="37" width="10.7109375" style="8" customWidth="1"/>
    <col min="38" max="38" width="1.7109375" style="8" customWidth="1"/>
    <col min="39" max="39" width="10.7109375" style="8" customWidth="1"/>
    <col min="40" max="40" width="1.7109375" style="8" customWidth="1"/>
    <col min="41" max="41" width="10.7109375" style="2" customWidth="1"/>
    <col min="42" max="42" width="1.7109375" style="2" customWidth="1"/>
    <col min="43" max="43" width="10.7109375" style="2" customWidth="1"/>
    <col min="44" max="44" width="1.7109375" style="2" customWidth="1"/>
    <col min="45" max="45" width="10.7109375" style="2" customWidth="1"/>
    <col min="46" max="46" width="1.7109375" style="2" customWidth="1"/>
    <col min="47" max="47" width="10.7109375" style="2" customWidth="1"/>
    <col min="48" max="48" width="1.7109375" style="2" customWidth="1"/>
    <col min="49" max="49" width="10.7109375" style="2" customWidth="1"/>
    <col min="50" max="50" width="1.7109375" style="2" customWidth="1"/>
    <col min="51" max="51" width="15.7109375" style="3" customWidth="1"/>
    <col min="52" max="52" width="1.7109375" style="2" customWidth="1"/>
    <col min="53" max="53" width="10.7109375" style="2" customWidth="1"/>
    <col min="54" max="54" width="1.7109375" style="2" customWidth="1"/>
    <col min="55" max="55" width="10.7109375" style="2" customWidth="1"/>
    <col min="56" max="56" width="1.7109375" style="2" customWidth="1"/>
    <col min="57" max="57" width="10.7109375" style="2" customWidth="1"/>
    <col min="58" max="58" width="1.7109375" style="2" customWidth="1"/>
    <col min="59" max="59" width="10.7109375" style="2" customWidth="1"/>
    <col min="60" max="60" width="1.7109375" style="2" customWidth="1"/>
    <col min="61" max="61" width="10.7109375" style="2" hidden="1" customWidth="1"/>
    <col min="62" max="62" width="1.7109375" style="2" hidden="1" customWidth="1"/>
    <col min="63" max="63" width="11.7109375" style="2" customWidth="1"/>
    <col min="64" max="16384" width="8.421875" style="2" customWidth="1"/>
  </cols>
  <sheetData>
    <row r="1" spans="1:65" s="14" customFormat="1" ht="12.75">
      <c r="A1" s="37" t="s">
        <v>212</v>
      </c>
      <c r="B1" s="3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92" t="s">
        <v>223</v>
      </c>
      <c r="Z1" s="4"/>
      <c r="AA1" s="4"/>
      <c r="AB1" s="4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37" t="s">
        <v>212</v>
      </c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pans="1:65" s="14" customFormat="1" ht="12.75">
      <c r="A2" s="20" t="s">
        <v>221</v>
      </c>
      <c r="B2" s="20"/>
      <c r="C2" s="20"/>
      <c r="D2" s="20"/>
      <c r="E2" s="2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0" t="s">
        <v>222</v>
      </c>
      <c r="Z2" s="20"/>
      <c r="AA2" s="20"/>
      <c r="AB2" s="20"/>
      <c r="AC2" s="20"/>
      <c r="AD2" s="20"/>
      <c r="AE2" s="20"/>
      <c r="AF2" s="20"/>
      <c r="AG2" s="20"/>
      <c r="AH2" s="10"/>
      <c r="AI2" s="10"/>
      <c r="AJ2" s="10"/>
      <c r="AK2" s="10"/>
      <c r="AL2" s="10"/>
      <c r="AM2" s="10"/>
      <c r="AN2" s="10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37" t="s">
        <v>103</v>
      </c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</row>
    <row r="3" spans="1:64" s="14" customFormat="1" ht="12.75">
      <c r="A3" s="30" t="s">
        <v>225</v>
      </c>
      <c r="B3" s="3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0" t="s">
        <v>227</v>
      </c>
      <c r="Z3" s="20"/>
      <c r="AA3" s="20"/>
      <c r="AB3" s="20"/>
      <c r="AC3" s="2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30" t="s">
        <v>225</v>
      </c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64" ht="12.75">
      <c r="A4" s="39"/>
      <c r="B4" s="39"/>
      <c r="C4" s="7"/>
      <c r="D4" s="7"/>
      <c r="E4" s="7"/>
      <c r="F4" s="7"/>
      <c r="G4" s="7"/>
      <c r="H4" s="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93"/>
      <c r="Z4" s="5"/>
      <c r="AA4" s="5"/>
      <c r="AB4" s="5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"/>
      <c r="AP4" s="1"/>
      <c r="AQ4" s="1"/>
      <c r="AR4" s="1"/>
      <c r="AS4" s="1"/>
      <c r="AT4" s="1"/>
      <c r="AU4" s="1"/>
      <c r="AV4" s="1"/>
      <c r="AW4" s="1"/>
      <c r="AX4" s="1"/>
      <c r="AY4" s="39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20" t="s">
        <v>196</v>
      </c>
      <c r="B5" s="41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20" t="s">
        <v>196</v>
      </c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0" t="s">
        <v>196</v>
      </c>
      <c r="AZ5" s="44"/>
      <c r="BJ5" s="70"/>
      <c r="BK5" s="47"/>
      <c r="BL5" s="1"/>
    </row>
    <row r="6" spans="1:64" ht="12.75">
      <c r="A6" s="20"/>
      <c r="B6" s="41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4" t="s">
        <v>208</v>
      </c>
      <c r="P6" s="124"/>
      <c r="Q6" s="124"/>
      <c r="R6" s="124"/>
      <c r="S6" s="124"/>
      <c r="T6" s="70"/>
      <c r="U6" s="70"/>
      <c r="V6" s="44"/>
      <c r="W6" s="44"/>
      <c r="X6" s="44"/>
      <c r="Y6" s="20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0"/>
      <c r="AZ6" s="44"/>
      <c r="BA6" s="45" t="s">
        <v>103</v>
      </c>
      <c r="BB6" s="45"/>
      <c r="BC6" s="45"/>
      <c r="BD6" s="45"/>
      <c r="BE6" s="45"/>
      <c r="BF6" s="45"/>
      <c r="BG6" s="46"/>
      <c r="BH6" s="70"/>
      <c r="BI6" s="70"/>
      <c r="BJ6" s="70"/>
      <c r="BK6" s="47"/>
      <c r="BL6" s="1"/>
    </row>
    <row r="7" spans="1:64" ht="12.75">
      <c r="A7" s="41"/>
      <c r="B7" s="41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U7" s="44" t="s">
        <v>209</v>
      </c>
      <c r="V7" s="91" t="s">
        <v>206</v>
      </c>
      <c r="W7" s="70"/>
      <c r="X7" s="70"/>
      <c r="Y7" s="41"/>
      <c r="Z7" s="70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 t="s">
        <v>163</v>
      </c>
      <c r="AT7" s="44"/>
      <c r="AU7" s="44" t="s">
        <v>163</v>
      </c>
      <c r="AV7" s="44"/>
      <c r="AW7" s="44"/>
      <c r="AX7" s="44"/>
      <c r="AY7" s="41"/>
      <c r="AZ7" s="44"/>
      <c r="BA7" s="44" t="s">
        <v>104</v>
      </c>
      <c r="BB7" s="44"/>
      <c r="BC7" s="44" t="s">
        <v>105</v>
      </c>
      <c r="BD7" s="44"/>
      <c r="BE7" s="44"/>
      <c r="BF7" s="44"/>
      <c r="BG7" s="44" t="s">
        <v>106</v>
      </c>
      <c r="BH7" s="44"/>
      <c r="BI7" s="44" t="s">
        <v>203</v>
      </c>
      <c r="BJ7" s="44"/>
      <c r="BK7" s="49" t="s">
        <v>4</v>
      </c>
      <c r="BL7" s="1"/>
    </row>
    <row r="8" spans="1:64" ht="12.75">
      <c r="A8" s="41"/>
      <c r="B8" s="41"/>
      <c r="C8" s="44" t="s">
        <v>143</v>
      </c>
      <c r="D8" s="44"/>
      <c r="E8" s="44" t="s">
        <v>164</v>
      </c>
      <c r="F8" s="44"/>
      <c r="G8" s="44" t="s">
        <v>4</v>
      </c>
      <c r="H8" s="44"/>
      <c r="I8" s="44" t="s">
        <v>164</v>
      </c>
      <c r="J8" s="44"/>
      <c r="K8" s="44" t="s">
        <v>164</v>
      </c>
      <c r="L8" s="44"/>
      <c r="M8" s="44" t="s">
        <v>4</v>
      </c>
      <c r="N8" s="44"/>
      <c r="O8" s="44" t="s">
        <v>147</v>
      </c>
      <c r="P8" s="44"/>
      <c r="Q8" s="44"/>
      <c r="R8" s="44"/>
      <c r="S8" s="44"/>
      <c r="T8" s="44"/>
      <c r="U8" s="73" t="s">
        <v>210</v>
      </c>
      <c r="V8" s="44"/>
      <c r="W8" s="44"/>
      <c r="X8" s="44"/>
      <c r="Y8" s="41"/>
      <c r="Z8" s="44"/>
      <c r="AA8" s="44" t="s">
        <v>102</v>
      </c>
      <c r="AB8" s="44"/>
      <c r="AC8" s="44" t="s">
        <v>165</v>
      </c>
      <c r="AD8" s="44"/>
      <c r="AE8" s="44"/>
      <c r="AF8" s="44"/>
      <c r="AG8" s="44" t="s">
        <v>102</v>
      </c>
      <c r="AH8" s="44"/>
      <c r="AI8" s="44" t="s">
        <v>166</v>
      </c>
      <c r="AJ8" s="44"/>
      <c r="AK8" s="44" t="s">
        <v>102</v>
      </c>
      <c r="AL8" s="44"/>
      <c r="AM8" s="44" t="s">
        <v>102</v>
      </c>
      <c r="AN8" s="44"/>
      <c r="AO8" s="44" t="s">
        <v>88</v>
      </c>
      <c r="AP8" s="44"/>
      <c r="AQ8" s="44" t="s">
        <v>167</v>
      </c>
      <c r="AR8" s="44"/>
      <c r="AS8" s="44" t="s">
        <v>168</v>
      </c>
      <c r="AT8" s="44"/>
      <c r="AU8" s="44" t="s">
        <v>168</v>
      </c>
      <c r="AV8" s="44"/>
      <c r="AW8" s="44" t="s">
        <v>107</v>
      </c>
      <c r="AX8" s="44"/>
      <c r="AY8" s="41"/>
      <c r="AZ8" s="44"/>
      <c r="BA8" s="44" t="s">
        <v>108</v>
      </c>
      <c r="BB8" s="44"/>
      <c r="BC8" s="44" t="s">
        <v>12</v>
      </c>
      <c r="BD8" s="44"/>
      <c r="BE8" s="44"/>
      <c r="BF8" s="44"/>
      <c r="BG8" s="44" t="s">
        <v>109</v>
      </c>
      <c r="BH8" s="44"/>
      <c r="BI8" s="44" t="s">
        <v>204</v>
      </c>
      <c r="BJ8" s="44"/>
      <c r="BK8" s="49" t="s">
        <v>109</v>
      </c>
      <c r="BL8" s="1"/>
    </row>
    <row r="9" spans="1:64" ht="12.75">
      <c r="A9" s="42" t="s">
        <v>5</v>
      </c>
      <c r="B9" s="1"/>
      <c r="C9" s="53" t="s">
        <v>117</v>
      </c>
      <c r="D9" s="1"/>
      <c r="E9" s="53" t="s">
        <v>117</v>
      </c>
      <c r="F9" s="1"/>
      <c r="G9" s="53" t="s">
        <v>117</v>
      </c>
      <c r="H9" s="1"/>
      <c r="I9" s="53" t="s">
        <v>126</v>
      </c>
      <c r="J9" s="1"/>
      <c r="K9" s="53" t="s">
        <v>126</v>
      </c>
      <c r="L9" s="1"/>
      <c r="M9" s="53" t="s">
        <v>126</v>
      </c>
      <c r="N9" s="1"/>
      <c r="O9" s="53" t="s">
        <v>149</v>
      </c>
      <c r="P9" s="1"/>
      <c r="Q9" s="53" t="s">
        <v>150</v>
      </c>
      <c r="R9" s="1"/>
      <c r="S9" s="53" t="s">
        <v>151</v>
      </c>
      <c r="T9" s="1"/>
      <c r="U9" s="53" t="s">
        <v>161</v>
      </c>
      <c r="V9" s="1"/>
      <c r="W9" s="53"/>
      <c r="X9" s="53"/>
      <c r="Y9" s="42" t="s">
        <v>5</v>
      </c>
      <c r="Z9" s="1"/>
      <c r="AA9" s="53" t="s">
        <v>12</v>
      </c>
      <c r="AB9" s="1"/>
      <c r="AC9" s="53" t="s">
        <v>110</v>
      </c>
      <c r="AD9" s="1"/>
      <c r="AE9" s="53" t="s">
        <v>110</v>
      </c>
      <c r="AF9" s="1"/>
      <c r="AG9" s="53" t="s">
        <v>111</v>
      </c>
      <c r="AH9" s="1"/>
      <c r="AI9" s="53" t="s">
        <v>169</v>
      </c>
      <c r="AJ9" s="1"/>
      <c r="AK9" s="53" t="s">
        <v>112</v>
      </c>
      <c r="AL9" s="1"/>
      <c r="AM9" s="53" t="s">
        <v>113</v>
      </c>
      <c r="AN9" s="1"/>
      <c r="AO9" s="53" t="s">
        <v>170</v>
      </c>
      <c r="AP9" s="1"/>
      <c r="AQ9" s="53" t="s">
        <v>146</v>
      </c>
      <c r="AR9" s="1"/>
      <c r="AS9" s="54" t="s">
        <v>171</v>
      </c>
      <c r="AT9" s="1"/>
      <c r="AU9" s="54" t="s">
        <v>172</v>
      </c>
      <c r="AV9" s="1"/>
      <c r="AW9" s="53" t="s">
        <v>88</v>
      </c>
      <c r="AX9" s="1"/>
      <c r="AY9" s="42" t="s">
        <v>5</v>
      </c>
      <c r="AZ9" s="1"/>
      <c r="BA9" s="53" t="s">
        <v>114</v>
      </c>
      <c r="BB9" s="1"/>
      <c r="BC9" s="53" t="s">
        <v>114</v>
      </c>
      <c r="BD9" s="1"/>
      <c r="BE9" s="53" t="s">
        <v>115</v>
      </c>
      <c r="BF9" s="1"/>
      <c r="BG9" s="53" t="s">
        <v>116</v>
      </c>
      <c r="BH9" s="1"/>
      <c r="BI9" s="53" t="s">
        <v>205</v>
      </c>
      <c r="BJ9" s="53"/>
      <c r="BK9" s="55" t="s">
        <v>126</v>
      </c>
      <c r="BL9" s="1"/>
    </row>
    <row r="10" spans="1:64" ht="12.75">
      <c r="A10" s="40" t="s">
        <v>13</v>
      </c>
      <c r="B10" s="40"/>
      <c r="C10" s="51">
        <v>3136584</v>
      </c>
      <c r="D10" s="51"/>
      <c r="E10" s="51">
        <v>26773615</v>
      </c>
      <c r="F10" s="51"/>
      <c r="G10" s="51">
        <v>32974411</v>
      </c>
      <c r="H10" s="51"/>
      <c r="I10" s="51">
        <f>M10-K10</f>
        <v>-2096547</v>
      </c>
      <c r="J10" s="51"/>
      <c r="K10" s="51">
        <f>SUM(BK10)</f>
        <v>9359900</v>
      </c>
      <c r="L10" s="51"/>
      <c r="M10" s="51">
        <v>7263353</v>
      </c>
      <c r="N10" s="51"/>
      <c r="O10" s="51">
        <v>19276440</v>
      </c>
      <c r="P10" s="51"/>
      <c r="Q10" s="51">
        <f>660212+2423851</f>
        <v>3084063</v>
      </c>
      <c r="R10" s="51"/>
      <c r="S10" s="51">
        <v>3350555</v>
      </c>
      <c r="T10" s="51"/>
      <c r="U10" s="51">
        <f>SUM(O10:S10)</f>
        <v>25711058</v>
      </c>
      <c r="V10" s="51"/>
      <c r="W10" s="51">
        <f>+G10-M10-U10</f>
        <v>0</v>
      </c>
      <c r="X10" s="51"/>
      <c r="Y10" s="40" t="s">
        <v>13</v>
      </c>
      <c r="Z10" s="51"/>
      <c r="AA10" s="47">
        <v>3926324</v>
      </c>
      <c r="AB10" s="47"/>
      <c r="AC10" s="47">
        <f>4079672-1209809</f>
        <v>2869863</v>
      </c>
      <c r="AD10" s="47"/>
      <c r="AE10" s="47">
        <v>1209809</v>
      </c>
      <c r="AF10" s="47"/>
      <c r="AG10" s="52">
        <f>+AA10-AC10-AE10</f>
        <v>-153348</v>
      </c>
      <c r="AH10" s="52"/>
      <c r="AI10" s="52">
        <v>-305634</v>
      </c>
      <c r="AJ10" s="52"/>
      <c r="AK10" s="47">
        <v>0</v>
      </c>
      <c r="AL10" s="47"/>
      <c r="AM10" s="47">
        <v>106000</v>
      </c>
      <c r="AN10" s="47"/>
      <c r="AO10" s="47">
        <v>2009935</v>
      </c>
      <c r="AP10" s="47"/>
      <c r="AQ10" s="52">
        <v>1444953</v>
      </c>
      <c r="AR10" s="52"/>
      <c r="AS10" s="47">
        <v>0</v>
      </c>
      <c r="AT10" s="47"/>
      <c r="AU10" s="47">
        <v>0</v>
      </c>
      <c r="AV10" s="47"/>
      <c r="AW10" s="47">
        <f>+C10-I10</f>
        <v>5233131</v>
      </c>
      <c r="AX10" s="51"/>
      <c r="AY10" s="40" t="s">
        <v>13</v>
      </c>
      <c r="AZ10" s="51"/>
      <c r="BA10" s="47">
        <v>0</v>
      </c>
      <c r="BB10" s="47"/>
      <c r="BC10" s="47">
        <v>6465234</v>
      </c>
      <c r="BD10" s="47"/>
      <c r="BE10" s="47">
        <v>251458</v>
      </c>
      <c r="BF10" s="47"/>
      <c r="BG10" s="47">
        <f>2399018+198000+46190</f>
        <v>2643208</v>
      </c>
      <c r="BH10" s="47"/>
      <c r="BI10" s="47"/>
      <c r="BJ10" s="47"/>
      <c r="BK10" s="47">
        <f>SUM(BA10:BI10)</f>
        <v>9359900</v>
      </c>
      <c r="BL10" s="62"/>
    </row>
    <row r="11" spans="1:64" ht="12.75">
      <c r="A11" s="40" t="s">
        <v>14</v>
      </c>
      <c r="B11" s="40"/>
      <c r="C11" s="51">
        <f>G11-E11</f>
        <v>0</v>
      </c>
      <c r="D11" s="51"/>
      <c r="E11" s="51">
        <v>0</v>
      </c>
      <c r="F11" s="51"/>
      <c r="G11" s="51">
        <v>0</v>
      </c>
      <c r="H11" s="51"/>
      <c r="I11" s="51">
        <f>M11-K11</f>
        <v>0</v>
      </c>
      <c r="J11" s="51"/>
      <c r="K11" s="51">
        <f>SUM(BK11)</f>
        <v>0</v>
      </c>
      <c r="L11" s="51"/>
      <c r="M11" s="51">
        <v>0</v>
      </c>
      <c r="N11" s="51"/>
      <c r="O11" s="51">
        <v>0</v>
      </c>
      <c r="P11" s="51"/>
      <c r="Q11" s="51">
        <v>0</v>
      </c>
      <c r="R11" s="51"/>
      <c r="S11" s="51">
        <v>0</v>
      </c>
      <c r="T11" s="51"/>
      <c r="U11" s="51">
        <f>SUM(O11:S11)</f>
        <v>0</v>
      </c>
      <c r="V11" s="51"/>
      <c r="W11" s="51">
        <f>+G11-M11-U11</f>
        <v>0</v>
      </c>
      <c r="X11" s="51"/>
      <c r="Y11" s="40" t="s">
        <v>14</v>
      </c>
      <c r="Z11" s="51"/>
      <c r="AA11" s="47">
        <v>0</v>
      </c>
      <c r="AB11" s="47"/>
      <c r="AC11" s="47">
        <v>0</v>
      </c>
      <c r="AD11" s="47"/>
      <c r="AE11" s="47">
        <v>0</v>
      </c>
      <c r="AF11" s="47"/>
      <c r="AG11" s="52">
        <f>+AA11-AC11-AE11</f>
        <v>0</v>
      </c>
      <c r="AH11" s="52"/>
      <c r="AI11" s="52">
        <v>0</v>
      </c>
      <c r="AJ11" s="52"/>
      <c r="AK11" s="47">
        <v>0</v>
      </c>
      <c r="AL11" s="47"/>
      <c r="AM11" s="47">
        <v>0</v>
      </c>
      <c r="AN11" s="47"/>
      <c r="AO11" s="47">
        <v>0</v>
      </c>
      <c r="AP11" s="47"/>
      <c r="AQ11" s="52">
        <f>+AG11+AI11+AK11-AM11+AO11</f>
        <v>0</v>
      </c>
      <c r="AR11" s="52"/>
      <c r="AS11" s="47">
        <v>0</v>
      </c>
      <c r="AT11" s="47"/>
      <c r="AU11" s="47">
        <v>0</v>
      </c>
      <c r="AV11" s="47"/>
      <c r="AW11" s="47">
        <f>+C11-I11</f>
        <v>0</v>
      </c>
      <c r="AX11" s="51"/>
      <c r="AY11" s="40" t="s">
        <v>14</v>
      </c>
      <c r="AZ11" s="51"/>
      <c r="BA11" s="47">
        <v>0</v>
      </c>
      <c r="BB11" s="47"/>
      <c r="BC11" s="47">
        <v>0</v>
      </c>
      <c r="BD11" s="47"/>
      <c r="BE11" s="47">
        <v>0</v>
      </c>
      <c r="BF11" s="47"/>
      <c r="BG11" s="47">
        <v>0</v>
      </c>
      <c r="BH11" s="47"/>
      <c r="BI11" s="47"/>
      <c r="BJ11" s="47"/>
      <c r="BK11" s="47">
        <f>SUM(BA11:BI11)</f>
        <v>0</v>
      </c>
      <c r="BL11" s="62"/>
    </row>
    <row r="12" spans="1:64" ht="12.75">
      <c r="A12" s="40" t="s">
        <v>15</v>
      </c>
      <c r="B12" s="40"/>
      <c r="C12" s="51">
        <f>G12-E12</f>
        <v>0</v>
      </c>
      <c r="D12" s="51"/>
      <c r="E12" s="51">
        <v>0</v>
      </c>
      <c r="F12" s="51"/>
      <c r="G12" s="51">
        <v>0</v>
      </c>
      <c r="H12" s="51"/>
      <c r="I12" s="51">
        <f>M12-K12</f>
        <v>0</v>
      </c>
      <c r="J12" s="51"/>
      <c r="K12" s="51">
        <f>SUM(BK12)</f>
        <v>0</v>
      </c>
      <c r="L12" s="51"/>
      <c r="M12" s="51">
        <v>0</v>
      </c>
      <c r="N12" s="51"/>
      <c r="O12" s="51">
        <v>0</v>
      </c>
      <c r="P12" s="51"/>
      <c r="Q12" s="51">
        <v>0</v>
      </c>
      <c r="R12" s="51"/>
      <c r="S12" s="51">
        <v>0</v>
      </c>
      <c r="T12" s="51"/>
      <c r="U12" s="51">
        <f>SUM(O12:S12)</f>
        <v>0</v>
      </c>
      <c r="V12" s="94"/>
      <c r="W12" s="94">
        <f>+G12-M12-U12</f>
        <v>0</v>
      </c>
      <c r="X12" s="94"/>
      <c r="Y12" s="99" t="s">
        <v>15</v>
      </c>
      <c r="Z12" s="94"/>
      <c r="AA12" s="47">
        <v>0</v>
      </c>
      <c r="AB12" s="47"/>
      <c r="AC12" s="47">
        <v>0</v>
      </c>
      <c r="AD12" s="47"/>
      <c r="AE12" s="47">
        <v>0</v>
      </c>
      <c r="AF12" s="47"/>
      <c r="AG12" s="52">
        <f>+AA12-AC12-AE12</f>
        <v>0</v>
      </c>
      <c r="AH12" s="52"/>
      <c r="AI12" s="52">
        <v>0</v>
      </c>
      <c r="AJ12" s="52"/>
      <c r="AK12" s="47">
        <v>0</v>
      </c>
      <c r="AL12" s="47"/>
      <c r="AM12" s="47">
        <v>0</v>
      </c>
      <c r="AN12" s="47"/>
      <c r="AO12" s="47">
        <v>0</v>
      </c>
      <c r="AP12" s="47"/>
      <c r="AQ12" s="52">
        <f>+AG12+AI12+AK12-AM12+AO12</f>
        <v>0</v>
      </c>
      <c r="AR12" s="52"/>
      <c r="AS12" s="47">
        <v>0</v>
      </c>
      <c r="AT12" s="47"/>
      <c r="AU12" s="47">
        <v>0</v>
      </c>
      <c r="AV12" s="47"/>
      <c r="AW12" s="47">
        <f>+C12-I12</f>
        <v>0</v>
      </c>
      <c r="AX12" s="100"/>
      <c r="AY12" s="99" t="s">
        <v>15</v>
      </c>
      <c r="AZ12" s="100"/>
      <c r="BA12" s="47">
        <v>0</v>
      </c>
      <c r="BB12" s="47"/>
      <c r="BC12" s="47">
        <v>0</v>
      </c>
      <c r="BD12" s="47"/>
      <c r="BE12" s="47">
        <v>0</v>
      </c>
      <c r="BF12" s="47"/>
      <c r="BG12" s="47">
        <v>0</v>
      </c>
      <c r="BH12" s="47"/>
      <c r="BI12" s="47"/>
      <c r="BJ12" s="47"/>
      <c r="BK12" s="47">
        <f>SUM(BA12:BI12)</f>
        <v>0</v>
      </c>
      <c r="BL12" s="1"/>
    </row>
    <row r="13" spans="1:64" ht="12.75">
      <c r="A13" s="40" t="s">
        <v>16</v>
      </c>
      <c r="B13" s="40"/>
      <c r="C13" s="51">
        <f aca="true" t="shared" si="0" ref="C13:C76">G13-E13</f>
        <v>1345099</v>
      </c>
      <c r="D13" s="51"/>
      <c r="E13" s="51">
        <f>2061216+3051887</f>
        <v>5113103</v>
      </c>
      <c r="F13" s="51"/>
      <c r="G13" s="51">
        <f>3268625+3189577</f>
        <v>6458202</v>
      </c>
      <c r="H13" s="51"/>
      <c r="I13" s="51">
        <f aca="true" t="shared" si="1" ref="I13:I76">M13-K13</f>
        <v>87378</v>
      </c>
      <c r="J13" s="51"/>
      <c r="K13" s="51">
        <f aca="true" t="shared" si="2" ref="K13:K76">SUM(BK13)</f>
        <v>1317284</v>
      </c>
      <c r="L13" s="51"/>
      <c r="M13" s="51">
        <f>632573+772089</f>
        <v>1404662</v>
      </c>
      <c r="N13" s="51"/>
      <c r="O13" s="51">
        <f>1456326+2319887</f>
        <v>3776213</v>
      </c>
      <c r="P13" s="51"/>
      <c r="Q13" s="51">
        <v>0</v>
      </c>
      <c r="R13" s="51"/>
      <c r="S13" s="51">
        <f>1179726+97601</f>
        <v>1277327</v>
      </c>
      <c r="T13" s="51"/>
      <c r="U13" s="51">
        <f aca="true" t="shared" si="3" ref="U13:U76">SUM(O13:S13)</f>
        <v>5053540</v>
      </c>
      <c r="V13" s="51"/>
      <c r="W13" s="51">
        <f aca="true" t="shared" si="4" ref="W13:W76">+G13-M13-U13</f>
        <v>0</v>
      </c>
      <c r="X13" s="51"/>
      <c r="Y13" s="95" t="s">
        <v>16</v>
      </c>
      <c r="Z13" s="51"/>
      <c r="AA13" s="47">
        <f>462138+183083</f>
        <v>645221</v>
      </c>
      <c r="AB13" s="47"/>
      <c r="AC13" s="47">
        <f>321073+173176-47093-62283</f>
        <v>384873</v>
      </c>
      <c r="AD13" s="47"/>
      <c r="AE13" s="47">
        <f>47093+62283</f>
        <v>109376</v>
      </c>
      <c r="AF13" s="47"/>
      <c r="AG13" s="52">
        <f>+AA13-AC13-AE13</f>
        <v>150972</v>
      </c>
      <c r="AH13" s="52"/>
      <c r="AI13" s="52">
        <f>141695-30864</f>
        <v>110831</v>
      </c>
      <c r="AJ13" s="52"/>
      <c r="AK13" s="47">
        <v>0</v>
      </c>
      <c r="AL13" s="47"/>
      <c r="AM13" s="47">
        <v>715</v>
      </c>
      <c r="AN13" s="47"/>
      <c r="AO13" s="47">
        <v>0</v>
      </c>
      <c r="AP13" s="47"/>
      <c r="AQ13" s="52">
        <f>+AG13+AI13+AK13-AM13+AO13</f>
        <v>261088</v>
      </c>
      <c r="AR13" s="52"/>
      <c r="AS13" s="47">
        <v>0</v>
      </c>
      <c r="AT13" s="47"/>
      <c r="AU13" s="47">
        <v>0</v>
      </c>
      <c r="AV13" s="47"/>
      <c r="AW13" s="47">
        <f>+C13-I13</f>
        <v>1257721</v>
      </c>
      <c r="AX13" s="47"/>
      <c r="AY13" s="95" t="s">
        <v>16</v>
      </c>
      <c r="AZ13" s="47"/>
      <c r="BA13" s="47">
        <v>120000</v>
      </c>
      <c r="BB13" s="47"/>
      <c r="BC13" s="47">
        <v>612000</v>
      </c>
      <c r="BD13" s="47"/>
      <c r="BE13" s="47">
        <v>585284</v>
      </c>
      <c r="BF13" s="47"/>
      <c r="BG13" s="47">
        <v>0</v>
      </c>
      <c r="BH13" s="47"/>
      <c r="BI13" s="47"/>
      <c r="BJ13" s="47"/>
      <c r="BK13" s="47">
        <f>SUM(BA13:BI13)</f>
        <v>1317284</v>
      </c>
      <c r="BL13" s="1"/>
    </row>
    <row r="14" spans="1:64" ht="12.75">
      <c r="A14" s="40" t="s">
        <v>17</v>
      </c>
      <c r="B14" s="40"/>
      <c r="C14" s="51">
        <f t="shared" si="0"/>
        <v>221979</v>
      </c>
      <c r="D14" s="51"/>
      <c r="E14" s="51">
        <f>2046989+1366147+91200</f>
        <v>3504336</v>
      </c>
      <c r="F14" s="51"/>
      <c r="G14" s="51">
        <f>2141434+1443900+140981</f>
        <v>3726315</v>
      </c>
      <c r="H14" s="51"/>
      <c r="I14" s="51">
        <f t="shared" si="1"/>
        <v>64481</v>
      </c>
      <c r="J14" s="51"/>
      <c r="K14" s="51">
        <f t="shared" si="2"/>
        <v>0</v>
      </c>
      <c r="L14" s="51"/>
      <c r="M14" s="51">
        <f>14230+2751+47500</f>
        <v>64481</v>
      </c>
      <c r="N14" s="51"/>
      <c r="O14" s="51">
        <f>2046989+1366147+43700</f>
        <v>3456836</v>
      </c>
      <c r="P14" s="51"/>
      <c r="Q14" s="51">
        <v>0</v>
      </c>
      <c r="R14" s="51"/>
      <c r="S14" s="51">
        <f>80215+75002+49781</f>
        <v>204998</v>
      </c>
      <c r="T14" s="51"/>
      <c r="U14" s="51">
        <f t="shared" si="3"/>
        <v>3661834</v>
      </c>
      <c r="V14" s="51"/>
      <c r="W14" s="51">
        <f t="shared" si="4"/>
        <v>0</v>
      </c>
      <c r="X14" s="51"/>
      <c r="Y14" s="95" t="s">
        <v>17</v>
      </c>
      <c r="Z14" s="51"/>
      <c r="AA14" s="47">
        <f>121038+48373+4904</f>
        <v>174315</v>
      </c>
      <c r="AB14" s="47"/>
      <c r="AC14" s="47">
        <f>208827+85623+5944-56000-35029-5700</f>
        <v>203665</v>
      </c>
      <c r="AD14" s="47"/>
      <c r="AE14" s="47">
        <f>56000+35029+5700</f>
        <v>96729</v>
      </c>
      <c r="AF14" s="47"/>
      <c r="AG14" s="52">
        <f aca="true" t="shared" si="5" ref="AG14:AG77">+AA14-AC14-AE14</f>
        <v>-126079</v>
      </c>
      <c r="AH14" s="52"/>
      <c r="AI14" s="52">
        <v>0</v>
      </c>
      <c r="AJ14" s="52"/>
      <c r="AK14" s="47">
        <v>0</v>
      </c>
      <c r="AL14" s="47"/>
      <c r="AM14" s="47">
        <v>0</v>
      </c>
      <c r="AN14" s="47"/>
      <c r="AO14" s="47">
        <v>0</v>
      </c>
      <c r="AP14" s="47"/>
      <c r="AQ14" s="52">
        <f aca="true" t="shared" si="6" ref="AQ14:AQ77">+AG14+AI14+AK14-AM14+AO14</f>
        <v>-126079</v>
      </c>
      <c r="AR14" s="52"/>
      <c r="AS14" s="47">
        <v>0</v>
      </c>
      <c r="AT14" s="47"/>
      <c r="AU14" s="47">
        <v>0</v>
      </c>
      <c r="AV14" s="47"/>
      <c r="AW14" s="47">
        <f aca="true" t="shared" si="7" ref="AW14:AW77">+C14-I14</f>
        <v>157498</v>
      </c>
      <c r="AX14" s="51"/>
      <c r="AY14" s="95" t="s">
        <v>17</v>
      </c>
      <c r="AZ14" s="51"/>
      <c r="BA14" s="47">
        <v>0</v>
      </c>
      <c r="BB14" s="47"/>
      <c r="BC14" s="47">
        <v>0</v>
      </c>
      <c r="BD14" s="47"/>
      <c r="BE14" s="47">
        <v>0</v>
      </c>
      <c r="BF14" s="47"/>
      <c r="BG14" s="47">
        <v>0</v>
      </c>
      <c r="BH14" s="47"/>
      <c r="BI14" s="47"/>
      <c r="BJ14" s="47"/>
      <c r="BK14" s="47">
        <f aca="true" t="shared" si="8" ref="BK14:BK77">SUM(BA14:BI14)</f>
        <v>0</v>
      </c>
      <c r="BL14" s="62"/>
    </row>
    <row r="15" spans="1:64" ht="12.75">
      <c r="A15" s="40" t="s">
        <v>18</v>
      </c>
      <c r="B15" s="40"/>
      <c r="C15" s="51">
        <f t="shared" si="0"/>
        <v>1651340</v>
      </c>
      <c r="D15" s="51"/>
      <c r="E15" s="51">
        <v>8942020</v>
      </c>
      <c r="F15" s="51"/>
      <c r="G15" s="51">
        <v>10593360</v>
      </c>
      <c r="H15" s="51"/>
      <c r="I15" s="51">
        <f t="shared" si="1"/>
        <v>-752829</v>
      </c>
      <c r="J15" s="51"/>
      <c r="K15" s="51">
        <f t="shared" si="2"/>
        <v>3689781</v>
      </c>
      <c r="L15" s="51"/>
      <c r="M15" s="51">
        <v>2936952</v>
      </c>
      <c r="N15" s="51"/>
      <c r="O15" s="51">
        <v>2780845</v>
      </c>
      <c r="P15" s="51"/>
      <c r="Q15" s="51">
        <f>0</f>
        <v>0</v>
      </c>
      <c r="R15" s="51"/>
      <c r="S15" s="51">
        <v>1185782</v>
      </c>
      <c r="T15" s="51"/>
      <c r="U15" s="51">
        <f t="shared" si="3"/>
        <v>3966627</v>
      </c>
      <c r="V15" s="51"/>
      <c r="W15" s="51">
        <f t="shared" si="4"/>
        <v>3689781</v>
      </c>
      <c r="X15" s="51"/>
      <c r="Y15" s="95" t="s">
        <v>18</v>
      </c>
      <c r="Z15" s="51"/>
      <c r="AA15" s="47">
        <v>1134397</v>
      </c>
      <c r="AB15" s="47"/>
      <c r="AC15" s="47">
        <f>800246-176654</f>
        <v>623592</v>
      </c>
      <c r="AD15" s="47"/>
      <c r="AE15" s="47">
        <v>176654</v>
      </c>
      <c r="AF15" s="47"/>
      <c r="AG15" s="52">
        <f t="shared" si="5"/>
        <v>334151</v>
      </c>
      <c r="AH15" s="52"/>
      <c r="AI15" s="52">
        <v>-78394</v>
      </c>
      <c r="AJ15" s="52"/>
      <c r="AK15" s="47">
        <v>22000</v>
      </c>
      <c r="AL15" s="47"/>
      <c r="AM15" s="47">
        <v>31765</v>
      </c>
      <c r="AN15" s="47"/>
      <c r="AO15" s="47">
        <v>4200</v>
      </c>
      <c r="AP15" s="47"/>
      <c r="AQ15" s="52">
        <f t="shared" si="6"/>
        <v>250192</v>
      </c>
      <c r="AR15" s="52"/>
      <c r="AS15" s="47">
        <v>0</v>
      </c>
      <c r="AT15" s="47"/>
      <c r="AU15" s="47">
        <v>0</v>
      </c>
      <c r="AV15" s="47"/>
      <c r="AW15" s="47">
        <f t="shared" si="7"/>
        <v>2404169</v>
      </c>
      <c r="AX15" s="47"/>
      <c r="AY15" s="95" t="s">
        <v>18</v>
      </c>
      <c r="AZ15" s="47"/>
      <c r="BA15" s="47">
        <v>169392</v>
      </c>
      <c r="BB15" s="47"/>
      <c r="BC15" s="47">
        <v>0</v>
      </c>
      <c r="BD15" s="47"/>
      <c r="BE15" s="47">
        <v>0</v>
      </c>
      <c r="BF15" s="47"/>
      <c r="BG15" s="47">
        <f>8795+11594+3500000</f>
        <v>3520389</v>
      </c>
      <c r="BH15" s="47"/>
      <c r="BI15" s="47"/>
      <c r="BJ15" s="47"/>
      <c r="BK15" s="47">
        <f t="shared" si="8"/>
        <v>3689781</v>
      </c>
      <c r="BL15" s="1"/>
    </row>
    <row r="16" spans="1:64" ht="12.75" hidden="1">
      <c r="A16" s="40" t="s">
        <v>97</v>
      </c>
      <c r="B16" s="40"/>
      <c r="C16" s="51">
        <f t="shared" si="0"/>
        <v>0</v>
      </c>
      <c r="D16" s="51"/>
      <c r="E16" s="51">
        <v>0</v>
      </c>
      <c r="F16" s="51"/>
      <c r="G16" s="51">
        <v>0</v>
      </c>
      <c r="H16" s="51"/>
      <c r="I16" s="51">
        <f t="shared" si="1"/>
        <v>0</v>
      </c>
      <c r="J16" s="51"/>
      <c r="K16" s="51">
        <f t="shared" si="2"/>
        <v>0</v>
      </c>
      <c r="L16" s="51"/>
      <c r="M16" s="51">
        <v>0</v>
      </c>
      <c r="N16" s="51"/>
      <c r="O16" s="51">
        <v>0</v>
      </c>
      <c r="P16" s="51"/>
      <c r="Q16" s="51">
        <v>0</v>
      </c>
      <c r="R16" s="51"/>
      <c r="S16" s="51">
        <v>0</v>
      </c>
      <c r="T16" s="51"/>
      <c r="U16" s="51">
        <f t="shared" si="3"/>
        <v>0</v>
      </c>
      <c r="V16" s="51"/>
      <c r="W16" s="51">
        <f t="shared" si="4"/>
        <v>0</v>
      </c>
      <c r="X16" s="51"/>
      <c r="Y16" s="95" t="s">
        <v>97</v>
      </c>
      <c r="Z16" s="51"/>
      <c r="AA16" s="47">
        <v>0</v>
      </c>
      <c r="AB16" s="47"/>
      <c r="AC16" s="47">
        <v>0</v>
      </c>
      <c r="AD16" s="47"/>
      <c r="AE16" s="47">
        <v>0</v>
      </c>
      <c r="AF16" s="47"/>
      <c r="AG16" s="52">
        <f t="shared" si="5"/>
        <v>0</v>
      </c>
      <c r="AH16" s="52"/>
      <c r="AI16" s="52">
        <v>0</v>
      </c>
      <c r="AJ16" s="52"/>
      <c r="AK16" s="47">
        <v>0</v>
      </c>
      <c r="AL16" s="47"/>
      <c r="AM16" s="47">
        <v>0</v>
      </c>
      <c r="AN16" s="47"/>
      <c r="AO16" s="47">
        <v>0</v>
      </c>
      <c r="AP16" s="47"/>
      <c r="AQ16" s="52">
        <f t="shared" si="6"/>
        <v>0</v>
      </c>
      <c r="AR16" s="52"/>
      <c r="AS16" s="47">
        <v>0</v>
      </c>
      <c r="AT16" s="47"/>
      <c r="AU16" s="47">
        <v>0</v>
      </c>
      <c r="AV16" s="47"/>
      <c r="AW16" s="47">
        <f t="shared" si="7"/>
        <v>0</v>
      </c>
      <c r="AX16" s="51"/>
      <c r="AY16" s="95" t="s">
        <v>97</v>
      </c>
      <c r="AZ16" s="51"/>
      <c r="BA16" s="47">
        <v>0</v>
      </c>
      <c r="BB16" s="47"/>
      <c r="BC16" s="47">
        <v>0</v>
      </c>
      <c r="BD16" s="47"/>
      <c r="BE16" s="47">
        <v>0</v>
      </c>
      <c r="BF16" s="47"/>
      <c r="BG16" s="47">
        <v>0</v>
      </c>
      <c r="BH16" s="47"/>
      <c r="BI16" s="47"/>
      <c r="BJ16" s="47"/>
      <c r="BK16" s="47">
        <f t="shared" si="8"/>
        <v>0</v>
      </c>
      <c r="BL16" s="62"/>
    </row>
    <row r="17" spans="1:64" ht="12.75">
      <c r="A17" s="40" t="s">
        <v>19</v>
      </c>
      <c r="B17" s="40"/>
      <c r="C17" s="51">
        <f t="shared" si="0"/>
        <v>23186682</v>
      </c>
      <c r="D17" s="51"/>
      <c r="E17" s="51">
        <v>174802870</v>
      </c>
      <c r="F17" s="51"/>
      <c r="G17" s="51">
        <v>197989552</v>
      </c>
      <c r="H17" s="51"/>
      <c r="I17" s="51">
        <f t="shared" si="1"/>
        <v>5540635</v>
      </c>
      <c r="J17" s="51"/>
      <c r="K17" s="51">
        <f t="shared" si="2"/>
        <v>61574822</v>
      </c>
      <c r="L17" s="51"/>
      <c r="M17" s="51">
        <v>67115457</v>
      </c>
      <c r="N17" s="51"/>
      <c r="O17" s="51">
        <v>51994219</v>
      </c>
      <c r="P17" s="51"/>
      <c r="Q17" s="51">
        <f>5952443+4000000</f>
        <v>9952443</v>
      </c>
      <c r="R17" s="51"/>
      <c r="S17" s="51">
        <v>27558268</v>
      </c>
      <c r="T17" s="51"/>
      <c r="U17" s="51">
        <f t="shared" si="3"/>
        <v>89504930</v>
      </c>
      <c r="V17" s="51"/>
      <c r="W17" s="51">
        <f t="shared" si="4"/>
        <v>41369165</v>
      </c>
      <c r="X17" s="51"/>
      <c r="Y17" s="95" t="s">
        <v>19</v>
      </c>
      <c r="Z17" s="51"/>
      <c r="AA17" s="47">
        <v>16947133</v>
      </c>
      <c r="AB17" s="47"/>
      <c r="AC17" s="47">
        <f>18531238-6586981</f>
        <v>11944257</v>
      </c>
      <c r="AD17" s="47"/>
      <c r="AE17" s="47">
        <v>6586981</v>
      </c>
      <c r="AF17" s="47"/>
      <c r="AG17" s="52">
        <f t="shared" si="5"/>
        <v>-1584105</v>
      </c>
      <c r="AH17" s="52"/>
      <c r="AI17" s="52">
        <v>-3107458</v>
      </c>
      <c r="AJ17" s="52"/>
      <c r="AK17" s="47">
        <v>0</v>
      </c>
      <c r="AL17" s="47"/>
      <c r="AM17" s="47">
        <v>0</v>
      </c>
      <c r="AN17" s="47"/>
      <c r="AO17" s="47">
        <v>13809849</v>
      </c>
      <c r="AP17" s="47"/>
      <c r="AQ17" s="52">
        <f t="shared" si="6"/>
        <v>9118286</v>
      </c>
      <c r="AR17" s="52"/>
      <c r="AS17" s="47">
        <v>0</v>
      </c>
      <c r="AT17" s="47"/>
      <c r="AU17" s="47">
        <v>0</v>
      </c>
      <c r="AV17" s="47"/>
      <c r="AW17" s="47">
        <f t="shared" si="7"/>
        <v>17646047</v>
      </c>
      <c r="AX17" s="51"/>
      <c r="AY17" s="95" t="s">
        <v>19</v>
      </c>
      <c r="AZ17" s="51"/>
      <c r="BA17" s="47">
        <v>466770</v>
      </c>
      <c r="BB17" s="47"/>
      <c r="BC17" s="47">
        <f>57500000+3165000</f>
        <v>60665000</v>
      </c>
      <c r="BD17" s="47"/>
      <c r="BE17" s="47">
        <v>0</v>
      </c>
      <c r="BF17" s="47"/>
      <c r="BG17" s="47">
        <f>245325+197727</f>
        <v>443052</v>
      </c>
      <c r="BH17" s="47"/>
      <c r="BI17" s="47"/>
      <c r="BJ17" s="47"/>
      <c r="BK17" s="47">
        <f t="shared" si="8"/>
        <v>61574822</v>
      </c>
      <c r="BL17" s="62"/>
    </row>
    <row r="18" spans="1:64" ht="12.75">
      <c r="A18" s="40" t="s">
        <v>20</v>
      </c>
      <c r="B18" s="40"/>
      <c r="C18" s="51">
        <f t="shared" si="0"/>
        <v>682921</v>
      </c>
      <c r="D18" s="51"/>
      <c r="E18" s="51">
        <v>7730746</v>
      </c>
      <c r="F18" s="51"/>
      <c r="G18" s="51">
        <v>8413667</v>
      </c>
      <c r="H18" s="51"/>
      <c r="I18" s="51">
        <f t="shared" si="1"/>
        <v>-2986789</v>
      </c>
      <c r="J18" s="51"/>
      <c r="K18" s="51">
        <f t="shared" si="2"/>
        <v>3260724</v>
      </c>
      <c r="L18" s="51"/>
      <c r="M18" s="51">
        <v>273935</v>
      </c>
      <c r="N18" s="51"/>
      <c r="O18" s="51">
        <v>4482076</v>
      </c>
      <c r="P18" s="51"/>
      <c r="Q18" s="51">
        <v>28970</v>
      </c>
      <c r="R18" s="51"/>
      <c r="S18" s="51">
        <v>367962</v>
      </c>
      <c r="T18" s="51"/>
      <c r="U18" s="51">
        <f t="shared" si="3"/>
        <v>4879008</v>
      </c>
      <c r="V18" s="51"/>
      <c r="W18" s="51">
        <f t="shared" si="4"/>
        <v>3260724</v>
      </c>
      <c r="X18" s="51"/>
      <c r="Y18" s="95" t="s">
        <v>20</v>
      </c>
      <c r="Z18" s="51"/>
      <c r="AA18" s="47">
        <v>605549</v>
      </c>
      <c r="AB18" s="47"/>
      <c r="AC18" s="47">
        <f>722749-224886</f>
        <v>497863</v>
      </c>
      <c r="AD18" s="47"/>
      <c r="AE18" s="47">
        <v>224886</v>
      </c>
      <c r="AF18" s="47"/>
      <c r="AG18" s="52">
        <f t="shared" si="5"/>
        <v>-117200</v>
      </c>
      <c r="AH18" s="52"/>
      <c r="AI18" s="52">
        <v>-130261</v>
      </c>
      <c r="AJ18" s="52"/>
      <c r="AK18" s="47">
        <v>0</v>
      </c>
      <c r="AL18" s="47"/>
      <c r="AM18" s="47">
        <v>0</v>
      </c>
      <c r="AN18" s="47"/>
      <c r="AO18" s="47">
        <v>0</v>
      </c>
      <c r="AP18" s="47"/>
      <c r="AQ18" s="52">
        <f t="shared" si="6"/>
        <v>-247461</v>
      </c>
      <c r="AR18" s="52"/>
      <c r="AS18" s="47">
        <v>0</v>
      </c>
      <c r="AT18" s="47"/>
      <c r="AU18" s="47">
        <v>0</v>
      </c>
      <c r="AV18" s="47"/>
      <c r="AW18" s="47">
        <f t="shared" si="7"/>
        <v>3669710</v>
      </c>
      <c r="AX18" s="47"/>
      <c r="AY18" s="95" t="s">
        <v>20</v>
      </c>
      <c r="AZ18" s="47"/>
      <c r="BA18" s="47">
        <v>0</v>
      </c>
      <c r="BB18" s="47"/>
      <c r="BC18" s="47">
        <v>3175700</v>
      </c>
      <c r="BD18" s="47"/>
      <c r="BE18" s="47">
        <v>77824</v>
      </c>
      <c r="BF18" s="47"/>
      <c r="BG18" s="47">
        <v>7200</v>
      </c>
      <c r="BH18" s="47"/>
      <c r="BI18" s="47"/>
      <c r="BJ18" s="47"/>
      <c r="BK18" s="47">
        <f t="shared" si="8"/>
        <v>3260724</v>
      </c>
      <c r="BL18" s="1"/>
    </row>
    <row r="19" spans="1:64" ht="12.75" hidden="1">
      <c r="A19" s="26" t="s">
        <v>182</v>
      </c>
      <c r="B19" s="26"/>
      <c r="C19" s="51">
        <f t="shared" si="0"/>
        <v>0</v>
      </c>
      <c r="D19" s="51"/>
      <c r="E19" s="51">
        <v>0</v>
      </c>
      <c r="F19" s="51"/>
      <c r="G19" s="51">
        <v>0</v>
      </c>
      <c r="H19" s="51"/>
      <c r="I19" s="51">
        <f t="shared" si="1"/>
        <v>0</v>
      </c>
      <c r="J19" s="51"/>
      <c r="K19" s="51">
        <f t="shared" si="2"/>
        <v>0</v>
      </c>
      <c r="L19" s="51"/>
      <c r="M19" s="51">
        <v>0</v>
      </c>
      <c r="N19" s="51"/>
      <c r="O19" s="51">
        <v>0</v>
      </c>
      <c r="P19" s="51"/>
      <c r="Q19" s="51">
        <v>0</v>
      </c>
      <c r="R19" s="51"/>
      <c r="S19" s="51">
        <v>0</v>
      </c>
      <c r="T19" s="51"/>
      <c r="U19" s="51">
        <f t="shared" si="3"/>
        <v>0</v>
      </c>
      <c r="V19" s="51"/>
      <c r="W19" s="51">
        <f t="shared" si="4"/>
        <v>0</v>
      </c>
      <c r="X19" s="51"/>
      <c r="Y19" s="47" t="s">
        <v>182</v>
      </c>
      <c r="Z19" s="51"/>
      <c r="AA19" s="47">
        <v>0</v>
      </c>
      <c r="AB19" s="47"/>
      <c r="AC19" s="47">
        <v>0</v>
      </c>
      <c r="AD19" s="47"/>
      <c r="AE19" s="47">
        <v>0</v>
      </c>
      <c r="AF19" s="47"/>
      <c r="AG19" s="52">
        <f t="shared" si="5"/>
        <v>0</v>
      </c>
      <c r="AH19" s="52"/>
      <c r="AI19" s="52">
        <v>0</v>
      </c>
      <c r="AJ19" s="52"/>
      <c r="AK19" s="47">
        <v>0</v>
      </c>
      <c r="AL19" s="47"/>
      <c r="AM19" s="47">
        <v>0</v>
      </c>
      <c r="AN19" s="47"/>
      <c r="AO19" s="47">
        <v>0</v>
      </c>
      <c r="AP19" s="47"/>
      <c r="AQ19" s="52">
        <f t="shared" si="6"/>
        <v>0</v>
      </c>
      <c r="AR19" s="52"/>
      <c r="AS19" s="47">
        <v>0</v>
      </c>
      <c r="AT19" s="47"/>
      <c r="AU19" s="47">
        <v>0</v>
      </c>
      <c r="AV19" s="47"/>
      <c r="AW19" s="47">
        <f t="shared" si="7"/>
        <v>0</v>
      </c>
      <c r="AX19" s="51"/>
      <c r="AY19" s="47" t="s">
        <v>182</v>
      </c>
      <c r="AZ19" s="51"/>
      <c r="BA19" s="47">
        <v>0</v>
      </c>
      <c r="BB19" s="47"/>
      <c r="BC19" s="47">
        <v>0</v>
      </c>
      <c r="BD19" s="47"/>
      <c r="BE19" s="47">
        <v>0</v>
      </c>
      <c r="BF19" s="47"/>
      <c r="BG19" s="47">
        <v>0</v>
      </c>
      <c r="BH19" s="47"/>
      <c r="BI19" s="47"/>
      <c r="BJ19" s="47"/>
      <c r="BK19" s="47">
        <f t="shared" si="8"/>
        <v>0</v>
      </c>
      <c r="BL19" s="62"/>
    </row>
    <row r="20" spans="1:64" ht="12.75">
      <c r="A20" s="40" t="s">
        <v>21</v>
      </c>
      <c r="B20" s="40"/>
      <c r="C20" s="51">
        <f t="shared" si="0"/>
        <v>3516719</v>
      </c>
      <c r="D20" s="51"/>
      <c r="E20" s="51">
        <v>15204388</v>
      </c>
      <c r="F20" s="51"/>
      <c r="G20" s="51">
        <v>18721107</v>
      </c>
      <c r="H20" s="51"/>
      <c r="I20" s="51">
        <f t="shared" si="1"/>
        <v>2934124</v>
      </c>
      <c r="J20" s="51"/>
      <c r="K20" s="51">
        <f t="shared" si="2"/>
        <v>3605893</v>
      </c>
      <c r="L20" s="51"/>
      <c r="M20" s="51">
        <v>6540017</v>
      </c>
      <c r="N20" s="51"/>
      <c r="O20" s="51">
        <v>8979555</v>
      </c>
      <c r="P20" s="51"/>
      <c r="Q20" s="51">
        <v>0</v>
      </c>
      <c r="R20" s="51"/>
      <c r="S20" s="51">
        <v>3201535</v>
      </c>
      <c r="T20" s="51"/>
      <c r="U20" s="51">
        <f t="shared" si="3"/>
        <v>12181090</v>
      </c>
      <c r="V20" s="51"/>
      <c r="W20" s="51">
        <f t="shared" si="4"/>
        <v>0</v>
      </c>
      <c r="X20" s="51"/>
      <c r="Y20" s="95" t="s">
        <v>21</v>
      </c>
      <c r="Z20" s="51"/>
      <c r="AA20" s="47">
        <v>3097002</v>
      </c>
      <c r="AB20" s="47"/>
      <c r="AC20" s="47">
        <f>2444161-449765</f>
        <v>1994396</v>
      </c>
      <c r="AD20" s="47"/>
      <c r="AE20" s="47">
        <v>449765</v>
      </c>
      <c r="AF20" s="47"/>
      <c r="AG20" s="52">
        <v>652841</v>
      </c>
      <c r="AH20" s="52"/>
      <c r="AI20" s="52">
        <v>682130</v>
      </c>
      <c r="AJ20" s="52"/>
      <c r="AK20" s="47">
        <v>0</v>
      </c>
      <c r="AL20" s="47"/>
      <c r="AM20" s="47">
        <v>0</v>
      </c>
      <c r="AN20" s="47"/>
      <c r="AO20" s="47">
        <v>0</v>
      </c>
      <c r="AP20" s="47"/>
      <c r="AQ20" s="52">
        <f t="shared" si="6"/>
        <v>1334971</v>
      </c>
      <c r="AR20" s="52"/>
      <c r="AS20" s="47">
        <v>0</v>
      </c>
      <c r="AT20" s="47"/>
      <c r="AU20" s="47">
        <v>0</v>
      </c>
      <c r="AV20" s="47"/>
      <c r="AW20" s="47">
        <f t="shared" si="7"/>
        <v>582595</v>
      </c>
      <c r="AX20" s="47"/>
      <c r="AY20" s="95" t="s">
        <v>21</v>
      </c>
      <c r="AZ20" s="47"/>
      <c r="BA20" s="47">
        <v>3367900</v>
      </c>
      <c r="BB20" s="47"/>
      <c r="BC20" s="47">
        <v>0</v>
      </c>
      <c r="BD20" s="47"/>
      <c r="BE20" s="47">
        <v>262500</v>
      </c>
      <c r="BF20" s="47"/>
      <c r="BG20" s="47">
        <f>66882+35346-126735</f>
        <v>-24507</v>
      </c>
      <c r="BH20" s="47"/>
      <c r="BI20" s="47"/>
      <c r="BJ20" s="47"/>
      <c r="BK20" s="47">
        <f t="shared" si="8"/>
        <v>3605893</v>
      </c>
      <c r="BL20" s="1"/>
    </row>
    <row r="21" spans="1:64" ht="12.75">
      <c r="A21" s="40" t="s">
        <v>193</v>
      </c>
      <c r="B21" s="40"/>
      <c r="C21" s="51">
        <f t="shared" si="0"/>
        <v>50842613</v>
      </c>
      <c r="D21" s="51"/>
      <c r="E21" s="51">
        <v>135544288</v>
      </c>
      <c r="F21" s="51"/>
      <c r="G21" s="51">
        <v>186386901</v>
      </c>
      <c r="H21" s="51"/>
      <c r="I21" s="51">
        <v>46223173</v>
      </c>
      <c r="J21" s="51"/>
      <c r="K21" s="51">
        <f t="shared" si="2"/>
        <v>46223173</v>
      </c>
      <c r="L21" s="51"/>
      <c r="M21" s="51">
        <v>46796464</v>
      </c>
      <c r="N21" s="51"/>
      <c r="O21" s="51">
        <v>80423829</v>
      </c>
      <c r="P21" s="51"/>
      <c r="Q21" s="51">
        <v>4343395</v>
      </c>
      <c r="R21" s="51"/>
      <c r="S21" s="51">
        <v>54823213</v>
      </c>
      <c r="T21" s="51"/>
      <c r="U21" s="51">
        <f t="shared" si="3"/>
        <v>139590437</v>
      </c>
      <c r="V21" s="51"/>
      <c r="W21" s="51">
        <f t="shared" si="4"/>
        <v>0</v>
      </c>
      <c r="X21" s="51"/>
      <c r="Y21" s="95" t="s">
        <v>193</v>
      </c>
      <c r="Z21" s="51"/>
      <c r="AA21" s="47">
        <v>13428949</v>
      </c>
      <c r="AB21" s="47"/>
      <c r="AC21" s="47">
        <f>12148534-6655893</f>
        <v>5492641</v>
      </c>
      <c r="AD21" s="47"/>
      <c r="AE21" s="47">
        <v>6655893</v>
      </c>
      <c r="AF21" s="47"/>
      <c r="AG21" s="52">
        <v>1280415</v>
      </c>
      <c r="AH21" s="52"/>
      <c r="AI21" s="52">
        <v>-1508890</v>
      </c>
      <c r="AJ21" s="52"/>
      <c r="AK21" s="47">
        <v>0</v>
      </c>
      <c r="AL21" s="47"/>
      <c r="AM21" s="47">
        <v>0</v>
      </c>
      <c r="AN21" s="47"/>
      <c r="AO21" s="47">
        <v>4180002</v>
      </c>
      <c r="AP21" s="47"/>
      <c r="AQ21" s="52">
        <f t="shared" si="6"/>
        <v>3951527</v>
      </c>
      <c r="AR21" s="52"/>
      <c r="AS21" s="47">
        <v>0</v>
      </c>
      <c r="AT21" s="47"/>
      <c r="AU21" s="47">
        <v>0</v>
      </c>
      <c r="AV21" s="47"/>
      <c r="AW21" s="47">
        <f t="shared" si="7"/>
        <v>4619440</v>
      </c>
      <c r="AX21" s="47"/>
      <c r="AY21" s="95" t="s">
        <v>193</v>
      </c>
      <c r="AZ21" s="47"/>
      <c r="BA21" s="47">
        <v>0</v>
      </c>
      <c r="BB21" s="47"/>
      <c r="BC21" s="47">
        <v>37560000</v>
      </c>
      <c r="BD21" s="47"/>
      <c r="BE21" s="47">
        <v>4017303</v>
      </c>
      <c r="BF21" s="47"/>
      <c r="BG21" s="47">
        <f>627818+111066+273312+26400+1452830+2154444</f>
        <v>4645870</v>
      </c>
      <c r="BH21" s="47"/>
      <c r="BI21" s="47"/>
      <c r="BJ21" s="47"/>
      <c r="BK21" s="47">
        <f t="shared" si="8"/>
        <v>46223173</v>
      </c>
      <c r="BL21" s="1"/>
    </row>
    <row r="22" spans="1:64" ht="12.75">
      <c r="A22" s="40" t="s">
        <v>22</v>
      </c>
      <c r="B22" s="40"/>
      <c r="C22" s="51">
        <f t="shared" si="0"/>
        <v>0</v>
      </c>
      <c r="D22" s="51"/>
      <c r="E22" s="51">
        <v>0</v>
      </c>
      <c r="F22" s="51"/>
      <c r="G22" s="51">
        <v>0</v>
      </c>
      <c r="H22" s="51"/>
      <c r="I22" s="51">
        <f t="shared" si="1"/>
        <v>0</v>
      </c>
      <c r="J22" s="51"/>
      <c r="K22" s="51">
        <f t="shared" si="2"/>
        <v>0</v>
      </c>
      <c r="L22" s="51"/>
      <c r="M22" s="51">
        <v>0</v>
      </c>
      <c r="N22" s="51"/>
      <c r="O22" s="51">
        <v>0</v>
      </c>
      <c r="P22" s="51"/>
      <c r="Q22" s="51">
        <v>0</v>
      </c>
      <c r="R22" s="51"/>
      <c r="S22" s="51">
        <v>0</v>
      </c>
      <c r="T22" s="51"/>
      <c r="U22" s="51">
        <f t="shared" si="3"/>
        <v>0</v>
      </c>
      <c r="V22" s="51"/>
      <c r="W22" s="51">
        <f t="shared" si="4"/>
        <v>0</v>
      </c>
      <c r="X22" s="51"/>
      <c r="Y22" s="95" t="s">
        <v>22</v>
      </c>
      <c r="Z22" s="51"/>
      <c r="AA22" s="47">
        <v>0</v>
      </c>
      <c r="AB22" s="47"/>
      <c r="AC22" s="47">
        <v>0</v>
      </c>
      <c r="AD22" s="47"/>
      <c r="AE22" s="47">
        <v>0</v>
      </c>
      <c r="AF22" s="47"/>
      <c r="AG22" s="52">
        <f t="shared" si="5"/>
        <v>0</v>
      </c>
      <c r="AH22" s="52"/>
      <c r="AI22" s="52">
        <v>0</v>
      </c>
      <c r="AJ22" s="52"/>
      <c r="AK22" s="47">
        <v>0</v>
      </c>
      <c r="AL22" s="47"/>
      <c r="AM22" s="47">
        <v>0</v>
      </c>
      <c r="AN22" s="47"/>
      <c r="AO22" s="47">
        <v>0</v>
      </c>
      <c r="AP22" s="47"/>
      <c r="AQ22" s="52">
        <f t="shared" si="6"/>
        <v>0</v>
      </c>
      <c r="AR22" s="52"/>
      <c r="AS22" s="47">
        <v>0</v>
      </c>
      <c r="AT22" s="47"/>
      <c r="AU22" s="47">
        <v>0</v>
      </c>
      <c r="AV22" s="47"/>
      <c r="AW22" s="47">
        <f t="shared" si="7"/>
        <v>0</v>
      </c>
      <c r="AX22" s="51"/>
      <c r="AY22" s="95" t="s">
        <v>22</v>
      </c>
      <c r="AZ22" s="51"/>
      <c r="BA22" s="47">
        <v>0</v>
      </c>
      <c r="BB22" s="47"/>
      <c r="BC22" s="47">
        <v>0</v>
      </c>
      <c r="BD22" s="47"/>
      <c r="BE22" s="47">
        <v>0</v>
      </c>
      <c r="BF22" s="47"/>
      <c r="BG22" s="47">
        <v>0</v>
      </c>
      <c r="BH22" s="47"/>
      <c r="BI22" s="47"/>
      <c r="BJ22" s="47"/>
      <c r="BK22" s="47">
        <f t="shared" si="8"/>
        <v>0</v>
      </c>
      <c r="BL22" s="1"/>
    </row>
    <row r="23" spans="1:64" ht="12.75" hidden="1">
      <c r="A23" s="40" t="s">
        <v>23</v>
      </c>
      <c r="B23" s="40"/>
      <c r="C23" s="51">
        <f t="shared" si="0"/>
        <v>0</v>
      </c>
      <c r="D23" s="51"/>
      <c r="E23" s="51">
        <v>0</v>
      </c>
      <c r="F23" s="51"/>
      <c r="G23" s="51">
        <v>0</v>
      </c>
      <c r="H23" s="51"/>
      <c r="I23" s="51">
        <f t="shared" si="1"/>
        <v>0</v>
      </c>
      <c r="J23" s="51"/>
      <c r="K23" s="51">
        <f t="shared" si="2"/>
        <v>0</v>
      </c>
      <c r="L23" s="51"/>
      <c r="M23" s="51">
        <v>0</v>
      </c>
      <c r="N23" s="51"/>
      <c r="O23" s="51">
        <v>0</v>
      </c>
      <c r="P23" s="51"/>
      <c r="Q23" s="51">
        <v>0</v>
      </c>
      <c r="R23" s="51"/>
      <c r="S23" s="51">
        <v>0</v>
      </c>
      <c r="T23" s="51"/>
      <c r="U23" s="51">
        <f t="shared" si="3"/>
        <v>0</v>
      </c>
      <c r="V23" s="51"/>
      <c r="W23" s="51">
        <f t="shared" si="4"/>
        <v>0</v>
      </c>
      <c r="X23" s="51"/>
      <c r="Y23" s="95" t="s">
        <v>23</v>
      </c>
      <c r="Z23" s="51"/>
      <c r="AA23" s="47">
        <v>0</v>
      </c>
      <c r="AB23" s="47"/>
      <c r="AC23" s="47">
        <v>0</v>
      </c>
      <c r="AD23" s="47"/>
      <c r="AE23" s="47">
        <v>0</v>
      </c>
      <c r="AF23" s="47"/>
      <c r="AG23" s="52">
        <f t="shared" si="5"/>
        <v>0</v>
      </c>
      <c r="AH23" s="52"/>
      <c r="AI23" s="52">
        <v>0</v>
      </c>
      <c r="AJ23" s="52"/>
      <c r="AK23" s="47">
        <v>0</v>
      </c>
      <c r="AL23" s="47"/>
      <c r="AM23" s="47">
        <v>0</v>
      </c>
      <c r="AN23" s="47"/>
      <c r="AO23" s="47">
        <v>0</v>
      </c>
      <c r="AP23" s="47"/>
      <c r="AQ23" s="52">
        <f t="shared" si="6"/>
        <v>0</v>
      </c>
      <c r="AR23" s="52"/>
      <c r="AS23" s="47">
        <v>0</v>
      </c>
      <c r="AT23" s="47"/>
      <c r="AU23" s="47">
        <v>0</v>
      </c>
      <c r="AV23" s="47"/>
      <c r="AW23" s="47">
        <f t="shared" si="7"/>
        <v>0</v>
      </c>
      <c r="AX23" s="47"/>
      <c r="AY23" s="95" t="s">
        <v>23</v>
      </c>
      <c r="AZ23" s="47"/>
      <c r="BA23" s="47">
        <v>0</v>
      </c>
      <c r="BB23" s="47"/>
      <c r="BC23" s="47">
        <v>0</v>
      </c>
      <c r="BD23" s="47"/>
      <c r="BE23" s="47">
        <v>0</v>
      </c>
      <c r="BF23" s="47"/>
      <c r="BG23" s="47">
        <v>0</v>
      </c>
      <c r="BH23" s="47"/>
      <c r="BI23" s="47"/>
      <c r="BJ23" s="47"/>
      <c r="BK23" s="47">
        <f t="shared" si="8"/>
        <v>0</v>
      </c>
      <c r="BL23" s="1"/>
    </row>
    <row r="24" spans="1:64" ht="12.75" hidden="1">
      <c r="A24" s="40" t="s">
        <v>24</v>
      </c>
      <c r="B24" s="40"/>
      <c r="C24" s="51">
        <f t="shared" si="0"/>
        <v>0</v>
      </c>
      <c r="D24" s="51"/>
      <c r="E24" s="51">
        <v>0</v>
      </c>
      <c r="F24" s="51"/>
      <c r="G24" s="51">
        <v>0</v>
      </c>
      <c r="H24" s="51"/>
      <c r="I24" s="51">
        <f t="shared" si="1"/>
        <v>0</v>
      </c>
      <c r="J24" s="51"/>
      <c r="K24" s="51">
        <f t="shared" si="2"/>
        <v>0</v>
      </c>
      <c r="L24" s="51"/>
      <c r="M24" s="51">
        <v>0</v>
      </c>
      <c r="N24" s="51"/>
      <c r="O24" s="51">
        <v>0</v>
      </c>
      <c r="P24" s="51"/>
      <c r="Q24" s="51">
        <v>0</v>
      </c>
      <c r="R24" s="51"/>
      <c r="S24" s="51">
        <v>0</v>
      </c>
      <c r="T24" s="51"/>
      <c r="U24" s="51">
        <f t="shared" si="3"/>
        <v>0</v>
      </c>
      <c r="V24" s="51"/>
      <c r="W24" s="51">
        <f t="shared" si="4"/>
        <v>0</v>
      </c>
      <c r="X24" s="51"/>
      <c r="Y24" s="95" t="s">
        <v>24</v>
      </c>
      <c r="Z24" s="51"/>
      <c r="AA24" s="47">
        <v>0</v>
      </c>
      <c r="AB24" s="47"/>
      <c r="AC24" s="47">
        <v>0</v>
      </c>
      <c r="AD24" s="47"/>
      <c r="AE24" s="47">
        <v>0</v>
      </c>
      <c r="AF24" s="47"/>
      <c r="AG24" s="52">
        <f t="shared" si="5"/>
        <v>0</v>
      </c>
      <c r="AH24" s="52"/>
      <c r="AI24" s="52">
        <v>0</v>
      </c>
      <c r="AJ24" s="52"/>
      <c r="AK24" s="47">
        <v>0</v>
      </c>
      <c r="AL24" s="47"/>
      <c r="AM24" s="47">
        <v>0</v>
      </c>
      <c r="AN24" s="47"/>
      <c r="AO24" s="47">
        <v>0</v>
      </c>
      <c r="AP24" s="47"/>
      <c r="AQ24" s="52">
        <f t="shared" si="6"/>
        <v>0</v>
      </c>
      <c r="AR24" s="52"/>
      <c r="AS24" s="47">
        <v>0</v>
      </c>
      <c r="AT24" s="47"/>
      <c r="AU24" s="47">
        <v>0</v>
      </c>
      <c r="AV24" s="47"/>
      <c r="AW24" s="47">
        <f t="shared" si="7"/>
        <v>0</v>
      </c>
      <c r="AX24" s="47"/>
      <c r="AY24" s="95" t="s">
        <v>24</v>
      </c>
      <c r="AZ24" s="47"/>
      <c r="BA24" s="47">
        <v>0</v>
      </c>
      <c r="BB24" s="47"/>
      <c r="BC24" s="47">
        <v>0</v>
      </c>
      <c r="BD24" s="47"/>
      <c r="BE24" s="47">
        <v>0</v>
      </c>
      <c r="BF24" s="47"/>
      <c r="BG24" s="47">
        <v>0</v>
      </c>
      <c r="BH24" s="47"/>
      <c r="BI24" s="47"/>
      <c r="BJ24" s="47"/>
      <c r="BK24" s="47">
        <f t="shared" si="8"/>
        <v>0</v>
      </c>
      <c r="BL24" s="1"/>
    </row>
    <row r="25" spans="1:64" ht="12.75">
      <c r="A25" s="40" t="s">
        <v>191</v>
      </c>
      <c r="B25" s="40"/>
      <c r="C25" s="51">
        <f t="shared" si="0"/>
        <v>0</v>
      </c>
      <c r="D25" s="51"/>
      <c r="E25" s="51">
        <v>0</v>
      </c>
      <c r="F25" s="51"/>
      <c r="G25" s="51">
        <v>0</v>
      </c>
      <c r="H25" s="51"/>
      <c r="I25" s="51">
        <f t="shared" si="1"/>
        <v>0</v>
      </c>
      <c r="J25" s="51"/>
      <c r="K25" s="51">
        <f t="shared" si="2"/>
        <v>0</v>
      </c>
      <c r="L25" s="51"/>
      <c r="M25" s="51">
        <v>0</v>
      </c>
      <c r="N25" s="51"/>
      <c r="O25" s="51">
        <v>0</v>
      </c>
      <c r="P25" s="51"/>
      <c r="Q25" s="51">
        <v>0</v>
      </c>
      <c r="R25" s="51"/>
      <c r="S25" s="51">
        <v>0</v>
      </c>
      <c r="T25" s="51"/>
      <c r="U25" s="51">
        <f t="shared" si="3"/>
        <v>0</v>
      </c>
      <c r="V25" s="51"/>
      <c r="W25" s="51">
        <f t="shared" si="4"/>
        <v>0</v>
      </c>
      <c r="X25" s="51"/>
      <c r="Y25" s="95" t="s">
        <v>191</v>
      </c>
      <c r="Z25" s="51"/>
      <c r="AA25" s="47">
        <v>0</v>
      </c>
      <c r="AB25" s="47"/>
      <c r="AC25" s="47">
        <v>0</v>
      </c>
      <c r="AD25" s="47"/>
      <c r="AE25" s="47">
        <v>0</v>
      </c>
      <c r="AF25" s="47"/>
      <c r="AG25" s="52">
        <f t="shared" si="5"/>
        <v>0</v>
      </c>
      <c r="AH25" s="52"/>
      <c r="AI25" s="52">
        <v>0</v>
      </c>
      <c r="AJ25" s="52"/>
      <c r="AK25" s="47">
        <v>0</v>
      </c>
      <c r="AL25" s="47"/>
      <c r="AM25" s="47">
        <v>0</v>
      </c>
      <c r="AN25" s="47"/>
      <c r="AO25" s="47">
        <v>0</v>
      </c>
      <c r="AP25" s="47"/>
      <c r="AQ25" s="52">
        <f t="shared" si="6"/>
        <v>0</v>
      </c>
      <c r="AR25" s="52"/>
      <c r="AS25" s="47">
        <v>0</v>
      </c>
      <c r="AT25" s="47"/>
      <c r="AU25" s="47">
        <v>0</v>
      </c>
      <c r="AV25" s="47"/>
      <c r="AW25" s="47">
        <f t="shared" si="7"/>
        <v>0</v>
      </c>
      <c r="AX25" s="47"/>
      <c r="AY25" s="95" t="s">
        <v>191</v>
      </c>
      <c r="AZ25" s="47"/>
      <c r="BA25" s="47">
        <v>0</v>
      </c>
      <c r="BB25" s="47"/>
      <c r="BC25" s="47">
        <v>0</v>
      </c>
      <c r="BD25" s="47"/>
      <c r="BE25" s="47">
        <v>0</v>
      </c>
      <c r="BF25" s="47"/>
      <c r="BG25" s="47">
        <v>0</v>
      </c>
      <c r="BH25" s="47"/>
      <c r="BI25" s="47"/>
      <c r="BJ25" s="47"/>
      <c r="BK25" s="47">
        <f t="shared" si="8"/>
        <v>0</v>
      </c>
      <c r="BL25" s="1"/>
    </row>
    <row r="26" spans="1:64" ht="12.75">
      <c r="A26" s="40" t="s">
        <v>25</v>
      </c>
      <c r="B26" s="40"/>
      <c r="C26" s="51">
        <f t="shared" si="0"/>
        <v>7196</v>
      </c>
      <c r="D26" s="51"/>
      <c r="E26" s="51">
        <v>35198</v>
      </c>
      <c r="F26" s="51"/>
      <c r="G26" s="51">
        <v>42394</v>
      </c>
      <c r="H26" s="51"/>
      <c r="I26" s="51">
        <f t="shared" si="1"/>
        <v>8267</v>
      </c>
      <c r="J26" s="51"/>
      <c r="K26" s="51">
        <f t="shared" si="2"/>
        <v>8902</v>
      </c>
      <c r="L26" s="51"/>
      <c r="M26" s="51">
        <v>17169</v>
      </c>
      <c r="N26" s="51"/>
      <c r="O26" s="51">
        <v>18097</v>
      </c>
      <c r="P26" s="51"/>
      <c r="Q26" s="51">
        <v>0</v>
      </c>
      <c r="R26" s="51"/>
      <c r="S26" s="51">
        <v>7128</v>
      </c>
      <c r="T26" s="51"/>
      <c r="U26" s="51">
        <f t="shared" si="3"/>
        <v>25225</v>
      </c>
      <c r="V26" s="51"/>
      <c r="W26" s="51">
        <f t="shared" si="4"/>
        <v>0</v>
      </c>
      <c r="X26" s="51"/>
      <c r="Y26" s="95" t="s">
        <v>25</v>
      </c>
      <c r="Z26" s="51"/>
      <c r="AA26" s="47">
        <v>10327</v>
      </c>
      <c r="AB26" s="47"/>
      <c r="AC26" s="47">
        <f>9602-1565</f>
        <v>8037</v>
      </c>
      <c r="AD26" s="47"/>
      <c r="AE26" s="47">
        <v>1565</v>
      </c>
      <c r="AF26" s="47"/>
      <c r="AG26" s="52">
        <f t="shared" si="5"/>
        <v>725</v>
      </c>
      <c r="AH26" s="52"/>
      <c r="AI26" s="52">
        <v>-461</v>
      </c>
      <c r="AJ26" s="52"/>
      <c r="AK26" s="47">
        <v>0</v>
      </c>
      <c r="AL26" s="47"/>
      <c r="AM26" s="47">
        <v>0</v>
      </c>
      <c r="AN26" s="47"/>
      <c r="AO26" s="47">
        <v>0</v>
      </c>
      <c r="AP26" s="47"/>
      <c r="AQ26" s="52">
        <f t="shared" si="6"/>
        <v>264</v>
      </c>
      <c r="AR26" s="52"/>
      <c r="AS26" s="47">
        <v>0</v>
      </c>
      <c r="AT26" s="47"/>
      <c r="AU26" s="47">
        <v>0</v>
      </c>
      <c r="AV26" s="47"/>
      <c r="AW26" s="47">
        <f t="shared" si="7"/>
        <v>-1071</v>
      </c>
      <c r="AX26" s="47"/>
      <c r="AY26" s="95" t="s">
        <v>25</v>
      </c>
      <c r="AZ26" s="47"/>
      <c r="BA26" s="47">
        <v>0</v>
      </c>
      <c r="BB26" s="47"/>
      <c r="BC26" s="47">
        <v>0</v>
      </c>
      <c r="BD26" s="47"/>
      <c r="BE26" s="47">
        <v>5688</v>
      </c>
      <c r="BF26" s="47"/>
      <c r="BG26" s="47">
        <f>964+2250</f>
        <v>3214</v>
      </c>
      <c r="BH26" s="47"/>
      <c r="BI26" s="47"/>
      <c r="BJ26" s="47"/>
      <c r="BK26" s="47">
        <f t="shared" si="8"/>
        <v>8902</v>
      </c>
      <c r="BL26" s="1"/>
    </row>
    <row r="27" spans="1:64" ht="12.75">
      <c r="A27" s="40" t="s">
        <v>26</v>
      </c>
      <c r="B27" s="40"/>
      <c r="C27" s="51">
        <f t="shared" si="0"/>
        <v>0</v>
      </c>
      <c r="D27" s="51"/>
      <c r="E27" s="51">
        <v>0</v>
      </c>
      <c r="F27" s="51"/>
      <c r="G27" s="51">
        <v>0</v>
      </c>
      <c r="H27" s="51"/>
      <c r="I27" s="51">
        <f t="shared" si="1"/>
        <v>0</v>
      </c>
      <c r="J27" s="51"/>
      <c r="K27" s="51">
        <f t="shared" si="2"/>
        <v>0</v>
      </c>
      <c r="L27" s="51"/>
      <c r="M27" s="51">
        <v>0</v>
      </c>
      <c r="N27" s="51"/>
      <c r="O27" s="51">
        <v>0</v>
      </c>
      <c r="P27" s="51"/>
      <c r="Q27" s="51">
        <v>0</v>
      </c>
      <c r="R27" s="51"/>
      <c r="S27" s="51">
        <v>0</v>
      </c>
      <c r="T27" s="51"/>
      <c r="U27" s="51">
        <f t="shared" si="3"/>
        <v>0</v>
      </c>
      <c r="V27" s="51"/>
      <c r="W27" s="51">
        <f t="shared" si="4"/>
        <v>0</v>
      </c>
      <c r="X27" s="51"/>
      <c r="Y27" s="95" t="s">
        <v>26</v>
      </c>
      <c r="Z27" s="51"/>
      <c r="AA27" s="47">
        <v>0</v>
      </c>
      <c r="AB27" s="47"/>
      <c r="AC27" s="47">
        <v>0</v>
      </c>
      <c r="AD27" s="47"/>
      <c r="AE27" s="47">
        <v>0</v>
      </c>
      <c r="AF27" s="47"/>
      <c r="AG27" s="52">
        <f t="shared" si="5"/>
        <v>0</v>
      </c>
      <c r="AH27" s="52"/>
      <c r="AI27" s="52">
        <v>0</v>
      </c>
      <c r="AJ27" s="52"/>
      <c r="AK27" s="47">
        <v>0</v>
      </c>
      <c r="AL27" s="47"/>
      <c r="AM27" s="47">
        <v>0</v>
      </c>
      <c r="AN27" s="47"/>
      <c r="AO27" s="47">
        <v>0</v>
      </c>
      <c r="AP27" s="47"/>
      <c r="AQ27" s="52">
        <f t="shared" si="6"/>
        <v>0</v>
      </c>
      <c r="AR27" s="52"/>
      <c r="AS27" s="47">
        <v>0</v>
      </c>
      <c r="AT27" s="47"/>
      <c r="AU27" s="47">
        <v>0</v>
      </c>
      <c r="AV27" s="47"/>
      <c r="AW27" s="47">
        <f t="shared" si="7"/>
        <v>0</v>
      </c>
      <c r="AX27" s="47"/>
      <c r="AY27" s="95" t="s">
        <v>26</v>
      </c>
      <c r="AZ27" s="47"/>
      <c r="BA27" s="47">
        <v>0</v>
      </c>
      <c r="BB27" s="47"/>
      <c r="BC27" s="47">
        <v>0</v>
      </c>
      <c r="BD27" s="47"/>
      <c r="BE27" s="47">
        <v>0</v>
      </c>
      <c r="BF27" s="47"/>
      <c r="BG27" s="47">
        <v>0</v>
      </c>
      <c r="BH27" s="47"/>
      <c r="BI27" s="47"/>
      <c r="BJ27" s="47"/>
      <c r="BK27" s="47">
        <f t="shared" si="8"/>
        <v>0</v>
      </c>
      <c r="BL27" s="1"/>
    </row>
    <row r="28" spans="1:64" ht="12.75">
      <c r="A28" s="40" t="s">
        <v>27</v>
      </c>
      <c r="B28" s="40"/>
      <c r="C28" s="51">
        <f t="shared" si="0"/>
        <v>692170</v>
      </c>
      <c r="D28" s="51"/>
      <c r="E28" s="51">
        <v>4693889</v>
      </c>
      <c r="F28" s="51"/>
      <c r="G28" s="51">
        <v>5386059</v>
      </c>
      <c r="H28" s="51"/>
      <c r="I28" s="51">
        <f t="shared" si="1"/>
        <v>229153</v>
      </c>
      <c r="J28" s="51"/>
      <c r="K28" s="51">
        <f t="shared" si="2"/>
        <v>157687</v>
      </c>
      <c r="L28" s="51"/>
      <c r="M28" s="51">
        <v>386840</v>
      </c>
      <c r="N28" s="51"/>
      <c r="O28" s="51">
        <v>4530889</v>
      </c>
      <c r="P28" s="51"/>
      <c r="Q28" s="51">
        <v>0</v>
      </c>
      <c r="R28" s="51"/>
      <c r="S28" s="51">
        <v>468330</v>
      </c>
      <c r="T28" s="51"/>
      <c r="U28" s="51">
        <f t="shared" si="3"/>
        <v>4999219</v>
      </c>
      <c r="V28" s="51"/>
      <c r="W28" s="51">
        <f t="shared" si="4"/>
        <v>0</v>
      </c>
      <c r="X28" s="51"/>
      <c r="Y28" s="95" t="s">
        <v>27</v>
      </c>
      <c r="Z28" s="51"/>
      <c r="AA28" s="47">
        <v>446122</v>
      </c>
      <c r="AB28" s="47"/>
      <c r="AC28" s="47">
        <f>340528-100223</f>
        <v>240305</v>
      </c>
      <c r="AD28" s="47"/>
      <c r="AE28" s="47">
        <v>100223</v>
      </c>
      <c r="AF28" s="47"/>
      <c r="AG28" s="52">
        <f t="shared" si="5"/>
        <v>105594</v>
      </c>
      <c r="AH28" s="52"/>
      <c r="AI28" s="52">
        <v>14496</v>
      </c>
      <c r="AJ28" s="52"/>
      <c r="AK28" s="47">
        <v>31349</v>
      </c>
      <c r="AL28" s="47"/>
      <c r="AM28" s="47">
        <v>0</v>
      </c>
      <c r="AN28" s="47"/>
      <c r="AO28" s="47">
        <v>954957</v>
      </c>
      <c r="AP28" s="47"/>
      <c r="AQ28" s="52">
        <v>1106778</v>
      </c>
      <c r="AR28" s="52"/>
      <c r="AS28" s="47">
        <v>0</v>
      </c>
      <c r="AT28" s="47"/>
      <c r="AU28" s="47">
        <v>0</v>
      </c>
      <c r="AV28" s="47"/>
      <c r="AW28" s="47">
        <f t="shared" si="7"/>
        <v>463017</v>
      </c>
      <c r="AX28" s="47"/>
      <c r="AY28" s="95" t="s">
        <v>27</v>
      </c>
      <c r="AZ28" s="47"/>
      <c r="BA28" s="47">
        <v>55000</v>
      </c>
      <c r="BB28" s="47"/>
      <c r="BC28" s="47">
        <v>94000</v>
      </c>
      <c r="BD28" s="47"/>
      <c r="BE28" s="47">
        <v>0</v>
      </c>
      <c r="BF28" s="47"/>
      <c r="BG28" s="47">
        <v>8687</v>
      </c>
      <c r="BH28" s="47"/>
      <c r="BI28" s="47"/>
      <c r="BJ28" s="47"/>
      <c r="BK28" s="47">
        <f t="shared" si="8"/>
        <v>157687</v>
      </c>
      <c r="BL28" s="1"/>
    </row>
    <row r="29" spans="1:64" ht="12.75">
      <c r="A29" s="40" t="s">
        <v>28</v>
      </c>
      <c r="B29" s="40"/>
      <c r="C29" s="51">
        <f t="shared" si="0"/>
        <v>0</v>
      </c>
      <c r="D29" s="51"/>
      <c r="E29" s="51">
        <v>0</v>
      </c>
      <c r="F29" s="51"/>
      <c r="G29" s="51">
        <v>0</v>
      </c>
      <c r="H29" s="51"/>
      <c r="I29" s="51">
        <f t="shared" si="1"/>
        <v>0</v>
      </c>
      <c r="J29" s="51"/>
      <c r="K29" s="51">
        <f t="shared" si="2"/>
        <v>0</v>
      </c>
      <c r="L29" s="51"/>
      <c r="M29" s="51">
        <v>0</v>
      </c>
      <c r="N29" s="51"/>
      <c r="O29" s="51">
        <v>0</v>
      </c>
      <c r="P29" s="51"/>
      <c r="Q29" s="51">
        <v>0</v>
      </c>
      <c r="R29" s="51"/>
      <c r="S29" s="51">
        <v>0</v>
      </c>
      <c r="T29" s="51"/>
      <c r="U29" s="51">
        <f t="shared" si="3"/>
        <v>0</v>
      </c>
      <c r="V29" s="51"/>
      <c r="W29" s="51">
        <f t="shared" si="4"/>
        <v>0</v>
      </c>
      <c r="X29" s="51"/>
      <c r="Y29" s="95" t="s">
        <v>28</v>
      </c>
      <c r="Z29" s="51"/>
      <c r="AA29" s="47">
        <v>0</v>
      </c>
      <c r="AB29" s="47"/>
      <c r="AC29" s="47">
        <v>0</v>
      </c>
      <c r="AD29" s="47"/>
      <c r="AE29" s="47">
        <v>0</v>
      </c>
      <c r="AF29" s="47"/>
      <c r="AG29" s="52">
        <f t="shared" si="5"/>
        <v>0</v>
      </c>
      <c r="AH29" s="52"/>
      <c r="AI29" s="52">
        <v>0</v>
      </c>
      <c r="AJ29" s="52"/>
      <c r="AK29" s="47">
        <v>0</v>
      </c>
      <c r="AL29" s="47"/>
      <c r="AM29" s="47">
        <v>0</v>
      </c>
      <c r="AN29" s="47"/>
      <c r="AO29" s="47">
        <v>0</v>
      </c>
      <c r="AP29" s="47"/>
      <c r="AQ29" s="52">
        <f t="shared" si="6"/>
        <v>0</v>
      </c>
      <c r="AR29" s="52"/>
      <c r="AS29" s="47">
        <v>0</v>
      </c>
      <c r="AT29" s="47"/>
      <c r="AU29" s="47">
        <v>0</v>
      </c>
      <c r="AV29" s="47"/>
      <c r="AW29" s="47">
        <f t="shared" si="7"/>
        <v>0</v>
      </c>
      <c r="AX29" s="47"/>
      <c r="AY29" s="95" t="s">
        <v>28</v>
      </c>
      <c r="AZ29" s="47"/>
      <c r="BA29" s="47">
        <v>0</v>
      </c>
      <c r="BB29" s="47"/>
      <c r="BC29" s="47">
        <v>0</v>
      </c>
      <c r="BD29" s="47"/>
      <c r="BE29" s="47">
        <v>0</v>
      </c>
      <c r="BF29" s="47"/>
      <c r="BG29" s="47">
        <v>0</v>
      </c>
      <c r="BH29" s="47"/>
      <c r="BI29" s="47"/>
      <c r="BJ29" s="47"/>
      <c r="BK29" s="47">
        <f t="shared" si="8"/>
        <v>0</v>
      </c>
      <c r="BL29" s="1"/>
    </row>
    <row r="30" spans="1:64" ht="12.75">
      <c r="A30" s="40" t="s">
        <v>29</v>
      </c>
      <c r="B30" s="40"/>
      <c r="C30" s="51">
        <f t="shared" si="0"/>
        <v>-44603300</v>
      </c>
      <c r="D30" s="51"/>
      <c r="E30" s="51">
        <v>48723036</v>
      </c>
      <c r="F30" s="51"/>
      <c r="G30" s="51">
        <v>4119736</v>
      </c>
      <c r="H30" s="51"/>
      <c r="I30" s="51">
        <f t="shared" si="1"/>
        <v>1952629</v>
      </c>
      <c r="J30" s="51"/>
      <c r="K30" s="51">
        <f t="shared" si="2"/>
        <v>17229688</v>
      </c>
      <c r="L30" s="51"/>
      <c r="M30" s="51">
        <v>19182317</v>
      </c>
      <c r="N30" s="51"/>
      <c r="O30" s="51">
        <v>30628293</v>
      </c>
      <c r="P30" s="51"/>
      <c r="Q30" s="51">
        <v>0</v>
      </c>
      <c r="R30" s="51"/>
      <c r="S30" s="51">
        <v>3032162</v>
      </c>
      <c r="T30" s="51"/>
      <c r="U30" s="51">
        <f t="shared" si="3"/>
        <v>33660455</v>
      </c>
      <c r="V30" s="51"/>
      <c r="W30" s="51">
        <f t="shared" si="4"/>
        <v>-48723036</v>
      </c>
      <c r="X30" s="51"/>
      <c r="Y30" s="95" t="s">
        <v>29</v>
      </c>
      <c r="Z30" s="51"/>
      <c r="AA30" s="47">
        <v>6258272</v>
      </c>
      <c r="AB30" s="47"/>
      <c r="AC30" s="47">
        <f>5083497-1682717</f>
        <v>3400780</v>
      </c>
      <c r="AD30" s="47"/>
      <c r="AE30" s="47">
        <v>1682717</v>
      </c>
      <c r="AF30" s="47"/>
      <c r="AG30" s="52">
        <f t="shared" si="5"/>
        <v>1174775</v>
      </c>
      <c r="AH30" s="52"/>
      <c r="AI30" s="52">
        <v>-1166470</v>
      </c>
      <c r="AJ30" s="52"/>
      <c r="AK30" s="47">
        <v>254179</v>
      </c>
      <c r="AL30" s="47"/>
      <c r="AM30" s="47">
        <v>0</v>
      </c>
      <c r="AN30" s="47"/>
      <c r="AO30" s="47">
        <v>69155</v>
      </c>
      <c r="AP30" s="47"/>
      <c r="AQ30" s="52">
        <f t="shared" si="6"/>
        <v>331639</v>
      </c>
      <c r="AR30" s="52"/>
      <c r="AS30" s="47">
        <v>0</v>
      </c>
      <c r="AT30" s="47"/>
      <c r="AU30" s="47">
        <v>0</v>
      </c>
      <c r="AV30" s="47"/>
      <c r="AW30" s="47">
        <f t="shared" si="7"/>
        <v>-46555929</v>
      </c>
      <c r="AX30" s="47"/>
      <c r="AY30" s="95" t="s">
        <v>29</v>
      </c>
      <c r="AZ30" s="47"/>
      <c r="BA30" s="47">
        <v>7240152</v>
      </c>
      <c r="BB30" s="47"/>
      <c r="BC30" s="47">
        <v>0</v>
      </c>
      <c r="BD30" s="47"/>
      <c r="BE30" s="47">
        <f>8261395+450482</f>
        <v>8711877</v>
      </c>
      <c r="BF30" s="47"/>
      <c r="BG30" s="47">
        <f>57659+1220000</f>
        <v>1277659</v>
      </c>
      <c r="BH30" s="47"/>
      <c r="BI30" s="47"/>
      <c r="BJ30" s="47"/>
      <c r="BK30" s="47">
        <f t="shared" si="8"/>
        <v>17229688</v>
      </c>
      <c r="BL30" s="1"/>
    </row>
    <row r="31" spans="1:75" ht="12.75">
      <c r="A31" s="40" t="s">
        <v>30</v>
      </c>
      <c r="B31" s="40"/>
      <c r="C31" s="51">
        <f t="shared" si="0"/>
        <v>8632436</v>
      </c>
      <c r="D31" s="51"/>
      <c r="E31" s="51">
        <v>26668451</v>
      </c>
      <c r="F31" s="51"/>
      <c r="G31" s="51">
        <v>35300887</v>
      </c>
      <c r="H31" s="51"/>
      <c r="I31" s="51">
        <f t="shared" si="1"/>
        <v>1703965</v>
      </c>
      <c r="J31" s="51"/>
      <c r="K31" s="51">
        <f t="shared" si="2"/>
        <v>18042966</v>
      </c>
      <c r="L31" s="51"/>
      <c r="M31" s="51">
        <v>19746931</v>
      </c>
      <c r="N31" s="51"/>
      <c r="O31" s="51">
        <v>12042057</v>
      </c>
      <c r="P31" s="51"/>
      <c r="Q31" s="51">
        <v>127605</v>
      </c>
      <c r="R31" s="51"/>
      <c r="S31" s="51">
        <v>3384294</v>
      </c>
      <c r="T31" s="51"/>
      <c r="U31" s="51">
        <f t="shared" si="3"/>
        <v>15553956</v>
      </c>
      <c r="V31" s="51"/>
      <c r="W31" s="51">
        <f t="shared" si="4"/>
        <v>0</v>
      </c>
      <c r="X31" s="51"/>
      <c r="Y31" s="95" t="s">
        <v>30</v>
      </c>
      <c r="Z31" s="51"/>
      <c r="AA31" s="47">
        <v>2439518</v>
      </c>
      <c r="AB31" s="47"/>
      <c r="AC31" s="47">
        <f>2071584-543518</f>
        <v>1528066</v>
      </c>
      <c r="AD31" s="47"/>
      <c r="AE31" s="47">
        <v>543518</v>
      </c>
      <c r="AF31" s="47"/>
      <c r="AG31" s="52">
        <f t="shared" si="5"/>
        <v>367934</v>
      </c>
      <c r="AH31" s="52"/>
      <c r="AI31" s="52">
        <v>-495939</v>
      </c>
      <c r="AJ31" s="52"/>
      <c r="AK31" s="47">
        <v>0</v>
      </c>
      <c r="AL31" s="47"/>
      <c r="AM31" s="47">
        <v>0</v>
      </c>
      <c r="AN31" s="47"/>
      <c r="AO31" s="47">
        <v>1548309</v>
      </c>
      <c r="AP31" s="47"/>
      <c r="AQ31" s="52">
        <f t="shared" si="6"/>
        <v>1420304</v>
      </c>
      <c r="AR31" s="52"/>
      <c r="AS31" s="47">
        <v>0</v>
      </c>
      <c r="AT31" s="47"/>
      <c r="AU31" s="47">
        <v>0</v>
      </c>
      <c r="AV31" s="47"/>
      <c r="AW31" s="47">
        <f t="shared" si="7"/>
        <v>6928471</v>
      </c>
      <c r="AX31" s="47"/>
      <c r="AY31" s="95" t="s">
        <v>30</v>
      </c>
      <c r="AZ31" s="47"/>
      <c r="BA31" s="47">
        <v>7423679</v>
      </c>
      <c r="BB31" s="47"/>
      <c r="BC31" s="47">
        <v>0</v>
      </c>
      <c r="BD31" s="47"/>
      <c r="BE31" s="47">
        <f>1891834+97500</f>
        <v>1989334</v>
      </c>
      <c r="BF31" s="47"/>
      <c r="BG31" s="47">
        <f>55254+8568715+5984</f>
        <v>8629953</v>
      </c>
      <c r="BH31" s="47"/>
      <c r="BI31" s="47"/>
      <c r="BJ31" s="47"/>
      <c r="BK31" s="47">
        <f t="shared" si="8"/>
        <v>18042966</v>
      </c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64" ht="12.75" hidden="1">
      <c r="A32" s="40" t="s">
        <v>31</v>
      </c>
      <c r="B32" s="40"/>
      <c r="C32" s="51">
        <f t="shared" si="0"/>
        <v>0</v>
      </c>
      <c r="D32" s="51"/>
      <c r="E32" s="51">
        <v>0</v>
      </c>
      <c r="F32" s="51"/>
      <c r="G32" s="51">
        <v>0</v>
      </c>
      <c r="H32" s="51"/>
      <c r="I32" s="51">
        <f t="shared" si="1"/>
        <v>0</v>
      </c>
      <c r="J32" s="51"/>
      <c r="K32" s="51">
        <f t="shared" si="2"/>
        <v>0</v>
      </c>
      <c r="L32" s="51"/>
      <c r="M32" s="51">
        <v>0</v>
      </c>
      <c r="N32" s="51"/>
      <c r="O32" s="51">
        <v>0</v>
      </c>
      <c r="P32" s="51"/>
      <c r="Q32" s="51">
        <v>0</v>
      </c>
      <c r="R32" s="51"/>
      <c r="S32" s="51">
        <v>0</v>
      </c>
      <c r="T32" s="51"/>
      <c r="U32" s="51">
        <f t="shared" si="3"/>
        <v>0</v>
      </c>
      <c r="V32" s="51"/>
      <c r="W32" s="51">
        <f t="shared" si="4"/>
        <v>0</v>
      </c>
      <c r="X32" s="51"/>
      <c r="Y32" s="95" t="s">
        <v>31</v>
      </c>
      <c r="Z32" s="51"/>
      <c r="AA32" s="47">
        <v>0</v>
      </c>
      <c r="AB32" s="47"/>
      <c r="AC32" s="47">
        <v>0</v>
      </c>
      <c r="AD32" s="47"/>
      <c r="AE32" s="47">
        <v>0</v>
      </c>
      <c r="AF32" s="47"/>
      <c r="AG32" s="52">
        <f t="shared" si="5"/>
        <v>0</v>
      </c>
      <c r="AH32" s="52"/>
      <c r="AI32" s="52">
        <v>0</v>
      </c>
      <c r="AJ32" s="52"/>
      <c r="AK32" s="47">
        <v>0</v>
      </c>
      <c r="AL32" s="47"/>
      <c r="AM32" s="47">
        <v>0</v>
      </c>
      <c r="AN32" s="47"/>
      <c r="AO32" s="47">
        <v>0</v>
      </c>
      <c r="AP32" s="47"/>
      <c r="AQ32" s="52">
        <f t="shared" si="6"/>
        <v>0</v>
      </c>
      <c r="AR32" s="52"/>
      <c r="AS32" s="47">
        <v>0</v>
      </c>
      <c r="AT32" s="47"/>
      <c r="AU32" s="47">
        <v>0</v>
      </c>
      <c r="AV32" s="47"/>
      <c r="AW32" s="47">
        <f t="shared" si="7"/>
        <v>0</v>
      </c>
      <c r="AX32" s="51"/>
      <c r="AY32" s="95" t="s">
        <v>31</v>
      </c>
      <c r="AZ32" s="51"/>
      <c r="BA32" s="47">
        <v>0</v>
      </c>
      <c r="BB32" s="47"/>
      <c r="BC32" s="47">
        <v>0</v>
      </c>
      <c r="BD32" s="47"/>
      <c r="BE32" s="47">
        <v>0</v>
      </c>
      <c r="BF32" s="47"/>
      <c r="BG32" s="47">
        <v>0</v>
      </c>
      <c r="BH32" s="47"/>
      <c r="BI32" s="47"/>
      <c r="BJ32" s="47"/>
      <c r="BK32" s="47">
        <f t="shared" si="8"/>
        <v>0</v>
      </c>
      <c r="BL32" s="62"/>
    </row>
    <row r="33" spans="1:64" ht="12.75">
      <c r="A33" s="40" t="s">
        <v>32</v>
      </c>
      <c r="B33" s="40"/>
      <c r="C33" s="51">
        <f t="shared" si="0"/>
        <v>1052345</v>
      </c>
      <c r="D33" s="51"/>
      <c r="E33" s="51">
        <v>5038195</v>
      </c>
      <c r="F33" s="51"/>
      <c r="G33" s="51">
        <v>6090540</v>
      </c>
      <c r="H33" s="51"/>
      <c r="I33" s="51">
        <f t="shared" si="1"/>
        <v>296000</v>
      </c>
      <c r="J33" s="51"/>
      <c r="K33" s="51">
        <f t="shared" si="2"/>
        <v>1555295</v>
      </c>
      <c r="L33" s="51"/>
      <c r="M33" s="51">
        <v>1851295</v>
      </c>
      <c r="N33" s="51"/>
      <c r="O33" s="51">
        <v>3368666</v>
      </c>
      <c r="P33" s="51"/>
      <c r="Q33" s="51">
        <v>0</v>
      </c>
      <c r="R33" s="51"/>
      <c r="S33" s="51">
        <v>870579</v>
      </c>
      <c r="T33" s="51"/>
      <c r="U33" s="51">
        <v>4239245</v>
      </c>
      <c r="V33" s="51"/>
      <c r="W33" s="51">
        <f t="shared" si="4"/>
        <v>0</v>
      </c>
      <c r="X33" s="51"/>
      <c r="Y33" s="95" t="s">
        <v>32</v>
      </c>
      <c r="Z33" s="51"/>
      <c r="AA33" s="47">
        <v>224529</v>
      </c>
      <c r="AB33" s="47"/>
      <c r="AC33" s="47">
        <f>331601-10734</f>
        <v>320867</v>
      </c>
      <c r="AD33" s="47"/>
      <c r="AE33" s="47">
        <v>10734</v>
      </c>
      <c r="AF33" s="47"/>
      <c r="AG33" s="52">
        <f t="shared" si="5"/>
        <v>-107072</v>
      </c>
      <c r="AH33" s="52"/>
      <c r="AI33" s="52">
        <v>-69235</v>
      </c>
      <c r="AJ33" s="52"/>
      <c r="AK33" s="47">
        <v>23754</v>
      </c>
      <c r="AL33" s="47"/>
      <c r="AM33" s="47">
        <v>0</v>
      </c>
      <c r="AN33" s="47"/>
      <c r="AO33" s="47">
        <v>136282</v>
      </c>
      <c r="AP33" s="47"/>
      <c r="AQ33" s="52">
        <v>-16271</v>
      </c>
      <c r="AR33" s="52"/>
      <c r="AS33" s="47">
        <v>0</v>
      </c>
      <c r="AT33" s="47"/>
      <c r="AU33" s="47">
        <v>0</v>
      </c>
      <c r="AV33" s="47"/>
      <c r="AW33" s="47">
        <f t="shared" si="7"/>
        <v>756345</v>
      </c>
      <c r="AX33" s="51"/>
      <c r="AY33" s="95" t="s">
        <v>32</v>
      </c>
      <c r="AZ33" s="51"/>
      <c r="BA33" s="47">
        <v>0</v>
      </c>
      <c r="BB33" s="47"/>
      <c r="BC33" s="47">
        <v>0</v>
      </c>
      <c r="BD33" s="47"/>
      <c r="BE33" s="47">
        <f>1149129+0</f>
        <v>1149129</v>
      </c>
      <c r="BF33" s="47"/>
      <c r="BG33" s="47">
        <f>1166+405000</f>
        <v>406166</v>
      </c>
      <c r="BH33" s="47"/>
      <c r="BI33" s="47"/>
      <c r="BJ33" s="47"/>
      <c r="BK33" s="47">
        <f t="shared" si="8"/>
        <v>1555295</v>
      </c>
      <c r="BL33" s="62"/>
    </row>
    <row r="34" spans="1:65" ht="12.75">
      <c r="A34" s="40" t="s">
        <v>33</v>
      </c>
      <c r="B34" s="40"/>
      <c r="C34" s="51">
        <f t="shared" si="0"/>
        <v>0</v>
      </c>
      <c r="D34" s="51"/>
      <c r="E34" s="51">
        <v>0</v>
      </c>
      <c r="F34" s="51"/>
      <c r="G34" s="51">
        <v>0</v>
      </c>
      <c r="H34" s="51"/>
      <c r="I34" s="51">
        <f t="shared" si="1"/>
        <v>0</v>
      </c>
      <c r="J34" s="51"/>
      <c r="K34" s="51">
        <f t="shared" si="2"/>
        <v>0</v>
      </c>
      <c r="L34" s="51"/>
      <c r="M34" s="51">
        <v>0</v>
      </c>
      <c r="N34" s="51"/>
      <c r="O34" s="51">
        <v>0</v>
      </c>
      <c r="P34" s="51"/>
      <c r="Q34" s="51">
        <v>0</v>
      </c>
      <c r="R34" s="51"/>
      <c r="S34" s="51">
        <v>0</v>
      </c>
      <c r="T34" s="51"/>
      <c r="U34" s="51">
        <f t="shared" si="3"/>
        <v>0</v>
      </c>
      <c r="V34" s="51"/>
      <c r="W34" s="51">
        <f t="shared" si="4"/>
        <v>0</v>
      </c>
      <c r="X34" s="51"/>
      <c r="Y34" s="95" t="s">
        <v>33</v>
      </c>
      <c r="Z34" s="51"/>
      <c r="AA34" s="47">
        <v>0</v>
      </c>
      <c r="AB34" s="47"/>
      <c r="AC34" s="47">
        <v>0</v>
      </c>
      <c r="AD34" s="47"/>
      <c r="AE34" s="47">
        <v>0</v>
      </c>
      <c r="AF34" s="47"/>
      <c r="AG34" s="52">
        <f t="shared" si="5"/>
        <v>0</v>
      </c>
      <c r="AH34" s="52"/>
      <c r="AI34" s="52">
        <v>0</v>
      </c>
      <c r="AJ34" s="52"/>
      <c r="AK34" s="47">
        <v>0</v>
      </c>
      <c r="AL34" s="47"/>
      <c r="AM34" s="47">
        <v>0</v>
      </c>
      <c r="AN34" s="47"/>
      <c r="AO34" s="47">
        <v>0</v>
      </c>
      <c r="AP34" s="47"/>
      <c r="AQ34" s="52">
        <f t="shared" si="6"/>
        <v>0</v>
      </c>
      <c r="AR34" s="52"/>
      <c r="AS34" s="47">
        <v>0</v>
      </c>
      <c r="AT34" s="47"/>
      <c r="AU34" s="47">
        <v>0</v>
      </c>
      <c r="AV34" s="47"/>
      <c r="AW34" s="47">
        <f t="shared" si="7"/>
        <v>0</v>
      </c>
      <c r="AX34" s="47"/>
      <c r="AY34" s="95" t="s">
        <v>33</v>
      </c>
      <c r="AZ34" s="47"/>
      <c r="BA34" s="47">
        <v>0</v>
      </c>
      <c r="BB34" s="47"/>
      <c r="BC34" s="47">
        <v>0</v>
      </c>
      <c r="BD34" s="47"/>
      <c r="BE34" s="47">
        <v>0</v>
      </c>
      <c r="BF34" s="47"/>
      <c r="BG34" s="47">
        <v>0</v>
      </c>
      <c r="BH34" s="47"/>
      <c r="BI34" s="47"/>
      <c r="BJ34" s="47"/>
      <c r="BK34" s="47">
        <f t="shared" si="8"/>
        <v>0</v>
      </c>
      <c r="BL34" s="1"/>
      <c r="BM34" s="90"/>
    </row>
    <row r="35" spans="1:64" ht="12.75">
      <c r="A35" s="40" t="s">
        <v>34</v>
      </c>
      <c r="B35" s="40"/>
      <c r="C35" s="51">
        <f t="shared" si="0"/>
        <v>441440</v>
      </c>
      <c r="D35" s="51"/>
      <c r="E35" s="51">
        <v>4607894</v>
      </c>
      <c r="F35" s="51"/>
      <c r="G35" s="51">
        <v>5049334</v>
      </c>
      <c r="H35" s="51"/>
      <c r="I35" s="51">
        <f t="shared" si="1"/>
        <v>106031</v>
      </c>
      <c r="J35" s="51"/>
      <c r="K35" s="51">
        <f t="shared" si="2"/>
        <v>2068650</v>
      </c>
      <c r="L35" s="51"/>
      <c r="M35" s="51">
        <v>2174681</v>
      </c>
      <c r="N35" s="51"/>
      <c r="O35" s="51">
        <v>2506944</v>
      </c>
      <c r="P35" s="51"/>
      <c r="Q35" s="51">
        <v>0</v>
      </c>
      <c r="R35" s="51"/>
      <c r="S35" s="51">
        <v>367709</v>
      </c>
      <c r="T35" s="51"/>
      <c r="U35" s="51">
        <f t="shared" si="3"/>
        <v>2874653</v>
      </c>
      <c r="V35" s="51"/>
      <c r="W35" s="51">
        <f t="shared" si="4"/>
        <v>0</v>
      </c>
      <c r="X35" s="51"/>
      <c r="Y35" s="95" t="s">
        <v>34</v>
      </c>
      <c r="Z35" s="51"/>
      <c r="AA35" s="47">
        <v>181516</v>
      </c>
      <c r="AB35" s="47"/>
      <c r="AC35" s="47">
        <f>264769-146080</f>
        <v>118689</v>
      </c>
      <c r="AD35" s="47"/>
      <c r="AE35" s="47">
        <v>146080</v>
      </c>
      <c r="AF35" s="47"/>
      <c r="AG35" s="52">
        <f t="shared" si="5"/>
        <v>-83253</v>
      </c>
      <c r="AH35" s="52"/>
      <c r="AI35" s="52">
        <v>-74599</v>
      </c>
      <c r="AJ35" s="52"/>
      <c r="AK35" s="47">
        <v>0</v>
      </c>
      <c r="AL35" s="47"/>
      <c r="AM35" s="47">
        <v>0</v>
      </c>
      <c r="AN35" s="47"/>
      <c r="AO35" s="47">
        <v>0</v>
      </c>
      <c r="AP35" s="47"/>
      <c r="AQ35" s="52">
        <f t="shared" si="6"/>
        <v>-157852</v>
      </c>
      <c r="AR35" s="52"/>
      <c r="AS35" s="47">
        <v>0</v>
      </c>
      <c r="AT35" s="47"/>
      <c r="AU35" s="47">
        <v>0</v>
      </c>
      <c r="AV35" s="47"/>
      <c r="AW35" s="47">
        <f t="shared" si="7"/>
        <v>335409</v>
      </c>
      <c r="AX35" s="47"/>
      <c r="AY35" s="95" t="s">
        <v>34</v>
      </c>
      <c r="AZ35" s="47"/>
      <c r="BA35" s="47">
        <v>0</v>
      </c>
      <c r="BB35" s="47"/>
      <c r="BC35" s="47">
        <v>1867400</v>
      </c>
      <c r="BD35" s="47"/>
      <c r="BE35" s="47">
        <v>201250</v>
      </c>
      <c r="BF35" s="47"/>
      <c r="BG35" s="47">
        <v>0</v>
      </c>
      <c r="BH35" s="47"/>
      <c r="BI35" s="47"/>
      <c r="BJ35" s="47"/>
      <c r="BK35" s="47">
        <f t="shared" si="8"/>
        <v>2068650</v>
      </c>
      <c r="BL35" s="1"/>
    </row>
    <row r="36" spans="1:64" ht="12.75">
      <c r="A36" s="40" t="s">
        <v>35</v>
      </c>
      <c r="B36" s="40"/>
      <c r="C36" s="51">
        <f t="shared" si="0"/>
        <v>4547759</v>
      </c>
      <c r="D36" s="51"/>
      <c r="E36" s="51">
        <v>12399363</v>
      </c>
      <c r="F36" s="51"/>
      <c r="G36" s="51">
        <v>16947122</v>
      </c>
      <c r="H36" s="51"/>
      <c r="I36" s="51">
        <f t="shared" si="1"/>
        <v>469195</v>
      </c>
      <c r="J36" s="51"/>
      <c r="K36" s="51">
        <f t="shared" si="2"/>
        <v>8764586</v>
      </c>
      <c r="L36" s="51"/>
      <c r="M36" s="51">
        <v>9233781</v>
      </c>
      <c r="N36" s="51"/>
      <c r="O36" s="51">
        <v>3511842</v>
      </c>
      <c r="P36" s="51"/>
      <c r="Q36" s="51">
        <v>0</v>
      </c>
      <c r="R36" s="51"/>
      <c r="S36" s="51">
        <v>4201499</v>
      </c>
      <c r="T36" s="51"/>
      <c r="U36" s="51">
        <f t="shared" si="3"/>
        <v>7713341</v>
      </c>
      <c r="V36" s="51"/>
      <c r="W36" s="51">
        <f t="shared" si="4"/>
        <v>0</v>
      </c>
      <c r="X36" s="51"/>
      <c r="Y36" s="95" t="s">
        <v>35</v>
      </c>
      <c r="Z36" s="51"/>
      <c r="AA36" s="47">
        <v>4105550</v>
      </c>
      <c r="AB36" s="47"/>
      <c r="AC36" s="47">
        <f>5695153-2034865</f>
        <v>3660288</v>
      </c>
      <c r="AD36" s="47"/>
      <c r="AE36" s="47">
        <v>2034865</v>
      </c>
      <c r="AF36" s="47"/>
      <c r="AG36" s="52">
        <f t="shared" si="5"/>
        <v>-1589603</v>
      </c>
      <c r="AH36" s="52"/>
      <c r="AI36" s="52">
        <v>373039</v>
      </c>
      <c r="AJ36" s="52"/>
      <c r="AK36" s="47">
        <v>95970</v>
      </c>
      <c r="AL36" s="47"/>
      <c r="AM36" s="47">
        <v>44416</v>
      </c>
      <c r="AN36" s="47"/>
      <c r="AO36" s="47">
        <v>375800</v>
      </c>
      <c r="AP36" s="47"/>
      <c r="AQ36" s="52">
        <f t="shared" si="6"/>
        <v>-789210</v>
      </c>
      <c r="AR36" s="52"/>
      <c r="AS36" s="47">
        <v>0</v>
      </c>
      <c r="AT36" s="47"/>
      <c r="AU36" s="47">
        <v>0</v>
      </c>
      <c r="AV36" s="47"/>
      <c r="AW36" s="47">
        <f t="shared" si="7"/>
        <v>4078564</v>
      </c>
      <c r="AX36" s="51"/>
      <c r="AY36" s="95" t="s">
        <v>35</v>
      </c>
      <c r="AZ36" s="51"/>
      <c r="BA36" s="47">
        <v>130000</v>
      </c>
      <c r="BB36" s="47"/>
      <c r="BC36" s="47">
        <v>156000</v>
      </c>
      <c r="BD36" s="47"/>
      <c r="BE36" s="47">
        <f>7999842+393750</f>
        <v>8393592</v>
      </c>
      <c r="BF36" s="47"/>
      <c r="BG36" s="47">
        <v>84994</v>
      </c>
      <c r="BH36" s="47"/>
      <c r="BI36" s="47"/>
      <c r="BJ36" s="47"/>
      <c r="BK36" s="47">
        <f t="shared" si="8"/>
        <v>8764586</v>
      </c>
      <c r="BL36" s="62"/>
    </row>
    <row r="37" spans="1:64" ht="12.75">
      <c r="A37" s="40" t="s">
        <v>194</v>
      </c>
      <c r="B37" s="40"/>
      <c r="C37" s="51">
        <f t="shared" si="0"/>
        <v>12128137</v>
      </c>
      <c r="D37" s="51"/>
      <c r="E37" s="51">
        <v>135422360</v>
      </c>
      <c r="F37" s="51"/>
      <c r="G37" s="51">
        <v>147550497</v>
      </c>
      <c r="H37" s="51"/>
      <c r="I37" s="51">
        <f t="shared" si="1"/>
        <v>10122137</v>
      </c>
      <c r="J37" s="51"/>
      <c r="K37" s="51">
        <f t="shared" si="2"/>
        <v>95431969</v>
      </c>
      <c r="L37" s="51"/>
      <c r="M37" s="51">
        <v>105554106</v>
      </c>
      <c r="N37" s="51"/>
      <c r="O37" s="51">
        <v>31352904</v>
      </c>
      <c r="P37" s="51"/>
      <c r="Q37" s="51">
        <v>432780</v>
      </c>
      <c r="R37" s="51"/>
      <c r="S37" s="51">
        <v>10210707</v>
      </c>
      <c r="T37" s="51"/>
      <c r="U37" s="51">
        <f t="shared" si="3"/>
        <v>41996391</v>
      </c>
      <c r="V37" s="51"/>
      <c r="W37" s="51">
        <f t="shared" si="4"/>
        <v>0</v>
      </c>
      <c r="X37" s="51"/>
      <c r="Y37" s="95" t="s">
        <v>194</v>
      </c>
      <c r="Z37" s="51"/>
      <c r="AA37" s="47">
        <v>15641280</v>
      </c>
      <c r="AB37" s="47"/>
      <c r="AC37" s="47">
        <f>8901692-2462580</f>
        <v>6439112</v>
      </c>
      <c r="AD37" s="47"/>
      <c r="AE37" s="47">
        <v>2462580</v>
      </c>
      <c r="AF37" s="47"/>
      <c r="AG37" s="52">
        <f t="shared" si="5"/>
        <v>6739588</v>
      </c>
      <c r="AH37" s="52"/>
      <c r="AI37" s="52">
        <v>-4319055</v>
      </c>
      <c r="AJ37" s="52"/>
      <c r="AK37" s="47">
        <v>189067</v>
      </c>
      <c r="AL37" s="47"/>
      <c r="AM37" s="47">
        <v>7265</v>
      </c>
      <c r="AN37" s="47"/>
      <c r="AO37" s="47">
        <v>593456</v>
      </c>
      <c r="AP37" s="47"/>
      <c r="AQ37" s="52">
        <f t="shared" si="6"/>
        <v>3195791</v>
      </c>
      <c r="AR37" s="52"/>
      <c r="AS37" s="47">
        <v>0</v>
      </c>
      <c r="AT37" s="47"/>
      <c r="AU37" s="47">
        <v>0</v>
      </c>
      <c r="AV37" s="47"/>
      <c r="AW37" s="47">
        <f t="shared" si="7"/>
        <v>2006000</v>
      </c>
      <c r="AX37" s="47"/>
      <c r="AY37" s="95" t="s">
        <v>194</v>
      </c>
      <c r="AZ37" s="47"/>
      <c r="BA37" s="47">
        <v>0</v>
      </c>
      <c r="BB37" s="47"/>
      <c r="BC37" s="47">
        <v>73021720</v>
      </c>
      <c r="BD37" s="47"/>
      <c r="BE37" s="47">
        <v>6051269</v>
      </c>
      <c r="BF37" s="47"/>
      <c r="BG37" s="47">
        <f>14554218+1804762</f>
        <v>16358980</v>
      </c>
      <c r="BH37" s="47"/>
      <c r="BI37" s="47"/>
      <c r="BJ37" s="47"/>
      <c r="BK37" s="47">
        <f t="shared" si="8"/>
        <v>95431969</v>
      </c>
      <c r="BL37" s="1"/>
    </row>
    <row r="38" spans="1:64" ht="12.75">
      <c r="A38" s="40" t="s">
        <v>36</v>
      </c>
      <c r="B38" s="40"/>
      <c r="C38" s="51">
        <f t="shared" si="0"/>
        <v>207194</v>
      </c>
      <c r="D38" s="51"/>
      <c r="E38" s="51">
        <v>806376</v>
      </c>
      <c r="F38" s="51"/>
      <c r="G38" s="51">
        <v>1013570</v>
      </c>
      <c r="H38" s="51"/>
      <c r="I38" s="51">
        <f t="shared" si="1"/>
        <v>25372</v>
      </c>
      <c r="J38" s="51"/>
      <c r="K38" s="51">
        <f t="shared" si="2"/>
        <v>393164</v>
      </c>
      <c r="L38" s="51"/>
      <c r="M38" s="51">
        <v>418536</v>
      </c>
      <c r="N38" s="51"/>
      <c r="O38" s="51">
        <v>417181</v>
      </c>
      <c r="P38" s="51"/>
      <c r="Q38" s="51">
        <v>0</v>
      </c>
      <c r="R38" s="51"/>
      <c r="S38" s="51">
        <v>177853</v>
      </c>
      <c r="T38" s="51"/>
      <c r="U38" s="51">
        <f t="shared" si="3"/>
        <v>595034</v>
      </c>
      <c r="V38" s="51"/>
      <c r="W38" s="51">
        <f t="shared" si="4"/>
        <v>0</v>
      </c>
      <c r="X38" s="51"/>
      <c r="Y38" s="95" t="s">
        <v>36</v>
      </c>
      <c r="Z38" s="51"/>
      <c r="AA38" s="47">
        <v>195386</v>
      </c>
      <c r="AB38" s="47"/>
      <c r="AC38" s="47">
        <f>190422-20851</f>
        <v>169571</v>
      </c>
      <c r="AD38" s="47"/>
      <c r="AE38" s="47">
        <v>20851</v>
      </c>
      <c r="AF38" s="47"/>
      <c r="AG38" s="52">
        <f t="shared" si="5"/>
        <v>4964</v>
      </c>
      <c r="AH38" s="52"/>
      <c r="AI38" s="52">
        <v>-19656</v>
      </c>
      <c r="AJ38" s="52"/>
      <c r="AK38" s="47">
        <v>15100</v>
      </c>
      <c r="AL38" s="47"/>
      <c r="AM38" s="47">
        <v>0</v>
      </c>
      <c r="AN38" s="47"/>
      <c r="AO38" s="47">
        <v>0</v>
      </c>
      <c r="AP38" s="47"/>
      <c r="AQ38" s="52">
        <f t="shared" si="6"/>
        <v>408</v>
      </c>
      <c r="AR38" s="52"/>
      <c r="AS38" s="47">
        <v>0</v>
      </c>
      <c r="AT38" s="47"/>
      <c r="AU38" s="47">
        <v>0</v>
      </c>
      <c r="AV38" s="47"/>
      <c r="AW38" s="47">
        <f t="shared" si="7"/>
        <v>181822</v>
      </c>
      <c r="AX38" s="47"/>
      <c r="AY38" s="95" t="s">
        <v>36</v>
      </c>
      <c r="AZ38" s="47"/>
      <c r="BA38" s="47">
        <v>0</v>
      </c>
      <c r="BB38" s="47"/>
      <c r="BC38" s="47">
        <v>0</v>
      </c>
      <c r="BD38" s="47"/>
      <c r="BE38" s="47">
        <v>389195</v>
      </c>
      <c r="BF38" s="47"/>
      <c r="BG38" s="47">
        <v>3969</v>
      </c>
      <c r="BH38" s="47"/>
      <c r="BI38" s="47"/>
      <c r="BJ38" s="47"/>
      <c r="BK38" s="47">
        <f t="shared" si="8"/>
        <v>393164</v>
      </c>
      <c r="BL38" s="1"/>
    </row>
    <row r="39" spans="1:64" ht="12.75">
      <c r="A39" s="40" t="s">
        <v>37</v>
      </c>
      <c r="B39" s="40"/>
      <c r="C39" s="51">
        <f t="shared" si="0"/>
        <v>983805</v>
      </c>
      <c r="D39" s="51"/>
      <c r="E39" s="51">
        <v>0</v>
      </c>
      <c r="F39" s="51"/>
      <c r="G39" s="51">
        <v>983805</v>
      </c>
      <c r="H39" s="51"/>
      <c r="I39" s="51">
        <f t="shared" si="1"/>
        <v>33700</v>
      </c>
      <c r="J39" s="51"/>
      <c r="K39" s="51">
        <f t="shared" si="2"/>
        <v>511207</v>
      </c>
      <c r="L39" s="51"/>
      <c r="M39" s="51">
        <v>544907</v>
      </c>
      <c r="N39" s="51"/>
      <c r="O39" s="51">
        <v>252441</v>
      </c>
      <c r="P39" s="51"/>
      <c r="Q39" s="51">
        <v>5589</v>
      </c>
      <c r="R39" s="51"/>
      <c r="S39" s="51">
        <v>180868</v>
      </c>
      <c r="T39" s="51"/>
      <c r="U39" s="51">
        <f t="shared" si="3"/>
        <v>438898</v>
      </c>
      <c r="V39" s="51"/>
      <c r="W39" s="51">
        <f t="shared" si="4"/>
        <v>0</v>
      </c>
      <c r="X39" s="51"/>
      <c r="Y39" s="95" t="s">
        <v>37</v>
      </c>
      <c r="Z39" s="51"/>
      <c r="AA39" s="47">
        <v>128579</v>
      </c>
      <c r="AB39" s="47"/>
      <c r="AC39" s="47">
        <f>107858-27884</f>
        <v>79974</v>
      </c>
      <c r="AD39" s="47"/>
      <c r="AE39" s="47">
        <v>27884</v>
      </c>
      <c r="AF39" s="47"/>
      <c r="AG39" s="52">
        <f t="shared" si="5"/>
        <v>20721</v>
      </c>
      <c r="AH39" s="52"/>
      <c r="AI39" s="52">
        <v>-19275</v>
      </c>
      <c r="AJ39" s="52"/>
      <c r="AK39" s="47">
        <v>0</v>
      </c>
      <c r="AL39" s="47"/>
      <c r="AM39" s="47">
        <v>0</v>
      </c>
      <c r="AN39" s="47"/>
      <c r="AO39" s="47">
        <v>7060</v>
      </c>
      <c r="AP39" s="47"/>
      <c r="AQ39" s="52">
        <f t="shared" si="6"/>
        <v>8506</v>
      </c>
      <c r="AR39" s="52"/>
      <c r="AS39" s="47">
        <v>0</v>
      </c>
      <c r="AT39" s="47"/>
      <c r="AU39" s="47">
        <v>0</v>
      </c>
      <c r="AV39" s="47"/>
      <c r="AW39" s="47">
        <f t="shared" si="7"/>
        <v>950105</v>
      </c>
      <c r="AX39" s="51"/>
      <c r="AY39" s="95" t="s">
        <v>37</v>
      </c>
      <c r="AZ39" s="51"/>
      <c r="BA39" s="47">
        <v>0</v>
      </c>
      <c r="BB39" s="47"/>
      <c r="BC39" s="47">
        <v>0</v>
      </c>
      <c r="BD39" s="47"/>
      <c r="BE39" s="47">
        <v>0</v>
      </c>
      <c r="BF39" s="47"/>
      <c r="BG39" s="47">
        <v>511207</v>
      </c>
      <c r="BH39" s="47"/>
      <c r="BI39" s="47"/>
      <c r="BJ39" s="47"/>
      <c r="BK39" s="47">
        <f t="shared" si="8"/>
        <v>511207</v>
      </c>
      <c r="BL39" s="62"/>
    </row>
    <row r="40" spans="1:64" ht="12.75">
      <c r="A40" s="40" t="s">
        <v>38</v>
      </c>
      <c r="B40" s="40"/>
      <c r="C40" s="51">
        <f t="shared" si="0"/>
        <v>0</v>
      </c>
      <c r="D40" s="51"/>
      <c r="E40" s="51">
        <v>0</v>
      </c>
      <c r="F40" s="51"/>
      <c r="G40" s="51">
        <v>0</v>
      </c>
      <c r="H40" s="51"/>
      <c r="I40" s="51">
        <f t="shared" si="1"/>
        <v>0</v>
      </c>
      <c r="J40" s="51"/>
      <c r="K40" s="51">
        <f t="shared" si="2"/>
        <v>0</v>
      </c>
      <c r="L40" s="51"/>
      <c r="M40" s="51">
        <v>0</v>
      </c>
      <c r="N40" s="51"/>
      <c r="O40" s="51">
        <v>0</v>
      </c>
      <c r="P40" s="51"/>
      <c r="Q40" s="51">
        <v>0</v>
      </c>
      <c r="R40" s="51"/>
      <c r="S40" s="51">
        <v>0</v>
      </c>
      <c r="T40" s="51"/>
      <c r="U40" s="51">
        <f t="shared" si="3"/>
        <v>0</v>
      </c>
      <c r="V40" s="51"/>
      <c r="W40" s="51">
        <f t="shared" si="4"/>
        <v>0</v>
      </c>
      <c r="X40" s="51"/>
      <c r="Y40" s="95" t="s">
        <v>38</v>
      </c>
      <c r="Z40" s="51"/>
      <c r="AA40" s="47">
        <v>0</v>
      </c>
      <c r="AB40" s="47"/>
      <c r="AC40" s="47">
        <v>0</v>
      </c>
      <c r="AD40" s="47"/>
      <c r="AE40" s="47">
        <v>0</v>
      </c>
      <c r="AF40" s="47"/>
      <c r="AG40" s="52">
        <f t="shared" si="5"/>
        <v>0</v>
      </c>
      <c r="AH40" s="52"/>
      <c r="AI40" s="52">
        <v>0</v>
      </c>
      <c r="AJ40" s="52"/>
      <c r="AK40" s="47">
        <v>0</v>
      </c>
      <c r="AL40" s="47"/>
      <c r="AM40" s="47">
        <v>0</v>
      </c>
      <c r="AN40" s="47"/>
      <c r="AO40" s="47">
        <v>0</v>
      </c>
      <c r="AP40" s="47"/>
      <c r="AQ40" s="52">
        <f t="shared" si="6"/>
        <v>0</v>
      </c>
      <c r="AR40" s="52"/>
      <c r="AS40" s="47">
        <v>0</v>
      </c>
      <c r="AT40" s="47"/>
      <c r="AU40" s="47">
        <v>0</v>
      </c>
      <c r="AV40" s="47"/>
      <c r="AW40" s="47">
        <f t="shared" si="7"/>
        <v>0</v>
      </c>
      <c r="AX40" s="47"/>
      <c r="AY40" s="95" t="s">
        <v>38</v>
      </c>
      <c r="AZ40" s="47"/>
      <c r="BA40" s="47">
        <v>0</v>
      </c>
      <c r="BB40" s="47"/>
      <c r="BC40" s="47">
        <v>0</v>
      </c>
      <c r="BD40" s="47"/>
      <c r="BE40" s="47">
        <v>0</v>
      </c>
      <c r="BF40" s="47"/>
      <c r="BG40" s="47">
        <v>0</v>
      </c>
      <c r="BH40" s="47"/>
      <c r="BI40" s="47"/>
      <c r="BJ40" s="47"/>
      <c r="BK40" s="47">
        <f t="shared" si="8"/>
        <v>0</v>
      </c>
      <c r="BL40" s="62"/>
    </row>
    <row r="41" spans="1:64" ht="12.75" hidden="1">
      <c r="A41" s="40" t="s">
        <v>177</v>
      </c>
      <c r="B41" s="40"/>
      <c r="C41" s="51">
        <f t="shared" si="0"/>
        <v>0</v>
      </c>
      <c r="D41" s="51"/>
      <c r="E41" s="51">
        <v>0</v>
      </c>
      <c r="F41" s="51"/>
      <c r="G41" s="51">
        <v>0</v>
      </c>
      <c r="H41" s="51"/>
      <c r="I41" s="51">
        <f t="shared" si="1"/>
        <v>0</v>
      </c>
      <c r="J41" s="51"/>
      <c r="K41" s="51">
        <f t="shared" si="2"/>
        <v>0</v>
      </c>
      <c r="L41" s="51"/>
      <c r="M41" s="51">
        <v>0</v>
      </c>
      <c r="N41" s="51"/>
      <c r="O41" s="51">
        <v>0</v>
      </c>
      <c r="P41" s="51"/>
      <c r="Q41" s="51">
        <v>0</v>
      </c>
      <c r="R41" s="51"/>
      <c r="S41" s="51">
        <v>0</v>
      </c>
      <c r="T41" s="51"/>
      <c r="U41" s="51">
        <f t="shared" si="3"/>
        <v>0</v>
      </c>
      <c r="V41" s="51"/>
      <c r="W41" s="51">
        <f t="shared" si="4"/>
        <v>0</v>
      </c>
      <c r="X41" s="51"/>
      <c r="Y41" s="95" t="s">
        <v>177</v>
      </c>
      <c r="Z41" s="51"/>
      <c r="AA41" s="47">
        <v>0</v>
      </c>
      <c r="AB41" s="47"/>
      <c r="AC41" s="47">
        <v>0</v>
      </c>
      <c r="AD41" s="47"/>
      <c r="AE41" s="47">
        <v>0</v>
      </c>
      <c r="AF41" s="47"/>
      <c r="AG41" s="52">
        <f t="shared" si="5"/>
        <v>0</v>
      </c>
      <c r="AH41" s="52"/>
      <c r="AI41" s="52">
        <v>0</v>
      </c>
      <c r="AJ41" s="52"/>
      <c r="AK41" s="47">
        <v>0</v>
      </c>
      <c r="AL41" s="47"/>
      <c r="AM41" s="47">
        <v>0</v>
      </c>
      <c r="AN41" s="47"/>
      <c r="AO41" s="47">
        <v>0</v>
      </c>
      <c r="AP41" s="47"/>
      <c r="AQ41" s="52">
        <f t="shared" si="6"/>
        <v>0</v>
      </c>
      <c r="AR41" s="52"/>
      <c r="AS41" s="47">
        <v>0</v>
      </c>
      <c r="AT41" s="47"/>
      <c r="AU41" s="47">
        <v>0</v>
      </c>
      <c r="AV41" s="47"/>
      <c r="AW41" s="47">
        <f t="shared" si="7"/>
        <v>0</v>
      </c>
      <c r="AX41" s="51"/>
      <c r="AY41" s="95" t="s">
        <v>177</v>
      </c>
      <c r="AZ41" s="51"/>
      <c r="BA41" s="47">
        <v>0</v>
      </c>
      <c r="BB41" s="47"/>
      <c r="BC41" s="47">
        <v>0</v>
      </c>
      <c r="BD41" s="47"/>
      <c r="BE41" s="47">
        <v>0</v>
      </c>
      <c r="BF41" s="47"/>
      <c r="BG41" s="47">
        <v>0</v>
      </c>
      <c r="BH41" s="47"/>
      <c r="BI41" s="47"/>
      <c r="BJ41" s="47"/>
      <c r="BK41" s="47">
        <f t="shared" si="8"/>
        <v>0</v>
      </c>
      <c r="BL41" s="1"/>
    </row>
    <row r="42" spans="1:64" ht="12.75" hidden="1">
      <c r="A42" s="40" t="s">
        <v>39</v>
      </c>
      <c r="B42" s="40"/>
      <c r="C42" s="51">
        <f t="shared" si="0"/>
        <v>0</v>
      </c>
      <c r="D42" s="51"/>
      <c r="E42" s="51">
        <v>0</v>
      </c>
      <c r="F42" s="51"/>
      <c r="G42" s="51">
        <v>0</v>
      </c>
      <c r="H42" s="51"/>
      <c r="I42" s="51">
        <f t="shared" si="1"/>
        <v>0</v>
      </c>
      <c r="J42" s="51"/>
      <c r="K42" s="51">
        <f t="shared" si="2"/>
        <v>0</v>
      </c>
      <c r="L42" s="51"/>
      <c r="M42" s="51">
        <v>0</v>
      </c>
      <c r="N42" s="51"/>
      <c r="O42" s="51">
        <v>0</v>
      </c>
      <c r="P42" s="51"/>
      <c r="Q42" s="51">
        <v>0</v>
      </c>
      <c r="R42" s="51"/>
      <c r="S42" s="51">
        <v>0</v>
      </c>
      <c r="T42" s="51"/>
      <c r="U42" s="51">
        <f t="shared" si="3"/>
        <v>0</v>
      </c>
      <c r="V42" s="51"/>
      <c r="W42" s="51">
        <f t="shared" si="4"/>
        <v>0</v>
      </c>
      <c r="X42" s="51"/>
      <c r="Y42" s="95" t="s">
        <v>39</v>
      </c>
      <c r="Z42" s="51"/>
      <c r="AA42" s="47">
        <v>0</v>
      </c>
      <c r="AB42" s="47"/>
      <c r="AC42" s="47">
        <v>0</v>
      </c>
      <c r="AD42" s="47"/>
      <c r="AE42" s="47">
        <v>0</v>
      </c>
      <c r="AF42" s="47"/>
      <c r="AG42" s="52">
        <f t="shared" si="5"/>
        <v>0</v>
      </c>
      <c r="AH42" s="52"/>
      <c r="AI42" s="52">
        <v>0</v>
      </c>
      <c r="AJ42" s="52"/>
      <c r="AK42" s="47">
        <v>0</v>
      </c>
      <c r="AL42" s="47"/>
      <c r="AM42" s="47">
        <v>0</v>
      </c>
      <c r="AN42" s="47"/>
      <c r="AO42" s="47">
        <v>0</v>
      </c>
      <c r="AP42" s="47"/>
      <c r="AQ42" s="52">
        <f t="shared" si="6"/>
        <v>0</v>
      </c>
      <c r="AR42" s="52"/>
      <c r="AS42" s="47">
        <v>0</v>
      </c>
      <c r="AT42" s="47"/>
      <c r="AU42" s="47">
        <v>0</v>
      </c>
      <c r="AV42" s="47"/>
      <c r="AW42" s="47">
        <f t="shared" si="7"/>
        <v>0</v>
      </c>
      <c r="AX42" s="47"/>
      <c r="AY42" s="95" t="s">
        <v>39</v>
      </c>
      <c r="AZ42" s="47"/>
      <c r="BA42" s="47">
        <v>0</v>
      </c>
      <c r="BB42" s="47"/>
      <c r="BC42" s="47">
        <v>0</v>
      </c>
      <c r="BD42" s="47"/>
      <c r="BE42" s="47">
        <v>0</v>
      </c>
      <c r="BF42" s="47"/>
      <c r="BG42" s="47">
        <v>0</v>
      </c>
      <c r="BH42" s="47"/>
      <c r="BI42" s="47"/>
      <c r="BJ42" s="47"/>
      <c r="BK42" s="47">
        <f t="shared" si="8"/>
        <v>0</v>
      </c>
      <c r="BL42" s="1"/>
    </row>
    <row r="43" spans="1:64" ht="12.75">
      <c r="A43" s="40" t="s">
        <v>40</v>
      </c>
      <c r="B43" s="40"/>
      <c r="C43" s="51">
        <f t="shared" si="0"/>
        <v>0</v>
      </c>
      <c r="D43" s="51"/>
      <c r="E43" s="51">
        <v>0</v>
      </c>
      <c r="F43" s="51"/>
      <c r="G43" s="51">
        <v>0</v>
      </c>
      <c r="H43" s="51"/>
      <c r="I43" s="51">
        <f t="shared" si="1"/>
        <v>0</v>
      </c>
      <c r="J43" s="51"/>
      <c r="K43" s="51">
        <f t="shared" si="2"/>
        <v>0</v>
      </c>
      <c r="L43" s="51"/>
      <c r="M43" s="51">
        <v>0</v>
      </c>
      <c r="N43" s="51"/>
      <c r="O43" s="51">
        <v>0</v>
      </c>
      <c r="P43" s="51"/>
      <c r="Q43" s="51">
        <v>0</v>
      </c>
      <c r="R43" s="51"/>
      <c r="S43" s="51">
        <v>0</v>
      </c>
      <c r="T43" s="51"/>
      <c r="U43" s="51">
        <f t="shared" si="3"/>
        <v>0</v>
      </c>
      <c r="V43" s="51"/>
      <c r="W43" s="51">
        <f t="shared" si="4"/>
        <v>0</v>
      </c>
      <c r="X43" s="51"/>
      <c r="Y43" s="95" t="s">
        <v>40</v>
      </c>
      <c r="Z43" s="51"/>
      <c r="AA43" s="47">
        <v>0</v>
      </c>
      <c r="AB43" s="47"/>
      <c r="AC43" s="47">
        <v>0</v>
      </c>
      <c r="AD43" s="47"/>
      <c r="AE43" s="47">
        <v>0</v>
      </c>
      <c r="AF43" s="47"/>
      <c r="AG43" s="52">
        <f t="shared" si="5"/>
        <v>0</v>
      </c>
      <c r="AH43" s="52"/>
      <c r="AI43" s="52">
        <v>0</v>
      </c>
      <c r="AJ43" s="52"/>
      <c r="AK43" s="47">
        <v>0</v>
      </c>
      <c r="AL43" s="47"/>
      <c r="AM43" s="47">
        <v>0</v>
      </c>
      <c r="AN43" s="47"/>
      <c r="AO43" s="47">
        <v>0</v>
      </c>
      <c r="AP43" s="47"/>
      <c r="AQ43" s="52">
        <f t="shared" si="6"/>
        <v>0</v>
      </c>
      <c r="AR43" s="52"/>
      <c r="AS43" s="47">
        <v>0</v>
      </c>
      <c r="AT43" s="47"/>
      <c r="AU43" s="47">
        <v>0</v>
      </c>
      <c r="AV43" s="47"/>
      <c r="AW43" s="47">
        <f t="shared" si="7"/>
        <v>0</v>
      </c>
      <c r="AX43" s="51"/>
      <c r="AY43" s="95" t="s">
        <v>40</v>
      </c>
      <c r="AZ43" s="51"/>
      <c r="BA43" s="47">
        <v>0</v>
      </c>
      <c r="BB43" s="47"/>
      <c r="BC43" s="47">
        <v>0</v>
      </c>
      <c r="BD43" s="47"/>
      <c r="BE43" s="47">
        <v>0</v>
      </c>
      <c r="BF43" s="47"/>
      <c r="BG43" s="47">
        <v>0</v>
      </c>
      <c r="BH43" s="47"/>
      <c r="BI43" s="47"/>
      <c r="BJ43" s="47"/>
      <c r="BK43" s="47">
        <f t="shared" si="8"/>
        <v>0</v>
      </c>
      <c r="BL43" s="62"/>
    </row>
    <row r="44" spans="1:64" ht="12.75" hidden="1">
      <c r="A44" s="40" t="s">
        <v>41</v>
      </c>
      <c r="B44" s="40"/>
      <c r="C44" s="51">
        <f t="shared" si="0"/>
        <v>0</v>
      </c>
      <c r="D44" s="51"/>
      <c r="E44" s="51">
        <v>0</v>
      </c>
      <c r="F44" s="51"/>
      <c r="G44" s="51">
        <v>0</v>
      </c>
      <c r="H44" s="51"/>
      <c r="I44" s="51">
        <f t="shared" si="1"/>
        <v>0</v>
      </c>
      <c r="J44" s="51"/>
      <c r="K44" s="51">
        <f t="shared" si="2"/>
        <v>0</v>
      </c>
      <c r="L44" s="51"/>
      <c r="M44" s="51">
        <v>0</v>
      </c>
      <c r="N44" s="51"/>
      <c r="O44" s="51">
        <v>0</v>
      </c>
      <c r="P44" s="51"/>
      <c r="Q44" s="51">
        <v>0</v>
      </c>
      <c r="R44" s="51"/>
      <c r="S44" s="51">
        <v>0</v>
      </c>
      <c r="T44" s="51"/>
      <c r="U44" s="51">
        <f t="shared" si="3"/>
        <v>0</v>
      </c>
      <c r="V44" s="51"/>
      <c r="W44" s="51">
        <f t="shared" si="4"/>
        <v>0</v>
      </c>
      <c r="X44" s="51"/>
      <c r="Y44" s="95" t="s">
        <v>41</v>
      </c>
      <c r="Z44" s="51"/>
      <c r="AA44" s="47">
        <v>0</v>
      </c>
      <c r="AB44" s="47"/>
      <c r="AC44" s="47">
        <v>0</v>
      </c>
      <c r="AD44" s="47"/>
      <c r="AE44" s="47">
        <v>0</v>
      </c>
      <c r="AF44" s="47"/>
      <c r="AG44" s="52">
        <f t="shared" si="5"/>
        <v>0</v>
      </c>
      <c r="AH44" s="52"/>
      <c r="AI44" s="52">
        <v>0</v>
      </c>
      <c r="AJ44" s="52"/>
      <c r="AK44" s="47">
        <v>0</v>
      </c>
      <c r="AL44" s="47"/>
      <c r="AM44" s="47">
        <v>0</v>
      </c>
      <c r="AN44" s="47"/>
      <c r="AO44" s="47">
        <v>0</v>
      </c>
      <c r="AP44" s="47"/>
      <c r="AQ44" s="52">
        <f t="shared" si="6"/>
        <v>0</v>
      </c>
      <c r="AR44" s="52"/>
      <c r="AS44" s="47">
        <v>0</v>
      </c>
      <c r="AT44" s="47"/>
      <c r="AU44" s="47">
        <v>0</v>
      </c>
      <c r="AV44" s="47"/>
      <c r="AW44" s="47">
        <f t="shared" si="7"/>
        <v>0</v>
      </c>
      <c r="AX44" s="51"/>
      <c r="AY44" s="95" t="s">
        <v>41</v>
      </c>
      <c r="AZ44" s="51"/>
      <c r="BA44" s="47">
        <v>0</v>
      </c>
      <c r="BB44" s="47"/>
      <c r="BC44" s="47">
        <v>0</v>
      </c>
      <c r="BD44" s="47"/>
      <c r="BE44" s="47">
        <v>0</v>
      </c>
      <c r="BF44" s="47"/>
      <c r="BG44" s="47">
        <v>0</v>
      </c>
      <c r="BH44" s="47"/>
      <c r="BI44" s="47"/>
      <c r="BJ44" s="47"/>
      <c r="BK44" s="47">
        <f t="shared" si="8"/>
        <v>0</v>
      </c>
      <c r="BL44" s="1"/>
    </row>
    <row r="45" spans="1:64" ht="12.75">
      <c r="A45" s="40" t="s">
        <v>42</v>
      </c>
      <c r="B45" s="40"/>
      <c r="C45" s="51">
        <f t="shared" si="0"/>
        <v>0</v>
      </c>
      <c r="D45" s="51"/>
      <c r="E45" s="51">
        <v>0</v>
      </c>
      <c r="F45" s="51"/>
      <c r="G45" s="51">
        <v>0</v>
      </c>
      <c r="H45" s="51"/>
      <c r="I45" s="51">
        <f t="shared" si="1"/>
        <v>0</v>
      </c>
      <c r="J45" s="51"/>
      <c r="K45" s="51">
        <f t="shared" si="2"/>
        <v>0</v>
      </c>
      <c r="L45" s="51"/>
      <c r="M45" s="51">
        <v>0</v>
      </c>
      <c r="N45" s="51"/>
      <c r="O45" s="51">
        <v>0</v>
      </c>
      <c r="P45" s="51"/>
      <c r="Q45" s="51">
        <v>0</v>
      </c>
      <c r="R45" s="51"/>
      <c r="S45" s="51">
        <v>0</v>
      </c>
      <c r="T45" s="51"/>
      <c r="U45" s="51">
        <f t="shared" si="3"/>
        <v>0</v>
      </c>
      <c r="V45" s="51"/>
      <c r="W45" s="51">
        <f t="shared" si="4"/>
        <v>0</v>
      </c>
      <c r="X45" s="51"/>
      <c r="Y45" s="95" t="s">
        <v>42</v>
      </c>
      <c r="Z45" s="51"/>
      <c r="AA45" s="47">
        <v>0</v>
      </c>
      <c r="AB45" s="47"/>
      <c r="AC45" s="47">
        <v>0</v>
      </c>
      <c r="AD45" s="47"/>
      <c r="AE45" s="47">
        <v>0</v>
      </c>
      <c r="AF45" s="47"/>
      <c r="AG45" s="52">
        <f t="shared" si="5"/>
        <v>0</v>
      </c>
      <c r="AH45" s="52"/>
      <c r="AI45" s="52">
        <v>0</v>
      </c>
      <c r="AJ45" s="52"/>
      <c r="AK45" s="47">
        <v>0</v>
      </c>
      <c r="AL45" s="47"/>
      <c r="AM45" s="47">
        <v>0</v>
      </c>
      <c r="AN45" s="47"/>
      <c r="AO45" s="47">
        <v>0</v>
      </c>
      <c r="AP45" s="47"/>
      <c r="AQ45" s="52">
        <f t="shared" si="6"/>
        <v>0</v>
      </c>
      <c r="AR45" s="52"/>
      <c r="AS45" s="47">
        <v>0</v>
      </c>
      <c r="AT45" s="47"/>
      <c r="AU45" s="47">
        <v>0</v>
      </c>
      <c r="AV45" s="47"/>
      <c r="AW45" s="47">
        <f t="shared" si="7"/>
        <v>0</v>
      </c>
      <c r="AX45" s="47"/>
      <c r="AY45" s="95" t="s">
        <v>42</v>
      </c>
      <c r="AZ45" s="47"/>
      <c r="BA45" s="47">
        <v>0</v>
      </c>
      <c r="BB45" s="47"/>
      <c r="BC45" s="47">
        <v>0</v>
      </c>
      <c r="BD45" s="47"/>
      <c r="BE45" s="47">
        <v>0</v>
      </c>
      <c r="BF45" s="47"/>
      <c r="BG45" s="47">
        <v>0</v>
      </c>
      <c r="BH45" s="47"/>
      <c r="BI45" s="47"/>
      <c r="BJ45" s="47"/>
      <c r="BK45" s="47">
        <f t="shared" si="8"/>
        <v>0</v>
      </c>
      <c r="BL45" s="1"/>
    </row>
    <row r="46" spans="1:64" ht="12.75">
      <c r="A46" s="40" t="s">
        <v>43</v>
      </c>
      <c r="B46" s="40"/>
      <c r="C46" s="51">
        <f t="shared" si="0"/>
        <v>1200445</v>
      </c>
      <c r="D46" s="51"/>
      <c r="E46" s="51">
        <v>4934628</v>
      </c>
      <c r="F46" s="51"/>
      <c r="G46" s="51">
        <v>6135073</v>
      </c>
      <c r="H46" s="51"/>
      <c r="I46" s="51">
        <f t="shared" si="1"/>
        <v>557324</v>
      </c>
      <c r="J46" s="51"/>
      <c r="K46" s="51">
        <f t="shared" si="2"/>
        <v>2931463</v>
      </c>
      <c r="L46" s="51"/>
      <c r="M46" s="51">
        <v>3488787</v>
      </c>
      <c r="N46" s="51"/>
      <c r="O46" s="51">
        <v>1950765</v>
      </c>
      <c r="P46" s="51"/>
      <c r="Q46" s="51">
        <v>0</v>
      </c>
      <c r="R46" s="51"/>
      <c r="S46" s="51">
        <v>695521</v>
      </c>
      <c r="T46" s="51"/>
      <c r="U46" s="51">
        <f t="shared" si="3"/>
        <v>2646286</v>
      </c>
      <c r="V46" s="51"/>
      <c r="W46" s="51">
        <f t="shared" si="4"/>
        <v>0</v>
      </c>
      <c r="X46" s="51"/>
      <c r="Y46" s="95" t="s">
        <v>43</v>
      </c>
      <c r="Z46" s="51"/>
      <c r="AA46" s="47">
        <v>902225</v>
      </c>
      <c r="AB46" s="47"/>
      <c r="AC46" s="47">
        <f>588291-213038</f>
        <v>375253</v>
      </c>
      <c r="AD46" s="47"/>
      <c r="AE46" s="47">
        <v>213038</v>
      </c>
      <c r="AF46" s="47"/>
      <c r="AG46" s="52">
        <f t="shared" si="5"/>
        <v>313934</v>
      </c>
      <c r="AH46" s="52"/>
      <c r="AI46" s="52">
        <v>-133040</v>
      </c>
      <c r="AJ46" s="52"/>
      <c r="AK46" s="47">
        <v>0</v>
      </c>
      <c r="AL46" s="47"/>
      <c r="AM46" s="47">
        <v>0</v>
      </c>
      <c r="AN46" s="47"/>
      <c r="AO46" s="47">
        <v>0</v>
      </c>
      <c r="AP46" s="47"/>
      <c r="AQ46" s="52">
        <f t="shared" si="6"/>
        <v>180894</v>
      </c>
      <c r="AR46" s="52"/>
      <c r="AS46" s="47">
        <v>0</v>
      </c>
      <c r="AT46" s="47"/>
      <c r="AU46" s="47">
        <v>0</v>
      </c>
      <c r="AV46" s="47"/>
      <c r="AW46" s="47">
        <f t="shared" si="7"/>
        <v>643121</v>
      </c>
      <c r="AX46" s="47"/>
      <c r="AY46" s="95" t="s">
        <v>43</v>
      </c>
      <c r="AZ46" s="47"/>
      <c r="BA46" s="47">
        <v>0</v>
      </c>
      <c r="BB46" s="47"/>
      <c r="BC46" s="47">
        <v>2776000</v>
      </c>
      <c r="BD46" s="47"/>
      <c r="BE46" s="47">
        <v>113363</v>
      </c>
      <c r="BF46" s="47"/>
      <c r="BG46" s="47">
        <v>42100</v>
      </c>
      <c r="BH46" s="47"/>
      <c r="BI46" s="47"/>
      <c r="BJ46" s="47"/>
      <c r="BK46" s="47">
        <f t="shared" si="8"/>
        <v>2931463</v>
      </c>
      <c r="BL46" s="62"/>
    </row>
    <row r="47" spans="1:65" ht="12.75">
      <c r="A47" s="40" t="s">
        <v>44</v>
      </c>
      <c r="B47" s="40"/>
      <c r="C47" s="51">
        <f t="shared" si="0"/>
        <v>0</v>
      </c>
      <c r="D47" s="51"/>
      <c r="E47" s="51">
        <v>0</v>
      </c>
      <c r="F47" s="51"/>
      <c r="G47" s="51">
        <v>0</v>
      </c>
      <c r="H47" s="51"/>
      <c r="I47" s="51">
        <f t="shared" si="1"/>
        <v>0</v>
      </c>
      <c r="J47" s="51"/>
      <c r="K47" s="51">
        <f t="shared" si="2"/>
        <v>0</v>
      </c>
      <c r="L47" s="51"/>
      <c r="M47" s="51">
        <v>0</v>
      </c>
      <c r="N47" s="51"/>
      <c r="O47" s="51">
        <v>0</v>
      </c>
      <c r="P47" s="51"/>
      <c r="Q47" s="51">
        <v>0</v>
      </c>
      <c r="R47" s="51"/>
      <c r="S47" s="51">
        <v>0</v>
      </c>
      <c r="T47" s="51"/>
      <c r="U47" s="51">
        <f t="shared" si="3"/>
        <v>0</v>
      </c>
      <c r="V47" s="51"/>
      <c r="W47" s="51">
        <f t="shared" si="4"/>
        <v>0</v>
      </c>
      <c r="X47" s="51"/>
      <c r="Y47" s="95" t="s">
        <v>44</v>
      </c>
      <c r="Z47" s="51"/>
      <c r="AA47" s="47">
        <v>0</v>
      </c>
      <c r="AB47" s="47"/>
      <c r="AC47" s="47">
        <v>0</v>
      </c>
      <c r="AD47" s="47"/>
      <c r="AE47" s="47">
        <v>0</v>
      </c>
      <c r="AF47" s="47"/>
      <c r="AG47" s="52">
        <f t="shared" si="5"/>
        <v>0</v>
      </c>
      <c r="AH47" s="52"/>
      <c r="AI47" s="52">
        <v>0</v>
      </c>
      <c r="AJ47" s="52"/>
      <c r="AK47" s="47">
        <v>0</v>
      </c>
      <c r="AL47" s="47"/>
      <c r="AM47" s="47">
        <v>0</v>
      </c>
      <c r="AN47" s="47"/>
      <c r="AO47" s="47">
        <v>0</v>
      </c>
      <c r="AP47" s="47"/>
      <c r="AQ47" s="52">
        <f t="shared" si="6"/>
        <v>0</v>
      </c>
      <c r="AR47" s="52"/>
      <c r="AS47" s="47">
        <v>0</v>
      </c>
      <c r="AT47" s="47"/>
      <c r="AU47" s="47">
        <v>0</v>
      </c>
      <c r="AV47" s="47"/>
      <c r="AW47" s="47">
        <f t="shared" si="7"/>
        <v>0</v>
      </c>
      <c r="AX47" s="51"/>
      <c r="AY47" s="95" t="s">
        <v>44</v>
      </c>
      <c r="AZ47" s="51"/>
      <c r="BA47" s="47">
        <v>0</v>
      </c>
      <c r="BB47" s="47"/>
      <c r="BC47" s="47">
        <v>0</v>
      </c>
      <c r="BD47" s="47"/>
      <c r="BE47" s="47">
        <v>0</v>
      </c>
      <c r="BF47" s="47"/>
      <c r="BG47" s="47">
        <v>0</v>
      </c>
      <c r="BH47" s="47"/>
      <c r="BI47" s="47"/>
      <c r="BJ47" s="47"/>
      <c r="BK47" s="47">
        <f t="shared" si="8"/>
        <v>0</v>
      </c>
      <c r="BL47" s="62"/>
      <c r="BM47" s="1"/>
    </row>
    <row r="48" spans="1:64" ht="12.75" hidden="1">
      <c r="A48" s="40" t="s">
        <v>45</v>
      </c>
      <c r="B48" s="40"/>
      <c r="C48" s="51">
        <f t="shared" si="0"/>
        <v>0</v>
      </c>
      <c r="D48" s="51"/>
      <c r="E48" s="51">
        <v>0</v>
      </c>
      <c r="F48" s="51"/>
      <c r="G48" s="51">
        <v>0</v>
      </c>
      <c r="H48" s="51"/>
      <c r="I48" s="51">
        <f t="shared" si="1"/>
        <v>0</v>
      </c>
      <c r="J48" s="51"/>
      <c r="K48" s="51">
        <f t="shared" si="2"/>
        <v>0</v>
      </c>
      <c r="L48" s="51"/>
      <c r="M48" s="51">
        <v>0</v>
      </c>
      <c r="N48" s="51"/>
      <c r="O48" s="51">
        <v>0</v>
      </c>
      <c r="P48" s="51"/>
      <c r="Q48" s="51">
        <v>0</v>
      </c>
      <c r="R48" s="51"/>
      <c r="S48" s="51">
        <v>0</v>
      </c>
      <c r="T48" s="51"/>
      <c r="U48" s="51">
        <f t="shared" si="3"/>
        <v>0</v>
      </c>
      <c r="V48" s="51"/>
      <c r="W48" s="51">
        <f t="shared" si="4"/>
        <v>0</v>
      </c>
      <c r="X48" s="51"/>
      <c r="Y48" s="95" t="s">
        <v>45</v>
      </c>
      <c r="Z48" s="51"/>
      <c r="AA48" s="47">
        <v>0</v>
      </c>
      <c r="AB48" s="47"/>
      <c r="AC48" s="47">
        <v>0</v>
      </c>
      <c r="AD48" s="47"/>
      <c r="AE48" s="47">
        <v>0</v>
      </c>
      <c r="AF48" s="47"/>
      <c r="AG48" s="52">
        <f t="shared" si="5"/>
        <v>0</v>
      </c>
      <c r="AH48" s="52"/>
      <c r="AI48" s="52">
        <v>0</v>
      </c>
      <c r="AJ48" s="52"/>
      <c r="AK48" s="47">
        <v>0</v>
      </c>
      <c r="AL48" s="47"/>
      <c r="AM48" s="47">
        <v>0</v>
      </c>
      <c r="AN48" s="47"/>
      <c r="AO48" s="47">
        <v>0</v>
      </c>
      <c r="AP48" s="47"/>
      <c r="AQ48" s="52">
        <f t="shared" si="6"/>
        <v>0</v>
      </c>
      <c r="AR48" s="52"/>
      <c r="AS48" s="47">
        <v>0</v>
      </c>
      <c r="AT48" s="47"/>
      <c r="AU48" s="47">
        <v>0</v>
      </c>
      <c r="AV48" s="47"/>
      <c r="AW48" s="47">
        <f t="shared" si="7"/>
        <v>0</v>
      </c>
      <c r="AX48" s="47"/>
      <c r="AY48" s="95" t="s">
        <v>45</v>
      </c>
      <c r="AZ48" s="47"/>
      <c r="BA48" s="47">
        <v>0</v>
      </c>
      <c r="BB48" s="47"/>
      <c r="BC48" s="47">
        <v>0</v>
      </c>
      <c r="BD48" s="47"/>
      <c r="BE48" s="47">
        <v>0</v>
      </c>
      <c r="BF48" s="47"/>
      <c r="BG48" s="47">
        <v>0</v>
      </c>
      <c r="BH48" s="47"/>
      <c r="BI48" s="47"/>
      <c r="BJ48" s="47"/>
      <c r="BK48" s="47">
        <f t="shared" si="8"/>
        <v>0</v>
      </c>
      <c r="BL48" s="1"/>
    </row>
    <row r="49" spans="1:64" ht="12.75">
      <c r="A49" s="40" t="s">
        <v>46</v>
      </c>
      <c r="B49" s="40"/>
      <c r="C49" s="51">
        <f t="shared" si="0"/>
        <v>980481</v>
      </c>
      <c r="D49" s="51"/>
      <c r="E49" s="51">
        <v>16697679</v>
      </c>
      <c r="F49" s="51"/>
      <c r="G49" s="51">
        <v>17678160</v>
      </c>
      <c r="H49" s="51"/>
      <c r="I49" s="51">
        <f t="shared" si="1"/>
        <v>2575379</v>
      </c>
      <c r="J49" s="51"/>
      <c r="K49" s="51">
        <f t="shared" si="2"/>
        <v>2224548</v>
      </c>
      <c r="L49" s="51"/>
      <c r="M49" s="51">
        <v>4799927</v>
      </c>
      <c r="N49" s="51"/>
      <c r="O49" s="51">
        <v>11660900</v>
      </c>
      <c r="P49" s="51"/>
      <c r="Q49" s="51">
        <v>318359</v>
      </c>
      <c r="R49" s="51"/>
      <c r="S49" s="51">
        <v>898974</v>
      </c>
      <c r="T49" s="51"/>
      <c r="U49" s="51">
        <f t="shared" si="3"/>
        <v>12878233</v>
      </c>
      <c r="V49" s="51"/>
      <c r="W49" s="51">
        <f t="shared" si="4"/>
        <v>0</v>
      </c>
      <c r="X49" s="51"/>
      <c r="Y49" s="95" t="s">
        <v>46</v>
      </c>
      <c r="Z49" s="51"/>
      <c r="AA49" s="47">
        <v>881449</v>
      </c>
      <c r="AB49" s="47"/>
      <c r="AC49" s="47">
        <f>1150438-614723</f>
        <v>535715</v>
      </c>
      <c r="AD49" s="47"/>
      <c r="AE49" s="47">
        <v>614723</v>
      </c>
      <c r="AF49" s="47"/>
      <c r="AG49" s="52">
        <f t="shared" si="5"/>
        <v>-268989</v>
      </c>
      <c r="AH49" s="52"/>
      <c r="AI49" s="52">
        <v>-133145</v>
      </c>
      <c r="AJ49" s="52"/>
      <c r="AK49" s="47">
        <v>0</v>
      </c>
      <c r="AL49" s="47"/>
      <c r="AM49" s="47">
        <v>0</v>
      </c>
      <c r="AN49" s="47"/>
      <c r="AO49" s="47">
        <v>26996</v>
      </c>
      <c r="AP49" s="47"/>
      <c r="AQ49" s="52">
        <f t="shared" si="6"/>
        <v>-375138</v>
      </c>
      <c r="AR49" s="52"/>
      <c r="AS49" s="47">
        <v>0</v>
      </c>
      <c r="AT49" s="47"/>
      <c r="AU49" s="47">
        <v>0</v>
      </c>
      <c r="AV49" s="47"/>
      <c r="AW49" s="47">
        <f t="shared" si="7"/>
        <v>-1594898</v>
      </c>
      <c r="AX49" s="47"/>
      <c r="AY49" s="95" t="s">
        <v>46</v>
      </c>
      <c r="AZ49" s="47"/>
      <c r="BA49" s="47">
        <v>0</v>
      </c>
      <c r="BB49" s="47"/>
      <c r="BC49" s="47">
        <v>0</v>
      </c>
      <c r="BD49" s="47"/>
      <c r="BE49" s="47">
        <f>2194748</f>
        <v>2194748</v>
      </c>
      <c r="BF49" s="47"/>
      <c r="BG49" s="47">
        <v>29800</v>
      </c>
      <c r="BH49" s="47"/>
      <c r="BI49" s="47"/>
      <c r="BJ49" s="47"/>
      <c r="BK49" s="47">
        <f t="shared" si="8"/>
        <v>2224548</v>
      </c>
      <c r="BL49" s="1"/>
    </row>
    <row r="50" spans="1:64" ht="12.75">
      <c r="A50" s="40" t="s">
        <v>47</v>
      </c>
      <c r="B50" s="40"/>
      <c r="C50" s="51">
        <f t="shared" si="0"/>
        <v>1690455</v>
      </c>
      <c r="D50" s="51"/>
      <c r="E50" s="51">
        <v>2955260</v>
      </c>
      <c r="F50" s="51"/>
      <c r="G50" s="51">
        <v>4645715</v>
      </c>
      <c r="H50" s="51"/>
      <c r="I50" s="51">
        <f t="shared" si="1"/>
        <v>69825</v>
      </c>
      <c r="J50" s="51"/>
      <c r="K50" s="51">
        <f t="shared" si="2"/>
        <v>113864</v>
      </c>
      <c r="L50" s="51"/>
      <c r="M50" s="51">
        <v>183689</v>
      </c>
      <c r="N50" s="51"/>
      <c r="O50" s="51">
        <v>2882555</v>
      </c>
      <c r="P50" s="51"/>
      <c r="Q50" s="51">
        <v>0</v>
      </c>
      <c r="R50" s="51"/>
      <c r="S50" s="51">
        <v>1579471</v>
      </c>
      <c r="T50" s="51"/>
      <c r="U50" s="51">
        <f t="shared" si="3"/>
        <v>4462026</v>
      </c>
      <c r="V50" s="51"/>
      <c r="W50" s="51">
        <f t="shared" si="4"/>
        <v>0</v>
      </c>
      <c r="X50" s="51"/>
      <c r="Y50" s="95" t="s">
        <v>47</v>
      </c>
      <c r="Z50" s="51"/>
      <c r="AA50" s="47">
        <v>1041158</v>
      </c>
      <c r="AB50" s="47"/>
      <c r="AC50" s="47">
        <f>951893-108428</f>
        <v>843465</v>
      </c>
      <c r="AD50" s="47"/>
      <c r="AE50" s="47">
        <v>108428</v>
      </c>
      <c r="AF50" s="47"/>
      <c r="AG50" s="52">
        <f t="shared" si="5"/>
        <v>89265</v>
      </c>
      <c r="AH50" s="52"/>
      <c r="AI50" s="52">
        <v>11063</v>
      </c>
      <c r="AJ50" s="52"/>
      <c r="AK50" s="47">
        <v>0</v>
      </c>
      <c r="AL50" s="47"/>
      <c r="AM50" s="47">
        <v>15181</v>
      </c>
      <c r="AN50" s="47"/>
      <c r="AO50" s="47">
        <f>644144+178508</f>
        <v>822652</v>
      </c>
      <c r="AP50" s="47"/>
      <c r="AQ50" s="52">
        <f t="shared" si="6"/>
        <v>907799</v>
      </c>
      <c r="AR50" s="52"/>
      <c r="AS50" s="47">
        <v>0</v>
      </c>
      <c r="AT50" s="47"/>
      <c r="AU50" s="47">
        <v>0</v>
      </c>
      <c r="AV50" s="47"/>
      <c r="AW50" s="47">
        <f t="shared" si="7"/>
        <v>1620630</v>
      </c>
      <c r="AX50" s="47"/>
      <c r="AY50" s="95" t="s">
        <v>47</v>
      </c>
      <c r="AZ50" s="47"/>
      <c r="BA50" s="47">
        <v>0</v>
      </c>
      <c r="BB50" s="47"/>
      <c r="BC50" s="47">
        <v>0</v>
      </c>
      <c r="BD50" s="47"/>
      <c r="BE50" s="47">
        <v>70811</v>
      </c>
      <c r="BF50" s="47"/>
      <c r="BG50" s="47">
        <v>43053</v>
      </c>
      <c r="BH50" s="47"/>
      <c r="BI50" s="47"/>
      <c r="BJ50" s="47"/>
      <c r="BK50" s="47">
        <f t="shared" si="8"/>
        <v>113864</v>
      </c>
      <c r="BL50" s="65"/>
    </row>
    <row r="51" spans="1:64" ht="12.75">
      <c r="A51" s="40" t="s">
        <v>48</v>
      </c>
      <c r="B51" s="40"/>
      <c r="C51" s="51">
        <f t="shared" si="0"/>
        <v>12288586</v>
      </c>
      <c r="D51" s="51"/>
      <c r="E51" s="51">
        <v>122902107</v>
      </c>
      <c r="F51" s="51"/>
      <c r="G51" s="51">
        <v>135190693</v>
      </c>
      <c r="H51" s="51"/>
      <c r="I51" s="51">
        <f t="shared" si="1"/>
        <v>5213751</v>
      </c>
      <c r="J51" s="51"/>
      <c r="K51" s="51">
        <f t="shared" si="2"/>
        <v>39041505</v>
      </c>
      <c r="L51" s="51"/>
      <c r="M51" s="51">
        <v>44255256</v>
      </c>
      <c r="N51" s="51"/>
      <c r="O51" s="51">
        <v>80775708</v>
      </c>
      <c r="P51" s="51"/>
      <c r="Q51" s="51">
        <v>0</v>
      </c>
      <c r="R51" s="51"/>
      <c r="S51" s="51">
        <v>10159729</v>
      </c>
      <c r="T51" s="51"/>
      <c r="U51" s="51">
        <f t="shared" si="3"/>
        <v>90935437</v>
      </c>
      <c r="V51" s="51"/>
      <c r="W51" s="51">
        <f t="shared" si="4"/>
        <v>0</v>
      </c>
      <c r="X51" s="51"/>
      <c r="Y51" s="95" t="s">
        <v>48</v>
      </c>
      <c r="Z51" s="51"/>
      <c r="AA51" s="47">
        <v>14610899</v>
      </c>
      <c r="AB51" s="47"/>
      <c r="AC51" s="47">
        <f>13291163-4607592</f>
        <v>8683571</v>
      </c>
      <c r="AD51" s="47"/>
      <c r="AE51" s="47">
        <v>4607592</v>
      </c>
      <c r="AF51" s="47"/>
      <c r="AG51" s="52">
        <f t="shared" si="5"/>
        <v>1319736</v>
      </c>
      <c r="AH51" s="52"/>
      <c r="AI51" s="52">
        <v>-2130425</v>
      </c>
      <c r="AJ51" s="52"/>
      <c r="AK51" s="47">
        <v>0</v>
      </c>
      <c r="AL51" s="47"/>
      <c r="AM51" s="47">
        <v>0</v>
      </c>
      <c r="AN51" s="47"/>
      <c r="AO51" s="47">
        <f>2011449+51258</f>
        <v>2062707</v>
      </c>
      <c r="AP51" s="47"/>
      <c r="AQ51" s="52">
        <f t="shared" si="6"/>
        <v>1252018</v>
      </c>
      <c r="AR51" s="52"/>
      <c r="AS51" s="47">
        <v>0</v>
      </c>
      <c r="AT51" s="47"/>
      <c r="AU51" s="47">
        <v>0</v>
      </c>
      <c r="AV51" s="47"/>
      <c r="AW51" s="47">
        <f t="shared" si="7"/>
        <v>7074835</v>
      </c>
      <c r="AX51" s="47"/>
      <c r="AY51" s="95" t="s">
        <v>48</v>
      </c>
      <c r="AZ51" s="47"/>
      <c r="BA51" s="47">
        <v>0</v>
      </c>
      <c r="BB51" s="47"/>
      <c r="BC51" s="47">
        <v>0</v>
      </c>
      <c r="BD51" s="47"/>
      <c r="BE51" s="47">
        <v>6397653</v>
      </c>
      <c r="BF51" s="47"/>
      <c r="BG51" s="47">
        <f>717942+1627700+30298210</f>
        <v>32643852</v>
      </c>
      <c r="BH51" s="47"/>
      <c r="BI51" s="47"/>
      <c r="BJ51" s="47"/>
      <c r="BK51" s="47">
        <f t="shared" si="8"/>
        <v>39041505</v>
      </c>
      <c r="BL51" s="1"/>
    </row>
    <row r="52" spans="1:64" ht="12.75" hidden="1">
      <c r="A52" s="40" t="s">
        <v>247</v>
      </c>
      <c r="B52" s="40"/>
      <c r="C52" s="51">
        <f t="shared" si="0"/>
        <v>0</v>
      </c>
      <c r="D52" s="51"/>
      <c r="E52" s="51">
        <v>0</v>
      </c>
      <c r="F52" s="51"/>
      <c r="G52" s="51">
        <v>0</v>
      </c>
      <c r="H52" s="51"/>
      <c r="I52" s="51">
        <f t="shared" si="1"/>
        <v>0</v>
      </c>
      <c r="J52" s="51"/>
      <c r="K52" s="51">
        <f t="shared" si="2"/>
        <v>0</v>
      </c>
      <c r="L52" s="51"/>
      <c r="M52" s="51">
        <v>0</v>
      </c>
      <c r="N52" s="51"/>
      <c r="O52" s="51">
        <v>0</v>
      </c>
      <c r="P52" s="51"/>
      <c r="Q52" s="51">
        <v>0</v>
      </c>
      <c r="R52" s="51"/>
      <c r="S52" s="51">
        <v>0</v>
      </c>
      <c r="T52" s="51"/>
      <c r="U52" s="51">
        <f t="shared" si="3"/>
        <v>0</v>
      </c>
      <c r="V52" s="51"/>
      <c r="W52" s="51">
        <f t="shared" si="4"/>
        <v>0</v>
      </c>
      <c r="X52" s="51"/>
      <c r="Y52" s="95" t="s">
        <v>179</v>
      </c>
      <c r="Z52" s="51"/>
      <c r="AA52" s="47">
        <v>0</v>
      </c>
      <c r="AB52" s="47"/>
      <c r="AC52" s="47">
        <v>0</v>
      </c>
      <c r="AD52" s="47"/>
      <c r="AE52" s="47">
        <v>0</v>
      </c>
      <c r="AF52" s="47"/>
      <c r="AG52" s="52">
        <f t="shared" si="5"/>
        <v>0</v>
      </c>
      <c r="AH52" s="52"/>
      <c r="AI52" s="52">
        <v>0</v>
      </c>
      <c r="AJ52" s="52"/>
      <c r="AK52" s="47">
        <v>0</v>
      </c>
      <c r="AL52" s="47"/>
      <c r="AM52" s="47">
        <v>0</v>
      </c>
      <c r="AN52" s="47"/>
      <c r="AO52" s="47">
        <v>0</v>
      </c>
      <c r="AP52" s="47"/>
      <c r="AQ52" s="52">
        <f t="shared" si="6"/>
        <v>0</v>
      </c>
      <c r="AR52" s="52"/>
      <c r="AS52" s="47">
        <v>0</v>
      </c>
      <c r="AT52" s="47"/>
      <c r="AU52" s="47">
        <v>0</v>
      </c>
      <c r="AV52" s="47"/>
      <c r="AW52" s="47">
        <f t="shared" si="7"/>
        <v>0</v>
      </c>
      <c r="AX52" s="47"/>
      <c r="AY52" s="95" t="s">
        <v>179</v>
      </c>
      <c r="AZ52" s="47"/>
      <c r="BA52" s="47">
        <v>0</v>
      </c>
      <c r="BB52" s="47"/>
      <c r="BC52" s="47">
        <v>0</v>
      </c>
      <c r="BD52" s="47"/>
      <c r="BE52" s="47">
        <v>0</v>
      </c>
      <c r="BF52" s="47"/>
      <c r="BG52" s="47">
        <v>0</v>
      </c>
      <c r="BH52" s="47"/>
      <c r="BI52" s="47"/>
      <c r="BJ52" s="47"/>
      <c r="BK52" s="47">
        <f t="shared" si="8"/>
        <v>0</v>
      </c>
      <c r="BL52" s="1"/>
    </row>
    <row r="53" spans="1:64" ht="12.75">
      <c r="A53" s="40" t="s">
        <v>49</v>
      </c>
      <c r="B53" s="40"/>
      <c r="C53" s="51">
        <v>0</v>
      </c>
      <c r="D53" s="51"/>
      <c r="E53" s="51">
        <v>9175816</v>
      </c>
      <c r="F53" s="51"/>
      <c r="G53" s="51">
        <v>11454486</v>
      </c>
      <c r="H53" s="51"/>
      <c r="I53" s="51">
        <f t="shared" si="1"/>
        <v>196705</v>
      </c>
      <c r="J53" s="51"/>
      <c r="K53" s="51">
        <f t="shared" si="2"/>
        <v>384937</v>
      </c>
      <c r="L53" s="51"/>
      <c r="M53" s="51">
        <v>581642</v>
      </c>
      <c r="N53" s="51"/>
      <c r="O53" s="51">
        <v>8763816</v>
      </c>
      <c r="P53" s="51"/>
      <c r="Q53" s="51">
        <v>0</v>
      </c>
      <c r="R53" s="51"/>
      <c r="S53" s="51">
        <v>2109028</v>
      </c>
      <c r="T53" s="51"/>
      <c r="U53" s="51">
        <f t="shared" si="3"/>
        <v>10872844</v>
      </c>
      <c r="V53" s="51"/>
      <c r="W53" s="51">
        <f t="shared" si="4"/>
        <v>0</v>
      </c>
      <c r="X53" s="51"/>
      <c r="Y53" s="95" t="s">
        <v>49</v>
      </c>
      <c r="Z53" s="51"/>
      <c r="AA53" s="47">
        <v>2005199</v>
      </c>
      <c r="AB53" s="47"/>
      <c r="AC53" s="47">
        <f>2111627-353542</f>
        <v>1758085</v>
      </c>
      <c r="AD53" s="47"/>
      <c r="AE53" s="47">
        <v>353542</v>
      </c>
      <c r="AF53" s="47"/>
      <c r="AG53" s="52">
        <f t="shared" si="5"/>
        <v>-106428</v>
      </c>
      <c r="AH53" s="52"/>
      <c r="AI53" s="52">
        <v>-21934</v>
      </c>
      <c r="AJ53" s="52"/>
      <c r="AK53" s="47">
        <v>0</v>
      </c>
      <c r="AL53" s="47"/>
      <c r="AM53" s="47">
        <v>22985</v>
      </c>
      <c r="AN53" s="47"/>
      <c r="AO53" s="47">
        <v>0</v>
      </c>
      <c r="AP53" s="47"/>
      <c r="AQ53" s="52">
        <f t="shared" si="6"/>
        <v>-151347</v>
      </c>
      <c r="AR53" s="52"/>
      <c r="AS53" s="47">
        <v>0</v>
      </c>
      <c r="AT53" s="47"/>
      <c r="AU53" s="47">
        <v>0</v>
      </c>
      <c r="AV53" s="47"/>
      <c r="AW53" s="47">
        <f t="shared" si="7"/>
        <v>-196705</v>
      </c>
      <c r="AX53" s="47"/>
      <c r="AY53" s="95" t="s">
        <v>49</v>
      </c>
      <c r="AZ53" s="47"/>
      <c r="BA53" s="47">
        <v>0</v>
      </c>
      <c r="BB53" s="47"/>
      <c r="BC53" s="47">
        <v>316000</v>
      </c>
      <c r="BD53" s="47"/>
      <c r="BE53" s="47">
        <v>0</v>
      </c>
      <c r="BF53" s="47"/>
      <c r="BG53" s="47">
        <v>68937</v>
      </c>
      <c r="BH53" s="47"/>
      <c r="BI53" s="47"/>
      <c r="BJ53" s="47"/>
      <c r="BK53" s="47">
        <f t="shared" si="8"/>
        <v>384937</v>
      </c>
      <c r="BL53" s="1"/>
    </row>
    <row r="54" spans="1:64" ht="12.75">
      <c r="A54" s="40" t="s">
        <v>50</v>
      </c>
      <c r="B54" s="40"/>
      <c r="C54" s="51">
        <f>G54-E54</f>
        <v>0</v>
      </c>
      <c r="D54" s="51"/>
      <c r="E54" s="51">
        <v>0</v>
      </c>
      <c r="F54" s="51"/>
      <c r="G54" s="51">
        <v>0</v>
      </c>
      <c r="H54" s="51"/>
      <c r="I54" s="51">
        <f>M54-K54</f>
        <v>0</v>
      </c>
      <c r="J54" s="51"/>
      <c r="K54" s="51">
        <f>SUM(BK54)</f>
        <v>0</v>
      </c>
      <c r="L54" s="51"/>
      <c r="M54" s="51">
        <v>0</v>
      </c>
      <c r="N54" s="51"/>
      <c r="O54" s="51">
        <v>0</v>
      </c>
      <c r="P54" s="51"/>
      <c r="Q54" s="51">
        <v>0</v>
      </c>
      <c r="R54" s="51"/>
      <c r="S54" s="51">
        <v>0</v>
      </c>
      <c r="T54" s="51"/>
      <c r="U54" s="51">
        <f>SUM(O54:S54)</f>
        <v>0</v>
      </c>
      <c r="V54" s="51"/>
      <c r="W54" s="51">
        <f t="shared" si="4"/>
        <v>0</v>
      </c>
      <c r="X54" s="51"/>
      <c r="Y54" s="95" t="s">
        <v>50</v>
      </c>
      <c r="Z54" s="51"/>
      <c r="AA54" s="47">
        <v>0</v>
      </c>
      <c r="AB54" s="47"/>
      <c r="AC54" s="47">
        <v>0</v>
      </c>
      <c r="AD54" s="47"/>
      <c r="AE54" s="47">
        <v>0</v>
      </c>
      <c r="AF54" s="47"/>
      <c r="AG54" s="52">
        <f>+AA54-AC54-AE54</f>
        <v>0</v>
      </c>
      <c r="AH54" s="52"/>
      <c r="AI54" s="52">
        <v>0</v>
      </c>
      <c r="AJ54" s="52"/>
      <c r="AK54" s="47">
        <v>0</v>
      </c>
      <c r="AL54" s="47"/>
      <c r="AM54" s="47">
        <v>0</v>
      </c>
      <c r="AN54" s="47"/>
      <c r="AO54" s="47">
        <v>0</v>
      </c>
      <c r="AP54" s="47"/>
      <c r="AQ54" s="52">
        <f>+AG54+AI54+AK54-AM54+AO54</f>
        <v>0</v>
      </c>
      <c r="AR54" s="52"/>
      <c r="AS54" s="47">
        <v>0</v>
      </c>
      <c r="AT54" s="47"/>
      <c r="AU54" s="47">
        <v>0</v>
      </c>
      <c r="AV54" s="47"/>
      <c r="AW54" s="47">
        <f>+C54-I54</f>
        <v>0</v>
      </c>
      <c r="AX54" s="47"/>
      <c r="AY54" s="95" t="s">
        <v>50</v>
      </c>
      <c r="AZ54" s="47"/>
      <c r="BA54" s="47">
        <v>0</v>
      </c>
      <c r="BB54" s="47"/>
      <c r="BC54" s="47">
        <v>0</v>
      </c>
      <c r="BD54" s="47"/>
      <c r="BE54" s="47">
        <v>0</v>
      </c>
      <c r="BF54" s="47"/>
      <c r="BG54" s="47">
        <v>0</v>
      </c>
      <c r="BH54" s="47"/>
      <c r="BI54" s="47"/>
      <c r="BJ54" s="47"/>
      <c r="BK54" s="47">
        <f t="shared" si="8"/>
        <v>0</v>
      </c>
      <c r="BL54" s="1"/>
    </row>
    <row r="55" spans="1:64" ht="12.75">
      <c r="A55" s="40" t="s">
        <v>51</v>
      </c>
      <c r="B55" s="40"/>
      <c r="C55" s="51">
        <f>G55-E55</f>
        <v>350274</v>
      </c>
      <c r="D55" s="51"/>
      <c r="E55" s="51">
        <v>10395576</v>
      </c>
      <c r="F55" s="51"/>
      <c r="G55" s="51">
        <v>10745850</v>
      </c>
      <c r="H55" s="51"/>
      <c r="I55" s="51">
        <f>M55-K55</f>
        <v>475372</v>
      </c>
      <c r="J55" s="51"/>
      <c r="K55" s="51">
        <f>SUM(BK55)</f>
        <v>1369430</v>
      </c>
      <c r="L55" s="51"/>
      <c r="M55" s="51">
        <v>1844802</v>
      </c>
      <c r="N55" s="51"/>
      <c r="O55" s="51">
        <v>8955388</v>
      </c>
      <c r="P55" s="51"/>
      <c r="Q55" s="51">
        <v>0</v>
      </c>
      <c r="R55" s="51"/>
      <c r="S55" s="51">
        <v>-54340</v>
      </c>
      <c r="T55" s="51"/>
      <c r="U55" s="51">
        <f>SUM(O55:S55)</f>
        <v>8901048</v>
      </c>
      <c r="V55" s="51"/>
      <c r="W55" s="51">
        <f t="shared" si="4"/>
        <v>0</v>
      </c>
      <c r="X55" s="51"/>
      <c r="Y55" s="95" t="s">
        <v>51</v>
      </c>
      <c r="Z55" s="51"/>
      <c r="AA55" s="47">
        <v>1203983</v>
      </c>
      <c r="AB55" s="47"/>
      <c r="AC55" s="47">
        <f>1203983-281045</f>
        <v>922938</v>
      </c>
      <c r="AD55" s="47"/>
      <c r="AE55" s="47">
        <v>281045</v>
      </c>
      <c r="AF55" s="47"/>
      <c r="AG55" s="52">
        <v>-313228</v>
      </c>
      <c r="AH55" s="52"/>
      <c r="AI55" s="52">
        <v>-74001</v>
      </c>
      <c r="AJ55" s="52"/>
      <c r="AK55" s="47">
        <v>0</v>
      </c>
      <c r="AL55" s="47"/>
      <c r="AM55" s="47">
        <v>0</v>
      </c>
      <c r="AN55" s="47"/>
      <c r="AO55" s="47">
        <v>0</v>
      </c>
      <c r="AP55" s="47"/>
      <c r="AQ55" s="52">
        <f>+AG55+AI55+AK55-AM55+AO55</f>
        <v>-387229</v>
      </c>
      <c r="AR55" s="52"/>
      <c r="AS55" s="47">
        <v>0</v>
      </c>
      <c r="AT55" s="47"/>
      <c r="AU55" s="47">
        <v>0</v>
      </c>
      <c r="AV55" s="47"/>
      <c r="AW55" s="47">
        <f>+C55-I55</f>
        <v>-125098</v>
      </c>
      <c r="AX55" s="47"/>
      <c r="AY55" s="95" t="s">
        <v>51</v>
      </c>
      <c r="AZ55" s="47"/>
      <c r="BA55" s="47">
        <v>0</v>
      </c>
      <c r="BB55" s="47"/>
      <c r="BC55" s="47">
        <v>0</v>
      </c>
      <c r="BD55" s="47"/>
      <c r="BE55" s="47">
        <v>1328076</v>
      </c>
      <c r="BF55" s="47"/>
      <c r="BG55" s="47">
        <v>41354</v>
      </c>
      <c r="BH55" s="47"/>
      <c r="BI55" s="47"/>
      <c r="BJ55" s="47"/>
      <c r="BK55" s="47">
        <f t="shared" si="8"/>
        <v>1369430</v>
      </c>
      <c r="BL55" s="1"/>
    </row>
    <row r="56" spans="1:64" ht="12.75">
      <c r="A56" s="40" t="s">
        <v>195</v>
      </c>
      <c r="B56" s="40"/>
      <c r="C56" s="51">
        <f t="shared" si="0"/>
        <v>4846</v>
      </c>
      <c r="D56" s="51"/>
      <c r="E56" s="51">
        <v>13356</v>
      </c>
      <c r="F56" s="51"/>
      <c r="G56" s="51">
        <v>18202</v>
      </c>
      <c r="H56" s="51"/>
      <c r="I56" s="51">
        <f t="shared" si="1"/>
        <v>-8699</v>
      </c>
      <c r="J56" s="51"/>
      <c r="K56" s="51">
        <f t="shared" si="2"/>
        <v>9447</v>
      </c>
      <c r="L56" s="51"/>
      <c r="M56" s="51">
        <v>748</v>
      </c>
      <c r="N56" s="51"/>
      <c r="O56" s="51">
        <v>3500</v>
      </c>
      <c r="P56" s="51"/>
      <c r="Q56" s="51">
        <v>0</v>
      </c>
      <c r="R56" s="51"/>
      <c r="S56" s="51">
        <v>4507</v>
      </c>
      <c r="T56" s="51"/>
      <c r="U56" s="51">
        <f t="shared" si="3"/>
        <v>8007</v>
      </c>
      <c r="V56" s="51"/>
      <c r="W56" s="51">
        <f t="shared" si="4"/>
        <v>9447</v>
      </c>
      <c r="X56" s="51"/>
      <c r="Y56" s="95" t="s">
        <v>195</v>
      </c>
      <c r="Z56" s="51"/>
      <c r="AA56" s="47">
        <v>5025</v>
      </c>
      <c r="AB56" s="47"/>
      <c r="AC56" s="47">
        <f>3726-457</f>
        <v>3269</v>
      </c>
      <c r="AD56" s="47"/>
      <c r="AE56" s="47">
        <v>457</v>
      </c>
      <c r="AF56" s="47"/>
      <c r="AG56" s="52">
        <f t="shared" si="5"/>
        <v>1299</v>
      </c>
      <c r="AH56" s="52"/>
      <c r="AI56" s="52">
        <v>-613</v>
      </c>
      <c r="AJ56" s="52"/>
      <c r="AK56" s="47">
        <v>0</v>
      </c>
      <c r="AL56" s="47"/>
      <c r="AM56" s="47">
        <v>0</v>
      </c>
      <c r="AN56" s="47"/>
      <c r="AO56" s="47">
        <v>0</v>
      </c>
      <c r="AP56" s="47"/>
      <c r="AQ56" s="52">
        <f t="shared" si="6"/>
        <v>686</v>
      </c>
      <c r="AR56" s="52"/>
      <c r="AS56" s="47">
        <v>0</v>
      </c>
      <c r="AT56" s="47"/>
      <c r="AU56" s="47">
        <v>0</v>
      </c>
      <c r="AV56" s="47"/>
      <c r="AW56" s="47">
        <f t="shared" si="7"/>
        <v>13545</v>
      </c>
      <c r="AX56" s="47"/>
      <c r="AY56" s="95" t="s">
        <v>195</v>
      </c>
      <c r="AZ56" s="47"/>
      <c r="BA56" s="47">
        <v>0</v>
      </c>
      <c r="BB56" s="47"/>
      <c r="BC56" s="47">
        <v>0</v>
      </c>
      <c r="BD56" s="47"/>
      <c r="BE56" s="47">
        <f>178+9269</f>
        <v>9447</v>
      </c>
      <c r="BF56" s="47"/>
      <c r="BG56" s="47">
        <v>0</v>
      </c>
      <c r="BH56" s="47"/>
      <c r="BI56" s="47"/>
      <c r="BJ56" s="47"/>
      <c r="BK56" s="47">
        <f t="shared" si="8"/>
        <v>9447</v>
      </c>
      <c r="BL56" s="62"/>
    </row>
    <row r="57" spans="1:64" ht="12.75" hidden="1">
      <c r="A57" s="40" t="s">
        <v>52</v>
      </c>
      <c r="B57" s="40"/>
      <c r="C57" s="51">
        <f t="shared" si="0"/>
        <v>0</v>
      </c>
      <c r="D57" s="51"/>
      <c r="E57" s="51">
        <v>0</v>
      </c>
      <c r="F57" s="51"/>
      <c r="G57" s="51">
        <v>0</v>
      </c>
      <c r="H57" s="51"/>
      <c r="I57" s="51">
        <f t="shared" si="1"/>
        <v>0</v>
      </c>
      <c r="J57" s="51"/>
      <c r="K57" s="51">
        <f t="shared" si="2"/>
        <v>0</v>
      </c>
      <c r="L57" s="51"/>
      <c r="M57" s="51">
        <v>0</v>
      </c>
      <c r="N57" s="51"/>
      <c r="O57" s="51">
        <v>0</v>
      </c>
      <c r="P57" s="51"/>
      <c r="Q57" s="51">
        <v>0</v>
      </c>
      <c r="R57" s="51"/>
      <c r="S57" s="51">
        <v>0</v>
      </c>
      <c r="T57" s="51"/>
      <c r="U57" s="51">
        <f t="shared" si="3"/>
        <v>0</v>
      </c>
      <c r="V57" s="51"/>
      <c r="W57" s="51">
        <f t="shared" si="4"/>
        <v>0</v>
      </c>
      <c r="X57" s="51"/>
      <c r="Y57" s="95" t="s">
        <v>52</v>
      </c>
      <c r="Z57" s="51"/>
      <c r="AA57" s="47">
        <v>0</v>
      </c>
      <c r="AB57" s="47"/>
      <c r="AC57" s="47">
        <v>0</v>
      </c>
      <c r="AD57" s="47"/>
      <c r="AE57" s="47">
        <v>0</v>
      </c>
      <c r="AF57" s="47"/>
      <c r="AG57" s="52">
        <f t="shared" si="5"/>
        <v>0</v>
      </c>
      <c r="AH57" s="52"/>
      <c r="AI57" s="52">
        <v>0</v>
      </c>
      <c r="AJ57" s="52"/>
      <c r="AK57" s="47">
        <v>0</v>
      </c>
      <c r="AL57" s="47"/>
      <c r="AM57" s="47">
        <v>0</v>
      </c>
      <c r="AN57" s="47"/>
      <c r="AO57" s="47">
        <v>0</v>
      </c>
      <c r="AP57" s="47"/>
      <c r="AQ57" s="52">
        <f t="shared" si="6"/>
        <v>0</v>
      </c>
      <c r="AR57" s="52"/>
      <c r="AS57" s="47">
        <v>0</v>
      </c>
      <c r="AT57" s="47"/>
      <c r="AU57" s="47">
        <v>0</v>
      </c>
      <c r="AV57" s="47"/>
      <c r="AW57" s="47">
        <f t="shared" si="7"/>
        <v>0</v>
      </c>
      <c r="AX57" s="47"/>
      <c r="AY57" s="95" t="s">
        <v>52</v>
      </c>
      <c r="AZ57" s="47"/>
      <c r="BA57" s="47">
        <v>0</v>
      </c>
      <c r="BB57" s="47"/>
      <c r="BC57" s="47">
        <v>0</v>
      </c>
      <c r="BD57" s="47"/>
      <c r="BE57" s="47">
        <v>0</v>
      </c>
      <c r="BF57" s="47"/>
      <c r="BG57" s="47">
        <v>0</v>
      </c>
      <c r="BH57" s="47"/>
      <c r="BI57" s="47"/>
      <c r="BJ57" s="47"/>
      <c r="BK57" s="47">
        <f t="shared" si="8"/>
        <v>0</v>
      </c>
      <c r="BL57" s="1"/>
    </row>
    <row r="58" spans="1:64" ht="12.75">
      <c r="A58" s="40" t="s">
        <v>53</v>
      </c>
      <c r="B58" s="40"/>
      <c r="C58" s="51">
        <f t="shared" si="0"/>
        <v>19279901</v>
      </c>
      <c r="D58" s="51"/>
      <c r="E58" s="51">
        <v>61482802</v>
      </c>
      <c r="F58" s="51"/>
      <c r="G58" s="51">
        <v>80762703</v>
      </c>
      <c r="H58" s="51"/>
      <c r="I58" s="51">
        <f t="shared" si="1"/>
        <v>5472389</v>
      </c>
      <c r="J58" s="51"/>
      <c r="K58" s="51">
        <f t="shared" si="2"/>
        <v>26075001</v>
      </c>
      <c r="L58" s="51"/>
      <c r="M58" s="51">
        <v>31547390</v>
      </c>
      <c r="N58" s="51"/>
      <c r="O58" s="51">
        <v>33726454</v>
      </c>
      <c r="P58" s="51"/>
      <c r="Q58" s="51">
        <v>7128966</v>
      </c>
      <c r="R58" s="51"/>
      <c r="S58" s="51">
        <v>8359893</v>
      </c>
      <c r="T58" s="51"/>
      <c r="U58" s="51">
        <f t="shared" si="3"/>
        <v>49215313</v>
      </c>
      <c r="V58" s="51"/>
      <c r="W58" s="51">
        <f t="shared" si="4"/>
        <v>0</v>
      </c>
      <c r="X58" s="51"/>
      <c r="Y58" s="95" t="s">
        <v>53</v>
      </c>
      <c r="Z58" s="51"/>
      <c r="AA58" s="47">
        <v>18207750</v>
      </c>
      <c r="AB58" s="47"/>
      <c r="AC58" s="47">
        <f>15992481-2825708</f>
        <v>13166773</v>
      </c>
      <c r="AD58" s="47"/>
      <c r="AE58" s="47">
        <v>2825708</v>
      </c>
      <c r="AF58" s="47"/>
      <c r="AG58" s="52">
        <f t="shared" si="5"/>
        <v>2215269</v>
      </c>
      <c r="AH58" s="52"/>
      <c r="AI58" s="52">
        <v>-1143012</v>
      </c>
      <c r="AJ58" s="52"/>
      <c r="AK58" s="47">
        <v>8655558</v>
      </c>
      <c r="AL58" s="47"/>
      <c r="AM58" s="47">
        <v>8828158</v>
      </c>
      <c r="AN58" s="47"/>
      <c r="AO58" s="47">
        <v>1063289</v>
      </c>
      <c r="AP58" s="47"/>
      <c r="AQ58" s="52">
        <f t="shared" si="6"/>
        <v>1962946</v>
      </c>
      <c r="AR58" s="52"/>
      <c r="AS58" s="47">
        <v>0</v>
      </c>
      <c r="AT58" s="47"/>
      <c r="AU58" s="47">
        <v>0</v>
      </c>
      <c r="AV58" s="47"/>
      <c r="AW58" s="47">
        <f t="shared" si="7"/>
        <v>13807512</v>
      </c>
      <c r="AX58" s="47"/>
      <c r="AY58" s="95" t="s">
        <v>53</v>
      </c>
      <c r="AZ58" s="47"/>
      <c r="BA58" s="47">
        <v>274842</v>
      </c>
      <c r="BB58" s="47"/>
      <c r="BC58" s="47">
        <v>8065000</v>
      </c>
      <c r="BD58" s="47"/>
      <c r="BE58" s="47">
        <v>17033976</v>
      </c>
      <c r="BF58" s="47"/>
      <c r="BG58" s="47">
        <f>323370-707505+1085318</f>
        <v>701183</v>
      </c>
      <c r="BH58" s="47"/>
      <c r="BI58" s="47"/>
      <c r="BJ58" s="47"/>
      <c r="BK58" s="47">
        <f t="shared" si="8"/>
        <v>26075001</v>
      </c>
      <c r="BL58" s="62"/>
    </row>
    <row r="59" spans="1:64" ht="12.75">
      <c r="A59" s="40" t="s">
        <v>54</v>
      </c>
      <c r="B59" s="40"/>
      <c r="C59" s="51">
        <f t="shared" si="0"/>
        <v>1909500</v>
      </c>
      <c r="D59" s="51"/>
      <c r="E59" s="51">
        <v>9965368</v>
      </c>
      <c r="F59" s="51"/>
      <c r="G59" s="51">
        <v>11874868</v>
      </c>
      <c r="H59" s="51"/>
      <c r="I59" s="51">
        <f t="shared" si="1"/>
        <v>75810</v>
      </c>
      <c r="J59" s="51"/>
      <c r="K59" s="51">
        <f t="shared" si="2"/>
        <v>3397203</v>
      </c>
      <c r="L59" s="51"/>
      <c r="M59" s="51">
        <v>3473013</v>
      </c>
      <c r="N59" s="51"/>
      <c r="O59" s="51">
        <v>6143077</v>
      </c>
      <c r="P59" s="51"/>
      <c r="Q59" s="51">
        <v>348241</v>
      </c>
      <c r="R59" s="51"/>
      <c r="S59" s="51">
        <v>1910537</v>
      </c>
      <c r="T59" s="51"/>
      <c r="U59" s="51">
        <f t="shared" si="3"/>
        <v>8401855</v>
      </c>
      <c r="V59" s="51"/>
      <c r="W59" s="51">
        <f t="shared" si="4"/>
        <v>0</v>
      </c>
      <c r="X59" s="51"/>
      <c r="Y59" s="95" t="s">
        <v>54</v>
      </c>
      <c r="Z59" s="51"/>
      <c r="AA59" s="47">
        <v>1066266</v>
      </c>
      <c r="AB59" s="47"/>
      <c r="AC59" s="47">
        <f>1217288-331246</f>
        <v>886042</v>
      </c>
      <c r="AD59" s="47"/>
      <c r="AE59" s="47">
        <v>331246</v>
      </c>
      <c r="AF59" s="47"/>
      <c r="AG59" s="52">
        <f t="shared" si="5"/>
        <v>-151022</v>
      </c>
      <c r="AH59" s="52"/>
      <c r="AI59" s="52">
        <v>-118912</v>
      </c>
      <c r="AJ59" s="52"/>
      <c r="AK59" s="47">
        <v>0</v>
      </c>
      <c r="AL59" s="47"/>
      <c r="AM59" s="47">
        <v>0</v>
      </c>
      <c r="AN59" s="47"/>
      <c r="AO59" s="47">
        <v>79844</v>
      </c>
      <c r="AP59" s="47"/>
      <c r="AQ59" s="52">
        <f t="shared" si="6"/>
        <v>-190090</v>
      </c>
      <c r="AR59" s="52"/>
      <c r="AS59" s="47">
        <v>0</v>
      </c>
      <c r="AT59" s="47"/>
      <c r="AU59" s="47">
        <v>0</v>
      </c>
      <c r="AV59" s="47"/>
      <c r="AW59" s="47">
        <f t="shared" si="7"/>
        <v>1833690</v>
      </c>
      <c r="AX59" s="47"/>
      <c r="AY59" s="95" t="s">
        <v>54</v>
      </c>
      <c r="AZ59" s="47"/>
      <c r="BA59" s="47">
        <v>1437000</v>
      </c>
      <c r="BB59" s="47"/>
      <c r="BC59" s="47">
        <v>1301100</v>
      </c>
      <c r="BD59" s="47"/>
      <c r="BE59" s="47">
        <v>524344</v>
      </c>
      <c r="BF59" s="47"/>
      <c r="BG59" s="47">
        <f>36474+26585+56000+15700</f>
        <v>134759</v>
      </c>
      <c r="BH59" s="47"/>
      <c r="BI59" s="47"/>
      <c r="BJ59" s="47"/>
      <c r="BK59" s="47">
        <f t="shared" si="8"/>
        <v>3397203</v>
      </c>
      <c r="BL59" s="63"/>
    </row>
    <row r="60" spans="1:64" ht="12.75">
      <c r="A60" s="40" t="s">
        <v>55</v>
      </c>
      <c r="B60" s="40"/>
      <c r="C60" s="51">
        <f t="shared" si="0"/>
        <v>14007030</v>
      </c>
      <c r="D60" s="51"/>
      <c r="E60" s="51">
        <v>150315842</v>
      </c>
      <c r="F60" s="51"/>
      <c r="G60" s="51">
        <v>164322872</v>
      </c>
      <c r="H60" s="51"/>
      <c r="I60" s="51">
        <f t="shared" si="1"/>
        <v>2504473</v>
      </c>
      <c r="J60" s="51"/>
      <c r="K60" s="51">
        <f t="shared" si="2"/>
        <v>51664700</v>
      </c>
      <c r="L60" s="51"/>
      <c r="M60" s="51">
        <v>54169173</v>
      </c>
      <c r="N60" s="51"/>
      <c r="O60" s="51">
        <v>97537439</v>
      </c>
      <c r="P60" s="51"/>
      <c r="Q60" s="51">
        <v>0</v>
      </c>
      <c r="R60" s="51"/>
      <c r="S60" s="51">
        <v>12616260</v>
      </c>
      <c r="T60" s="51"/>
      <c r="U60" s="51">
        <f t="shared" si="3"/>
        <v>110153699</v>
      </c>
      <c r="V60" s="51"/>
      <c r="W60" s="51">
        <f t="shared" si="4"/>
        <v>0</v>
      </c>
      <c r="X60" s="51"/>
      <c r="Y60" s="95" t="s">
        <v>55</v>
      </c>
      <c r="Z60" s="51"/>
      <c r="AA60" s="47">
        <v>10185117</v>
      </c>
      <c r="AB60" s="47"/>
      <c r="AC60" s="47">
        <f>12306168-2861940</f>
        <v>9444228</v>
      </c>
      <c r="AD60" s="47"/>
      <c r="AE60" s="47">
        <v>2861940</v>
      </c>
      <c r="AF60" s="47"/>
      <c r="AG60" s="52">
        <f t="shared" si="5"/>
        <v>-2121051</v>
      </c>
      <c r="AH60" s="52"/>
      <c r="AI60" s="52">
        <v>-1372039</v>
      </c>
      <c r="AJ60" s="52"/>
      <c r="AK60" s="47">
        <v>0</v>
      </c>
      <c r="AL60" s="47"/>
      <c r="AM60" s="47">
        <v>0</v>
      </c>
      <c r="AN60" s="47"/>
      <c r="AO60" s="47">
        <v>6246601</v>
      </c>
      <c r="AP60" s="47"/>
      <c r="AQ60" s="52">
        <f t="shared" si="6"/>
        <v>2753511</v>
      </c>
      <c r="AR60" s="52"/>
      <c r="AS60" s="47">
        <v>0</v>
      </c>
      <c r="AT60" s="47"/>
      <c r="AU60" s="47">
        <v>0</v>
      </c>
      <c r="AV60" s="47"/>
      <c r="AW60" s="47">
        <f t="shared" si="7"/>
        <v>11502557</v>
      </c>
      <c r="AX60" s="47"/>
      <c r="AY60" s="95" t="s">
        <v>55</v>
      </c>
      <c r="AZ60" s="47"/>
      <c r="BA60" s="47">
        <v>0</v>
      </c>
      <c r="BB60" s="47"/>
      <c r="BC60" s="47">
        <v>0</v>
      </c>
      <c r="BD60" s="47"/>
      <c r="BE60" s="47">
        <v>51282853</v>
      </c>
      <c r="BF60" s="47"/>
      <c r="BG60" s="47">
        <v>381847</v>
      </c>
      <c r="BH60" s="47"/>
      <c r="BI60" s="47"/>
      <c r="BJ60" s="47"/>
      <c r="BK60" s="47">
        <f t="shared" si="8"/>
        <v>51664700</v>
      </c>
      <c r="BL60" s="63"/>
    </row>
    <row r="61" spans="1:65" ht="12.75" hidden="1">
      <c r="A61" s="28" t="s">
        <v>180</v>
      </c>
      <c r="B61" s="28"/>
      <c r="C61" s="51">
        <f t="shared" si="0"/>
        <v>0</v>
      </c>
      <c r="D61" s="51"/>
      <c r="E61" s="51">
        <v>0</v>
      </c>
      <c r="F61" s="51"/>
      <c r="G61" s="51">
        <v>0</v>
      </c>
      <c r="H61" s="51"/>
      <c r="I61" s="51">
        <f t="shared" si="1"/>
        <v>0</v>
      </c>
      <c r="J61" s="51"/>
      <c r="K61" s="51">
        <f t="shared" si="2"/>
        <v>0</v>
      </c>
      <c r="L61" s="51"/>
      <c r="M61" s="51">
        <v>0</v>
      </c>
      <c r="N61" s="51"/>
      <c r="O61" s="51">
        <v>0</v>
      </c>
      <c r="P61" s="51"/>
      <c r="Q61" s="51">
        <v>0</v>
      </c>
      <c r="R61" s="51"/>
      <c r="S61" s="51">
        <v>0</v>
      </c>
      <c r="T61" s="51"/>
      <c r="U61" s="51">
        <f t="shared" si="3"/>
        <v>0</v>
      </c>
      <c r="V61" s="51"/>
      <c r="W61" s="51">
        <f t="shared" si="4"/>
        <v>0</v>
      </c>
      <c r="X61" s="51"/>
      <c r="Y61" s="19" t="s">
        <v>180</v>
      </c>
      <c r="Z61" s="51"/>
      <c r="AA61" s="47">
        <v>0</v>
      </c>
      <c r="AB61" s="47"/>
      <c r="AC61" s="47">
        <v>0</v>
      </c>
      <c r="AD61" s="47"/>
      <c r="AE61" s="47">
        <v>0</v>
      </c>
      <c r="AF61" s="47"/>
      <c r="AG61" s="52">
        <f t="shared" si="5"/>
        <v>0</v>
      </c>
      <c r="AH61" s="52"/>
      <c r="AI61" s="52">
        <v>0</v>
      </c>
      <c r="AJ61" s="52"/>
      <c r="AK61" s="47">
        <v>0</v>
      </c>
      <c r="AL61" s="47"/>
      <c r="AM61" s="47">
        <v>0</v>
      </c>
      <c r="AN61" s="47"/>
      <c r="AO61" s="47">
        <v>0</v>
      </c>
      <c r="AP61" s="47"/>
      <c r="AQ61" s="52">
        <f t="shared" si="6"/>
        <v>0</v>
      </c>
      <c r="AR61" s="52"/>
      <c r="AS61" s="47">
        <v>0</v>
      </c>
      <c r="AT61" s="47"/>
      <c r="AU61" s="47">
        <v>0</v>
      </c>
      <c r="AV61" s="47"/>
      <c r="AW61" s="47">
        <f t="shared" si="7"/>
        <v>0</v>
      </c>
      <c r="AX61" s="51"/>
      <c r="AY61" s="19" t="s">
        <v>180</v>
      </c>
      <c r="AZ61" s="51"/>
      <c r="BA61" s="47">
        <v>0</v>
      </c>
      <c r="BB61" s="47"/>
      <c r="BC61" s="47">
        <v>0</v>
      </c>
      <c r="BD61" s="47"/>
      <c r="BE61" s="47">
        <v>0</v>
      </c>
      <c r="BF61" s="47"/>
      <c r="BG61" s="47">
        <v>0</v>
      </c>
      <c r="BH61" s="47"/>
      <c r="BI61" s="47"/>
      <c r="BJ61" s="47"/>
      <c r="BK61" s="47">
        <f t="shared" si="8"/>
        <v>0</v>
      </c>
      <c r="BL61" s="62"/>
      <c r="BM61" s="1"/>
    </row>
    <row r="62" spans="1:64" ht="12.75" hidden="1">
      <c r="A62" s="40" t="s">
        <v>56</v>
      </c>
      <c r="B62" s="40"/>
      <c r="C62" s="51">
        <f t="shared" si="0"/>
        <v>0</v>
      </c>
      <c r="D62" s="51"/>
      <c r="E62" s="51">
        <v>0</v>
      </c>
      <c r="F62" s="51"/>
      <c r="G62" s="51">
        <v>0</v>
      </c>
      <c r="H62" s="51"/>
      <c r="I62" s="51">
        <f t="shared" si="1"/>
        <v>0</v>
      </c>
      <c r="J62" s="51"/>
      <c r="K62" s="51">
        <f t="shared" si="2"/>
        <v>0</v>
      </c>
      <c r="L62" s="51"/>
      <c r="M62" s="51">
        <v>0</v>
      </c>
      <c r="N62" s="51"/>
      <c r="O62" s="51">
        <v>0</v>
      </c>
      <c r="P62" s="51"/>
      <c r="Q62" s="51">
        <v>0</v>
      </c>
      <c r="R62" s="51"/>
      <c r="S62" s="51">
        <v>0</v>
      </c>
      <c r="T62" s="51"/>
      <c r="U62" s="51">
        <f t="shared" si="3"/>
        <v>0</v>
      </c>
      <c r="V62" s="51"/>
      <c r="W62" s="51">
        <f t="shared" si="4"/>
        <v>0</v>
      </c>
      <c r="X62" s="51"/>
      <c r="Y62" s="95" t="s">
        <v>56</v>
      </c>
      <c r="Z62" s="51"/>
      <c r="AA62" s="47">
        <v>0</v>
      </c>
      <c r="AB62" s="47"/>
      <c r="AC62" s="47">
        <v>0</v>
      </c>
      <c r="AD62" s="47"/>
      <c r="AE62" s="47">
        <v>0</v>
      </c>
      <c r="AF62" s="47"/>
      <c r="AG62" s="52">
        <f t="shared" si="5"/>
        <v>0</v>
      </c>
      <c r="AH62" s="52"/>
      <c r="AI62" s="52">
        <v>0</v>
      </c>
      <c r="AJ62" s="52"/>
      <c r="AK62" s="47">
        <v>0</v>
      </c>
      <c r="AL62" s="47"/>
      <c r="AM62" s="47">
        <v>0</v>
      </c>
      <c r="AN62" s="47"/>
      <c r="AO62" s="47">
        <v>0</v>
      </c>
      <c r="AP62" s="47"/>
      <c r="AQ62" s="52">
        <f t="shared" si="6"/>
        <v>0</v>
      </c>
      <c r="AR62" s="52"/>
      <c r="AS62" s="47">
        <v>0</v>
      </c>
      <c r="AT62" s="47"/>
      <c r="AU62" s="47">
        <v>0</v>
      </c>
      <c r="AV62" s="47"/>
      <c r="AW62" s="47">
        <f t="shared" si="7"/>
        <v>0</v>
      </c>
      <c r="AX62" s="47"/>
      <c r="AY62" s="95" t="s">
        <v>56</v>
      </c>
      <c r="AZ62" s="47"/>
      <c r="BA62" s="47">
        <v>0</v>
      </c>
      <c r="BB62" s="47"/>
      <c r="BC62" s="47">
        <v>0</v>
      </c>
      <c r="BD62" s="47"/>
      <c r="BE62" s="47">
        <v>0</v>
      </c>
      <c r="BF62" s="47"/>
      <c r="BG62" s="47">
        <v>0</v>
      </c>
      <c r="BH62" s="47"/>
      <c r="BI62" s="47"/>
      <c r="BJ62" s="47"/>
      <c r="BK62" s="47">
        <f t="shared" si="8"/>
        <v>0</v>
      </c>
      <c r="BL62" s="1"/>
    </row>
    <row r="63" spans="1:64" ht="12.75">
      <c r="A63" s="40" t="s">
        <v>57</v>
      </c>
      <c r="B63" s="40"/>
      <c r="C63" s="51">
        <f t="shared" si="0"/>
        <v>197095</v>
      </c>
      <c r="D63" s="51"/>
      <c r="E63" s="51">
        <v>4880308</v>
      </c>
      <c r="F63" s="51"/>
      <c r="G63" s="51">
        <v>5077403</v>
      </c>
      <c r="H63" s="51"/>
      <c r="I63" s="51">
        <f t="shared" si="1"/>
        <v>310915</v>
      </c>
      <c r="J63" s="51"/>
      <c r="K63" s="51">
        <f t="shared" si="2"/>
        <v>2446108</v>
      </c>
      <c r="L63" s="51"/>
      <c r="M63" s="51">
        <v>2757023</v>
      </c>
      <c r="N63" s="51"/>
      <c r="O63" s="51">
        <v>2300680</v>
      </c>
      <c r="P63" s="51"/>
      <c r="Q63" s="51">
        <v>0</v>
      </c>
      <c r="R63" s="51"/>
      <c r="S63" s="51">
        <v>19700</v>
      </c>
      <c r="T63" s="51"/>
      <c r="U63" s="51">
        <f t="shared" si="3"/>
        <v>2320380</v>
      </c>
      <c r="V63" s="51"/>
      <c r="W63" s="51">
        <f t="shared" si="4"/>
        <v>0</v>
      </c>
      <c r="X63" s="51"/>
      <c r="Y63" s="95" t="s">
        <v>57</v>
      </c>
      <c r="Z63" s="51"/>
      <c r="AA63" s="47">
        <v>1147095</v>
      </c>
      <c r="AB63" s="47"/>
      <c r="AC63" s="47">
        <f>1337528-161159</f>
        <v>1176369</v>
      </c>
      <c r="AD63" s="47"/>
      <c r="AE63" s="47">
        <v>161159</v>
      </c>
      <c r="AF63" s="47"/>
      <c r="AG63" s="52">
        <f t="shared" si="5"/>
        <v>-190433</v>
      </c>
      <c r="AH63" s="52"/>
      <c r="AI63" s="52">
        <v>-126392</v>
      </c>
      <c r="AJ63" s="52"/>
      <c r="AK63" s="47">
        <v>0</v>
      </c>
      <c r="AL63" s="47"/>
      <c r="AM63" s="47">
        <v>0</v>
      </c>
      <c r="AN63" s="47"/>
      <c r="AO63" s="47">
        <v>0</v>
      </c>
      <c r="AP63" s="47"/>
      <c r="AQ63" s="52">
        <f t="shared" si="6"/>
        <v>-316825</v>
      </c>
      <c r="AR63" s="52"/>
      <c r="AS63" s="47">
        <v>0</v>
      </c>
      <c r="AT63" s="47"/>
      <c r="AU63" s="47">
        <v>0</v>
      </c>
      <c r="AV63" s="47"/>
      <c r="AW63" s="47">
        <f t="shared" si="7"/>
        <v>-113820</v>
      </c>
      <c r="AX63" s="47"/>
      <c r="AY63" s="95" t="s">
        <v>57</v>
      </c>
      <c r="AZ63" s="47"/>
      <c r="BA63" s="47">
        <v>2239951</v>
      </c>
      <c r="BB63" s="47"/>
      <c r="BC63" s="47">
        <v>0</v>
      </c>
      <c r="BD63" s="47"/>
      <c r="BE63" s="47">
        <v>196000</v>
      </c>
      <c r="BF63" s="47"/>
      <c r="BG63" s="47">
        <v>10157</v>
      </c>
      <c r="BH63" s="47"/>
      <c r="BI63" s="47"/>
      <c r="BJ63" s="47"/>
      <c r="BK63" s="47">
        <f t="shared" si="8"/>
        <v>2446108</v>
      </c>
      <c r="BL63" s="63"/>
    </row>
    <row r="64" spans="1:64" ht="12.75">
      <c r="A64" s="40" t="s">
        <v>58</v>
      </c>
      <c r="B64" s="40"/>
      <c r="C64" s="51">
        <f>G64-E64</f>
        <v>0</v>
      </c>
      <c r="D64" s="51"/>
      <c r="E64" s="51">
        <v>0</v>
      </c>
      <c r="F64" s="51"/>
      <c r="G64" s="51">
        <v>0</v>
      </c>
      <c r="H64" s="51"/>
      <c r="I64" s="51">
        <f>M64-K64</f>
        <v>0</v>
      </c>
      <c r="J64" s="51"/>
      <c r="K64" s="51">
        <f>SUM(BK64)</f>
        <v>0</v>
      </c>
      <c r="L64" s="51"/>
      <c r="M64" s="51">
        <v>0</v>
      </c>
      <c r="N64" s="51"/>
      <c r="O64" s="51">
        <v>0</v>
      </c>
      <c r="P64" s="51"/>
      <c r="Q64" s="51">
        <v>0</v>
      </c>
      <c r="R64" s="51"/>
      <c r="S64" s="51">
        <v>0</v>
      </c>
      <c r="T64" s="51"/>
      <c r="U64" s="51">
        <f>SUM(O64:S64)</f>
        <v>0</v>
      </c>
      <c r="V64" s="51"/>
      <c r="W64" s="51">
        <f t="shared" si="4"/>
        <v>0</v>
      </c>
      <c r="X64" s="51"/>
      <c r="Y64" s="95" t="s">
        <v>58</v>
      </c>
      <c r="Z64" s="51"/>
      <c r="AA64" s="47">
        <v>0</v>
      </c>
      <c r="AB64" s="47"/>
      <c r="AC64" s="47">
        <v>0</v>
      </c>
      <c r="AD64" s="47"/>
      <c r="AE64" s="47">
        <v>0</v>
      </c>
      <c r="AF64" s="47"/>
      <c r="AG64" s="52">
        <f t="shared" si="5"/>
        <v>0</v>
      </c>
      <c r="AH64" s="52"/>
      <c r="AI64" s="52">
        <v>0</v>
      </c>
      <c r="AJ64" s="52"/>
      <c r="AK64" s="47">
        <v>0</v>
      </c>
      <c r="AL64" s="47"/>
      <c r="AM64" s="47">
        <v>0</v>
      </c>
      <c r="AN64" s="47"/>
      <c r="AO64" s="47">
        <v>0</v>
      </c>
      <c r="AP64" s="47"/>
      <c r="AQ64" s="52">
        <f t="shared" si="6"/>
        <v>0</v>
      </c>
      <c r="AR64" s="52"/>
      <c r="AS64" s="47">
        <v>0</v>
      </c>
      <c r="AT64" s="47"/>
      <c r="AU64" s="47">
        <v>0</v>
      </c>
      <c r="AV64" s="47"/>
      <c r="AW64" s="47">
        <f t="shared" si="7"/>
        <v>0</v>
      </c>
      <c r="AX64" s="47"/>
      <c r="AY64" s="95" t="s">
        <v>58</v>
      </c>
      <c r="AZ64" s="47"/>
      <c r="BA64" s="47">
        <v>0</v>
      </c>
      <c r="BB64" s="47"/>
      <c r="BC64" s="47">
        <v>0</v>
      </c>
      <c r="BD64" s="47"/>
      <c r="BE64" s="47">
        <v>0</v>
      </c>
      <c r="BF64" s="47"/>
      <c r="BG64" s="47">
        <v>0</v>
      </c>
      <c r="BH64" s="47"/>
      <c r="BI64" s="47"/>
      <c r="BJ64" s="47"/>
      <c r="BK64" s="47">
        <f t="shared" si="8"/>
        <v>0</v>
      </c>
      <c r="BL64" s="1"/>
    </row>
    <row r="65" spans="1:64" ht="12.75">
      <c r="A65" s="40" t="s">
        <v>59</v>
      </c>
      <c r="B65" s="40"/>
      <c r="C65" s="51">
        <f>G65-E65</f>
        <v>50556400</v>
      </c>
      <c r="D65" s="51"/>
      <c r="E65" s="51">
        <v>211819919</v>
      </c>
      <c r="F65" s="51"/>
      <c r="G65" s="51">
        <v>262376319</v>
      </c>
      <c r="H65" s="51"/>
      <c r="I65" s="51">
        <f>M65-K65</f>
        <v>13074430</v>
      </c>
      <c r="J65" s="51"/>
      <c r="K65" s="51">
        <f>SUM(BK65)</f>
        <v>84000039</v>
      </c>
      <c r="L65" s="51"/>
      <c r="M65" s="51">
        <v>97074469</v>
      </c>
      <c r="N65" s="51"/>
      <c r="O65" s="51">
        <v>123509815</v>
      </c>
      <c r="P65" s="51"/>
      <c r="Q65" s="51">
        <f>24248372+1135877</f>
        <v>25384249</v>
      </c>
      <c r="R65" s="51"/>
      <c r="S65" s="51">
        <v>16407786</v>
      </c>
      <c r="T65" s="51"/>
      <c r="U65" s="51">
        <f>SUM(O65:S65)</f>
        <v>165301850</v>
      </c>
      <c r="V65" s="51"/>
      <c r="W65" s="51">
        <f t="shared" si="4"/>
        <v>0</v>
      </c>
      <c r="X65" s="51"/>
      <c r="Y65" s="95" t="s">
        <v>59</v>
      </c>
      <c r="Z65" s="51"/>
      <c r="AA65" s="47">
        <v>36234276</v>
      </c>
      <c r="AB65" s="47"/>
      <c r="AC65" s="47">
        <f>34286155-7877653</f>
        <v>26408502</v>
      </c>
      <c r="AD65" s="47"/>
      <c r="AE65" s="47">
        <v>7877653</v>
      </c>
      <c r="AF65" s="47"/>
      <c r="AG65" s="52">
        <f t="shared" si="5"/>
        <v>1948121</v>
      </c>
      <c r="AH65" s="52"/>
      <c r="AI65" s="52">
        <v>-3017196</v>
      </c>
      <c r="AJ65" s="52"/>
      <c r="AK65" s="47">
        <v>74008</v>
      </c>
      <c r="AL65" s="47"/>
      <c r="AM65" s="47">
        <v>116000</v>
      </c>
      <c r="AN65" s="47"/>
      <c r="AO65" s="47">
        <v>642141</v>
      </c>
      <c r="AP65" s="47"/>
      <c r="AQ65" s="52">
        <f t="shared" si="6"/>
        <v>-468926</v>
      </c>
      <c r="AR65" s="52"/>
      <c r="AS65" s="47">
        <v>0</v>
      </c>
      <c r="AT65" s="47"/>
      <c r="AU65" s="47">
        <v>0</v>
      </c>
      <c r="AV65" s="47"/>
      <c r="AW65" s="47">
        <f t="shared" si="7"/>
        <v>37481970</v>
      </c>
      <c r="AX65" s="47"/>
      <c r="AY65" s="95" t="s">
        <v>59</v>
      </c>
      <c r="AZ65" s="47"/>
      <c r="BA65" s="47">
        <v>22900000</v>
      </c>
      <c r="BB65" s="47"/>
      <c r="BC65" s="47">
        <v>9333935</v>
      </c>
      <c r="BD65" s="47"/>
      <c r="BE65" s="47">
        <v>0</v>
      </c>
      <c r="BF65" s="47"/>
      <c r="BG65" s="47">
        <f>51318115+1918511-1569499-456845+16083+539739</f>
        <v>51766104</v>
      </c>
      <c r="BH65" s="47"/>
      <c r="BI65" s="47"/>
      <c r="BJ65" s="47"/>
      <c r="BK65" s="47">
        <f t="shared" si="8"/>
        <v>84000039</v>
      </c>
      <c r="BL65" s="62"/>
    </row>
    <row r="66" spans="1:64" ht="12.75" hidden="1">
      <c r="A66" s="40" t="s">
        <v>60</v>
      </c>
      <c r="B66" s="40"/>
      <c r="C66" s="51">
        <f t="shared" si="0"/>
        <v>0</v>
      </c>
      <c r="D66" s="51"/>
      <c r="E66" s="51">
        <v>0</v>
      </c>
      <c r="F66" s="51"/>
      <c r="G66" s="51">
        <v>0</v>
      </c>
      <c r="H66" s="51"/>
      <c r="I66" s="51">
        <f t="shared" si="1"/>
        <v>0</v>
      </c>
      <c r="J66" s="51"/>
      <c r="K66" s="51">
        <f t="shared" si="2"/>
        <v>0</v>
      </c>
      <c r="L66" s="51"/>
      <c r="M66" s="51">
        <v>0</v>
      </c>
      <c r="N66" s="51"/>
      <c r="O66" s="51">
        <v>0</v>
      </c>
      <c r="P66" s="51"/>
      <c r="Q66" s="51">
        <v>0</v>
      </c>
      <c r="R66" s="51"/>
      <c r="S66" s="51">
        <v>0</v>
      </c>
      <c r="T66" s="51"/>
      <c r="U66" s="51">
        <f t="shared" si="3"/>
        <v>0</v>
      </c>
      <c r="V66" s="51"/>
      <c r="W66" s="51">
        <f t="shared" si="4"/>
        <v>0</v>
      </c>
      <c r="X66" s="51"/>
      <c r="Y66" s="95" t="s">
        <v>60</v>
      </c>
      <c r="Z66" s="51"/>
      <c r="AA66" s="47">
        <v>0</v>
      </c>
      <c r="AB66" s="47"/>
      <c r="AC66" s="47">
        <v>0</v>
      </c>
      <c r="AD66" s="47"/>
      <c r="AE66" s="47">
        <v>0</v>
      </c>
      <c r="AF66" s="47"/>
      <c r="AG66" s="52">
        <f t="shared" si="5"/>
        <v>0</v>
      </c>
      <c r="AH66" s="52"/>
      <c r="AI66" s="52">
        <v>0</v>
      </c>
      <c r="AJ66" s="52"/>
      <c r="AK66" s="47">
        <v>0</v>
      </c>
      <c r="AL66" s="47"/>
      <c r="AM66" s="47">
        <v>0</v>
      </c>
      <c r="AN66" s="47"/>
      <c r="AO66" s="47">
        <v>0</v>
      </c>
      <c r="AP66" s="47"/>
      <c r="AQ66" s="52">
        <f t="shared" si="6"/>
        <v>0</v>
      </c>
      <c r="AR66" s="52"/>
      <c r="AS66" s="47">
        <v>0</v>
      </c>
      <c r="AT66" s="47"/>
      <c r="AU66" s="47">
        <v>0</v>
      </c>
      <c r="AV66" s="47"/>
      <c r="AW66" s="47">
        <f t="shared" si="7"/>
        <v>0</v>
      </c>
      <c r="AX66" s="51"/>
      <c r="AY66" s="95" t="s">
        <v>60</v>
      </c>
      <c r="AZ66" s="51"/>
      <c r="BA66" s="47">
        <v>0</v>
      </c>
      <c r="BB66" s="47"/>
      <c r="BC66" s="47">
        <v>0</v>
      </c>
      <c r="BD66" s="47"/>
      <c r="BE66" s="47">
        <v>0</v>
      </c>
      <c r="BF66" s="47"/>
      <c r="BG66" s="47">
        <v>0</v>
      </c>
      <c r="BH66" s="47"/>
      <c r="BI66" s="47"/>
      <c r="BJ66" s="47"/>
      <c r="BK66" s="47">
        <f t="shared" si="8"/>
        <v>0</v>
      </c>
      <c r="BL66" s="62"/>
    </row>
    <row r="67" spans="1:64" ht="12.75">
      <c r="A67" s="40" t="s">
        <v>98</v>
      </c>
      <c r="B67" s="40"/>
      <c r="C67" s="51">
        <f t="shared" si="0"/>
        <v>0</v>
      </c>
      <c r="D67" s="51"/>
      <c r="E67" s="51">
        <v>0</v>
      </c>
      <c r="F67" s="51"/>
      <c r="G67" s="51">
        <v>0</v>
      </c>
      <c r="H67" s="51"/>
      <c r="I67" s="51">
        <f t="shared" si="1"/>
        <v>0</v>
      </c>
      <c r="J67" s="51"/>
      <c r="K67" s="51">
        <f t="shared" si="2"/>
        <v>0</v>
      </c>
      <c r="L67" s="51"/>
      <c r="M67" s="51">
        <v>0</v>
      </c>
      <c r="N67" s="51"/>
      <c r="O67" s="51">
        <v>0</v>
      </c>
      <c r="P67" s="51"/>
      <c r="Q67" s="51">
        <v>0</v>
      </c>
      <c r="R67" s="51"/>
      <c r="S67" s="51">
        <v>0</v>
      </c>
      <c r="T67" s="51"/>
      <c r="U67" s="51">
        <f t="shared" si="3"/>
        <v>0</v>
      </c>
      <c r="V67" s="51"/>
      <c r="W67" s="51">
        <f t="shared" si="4"/>
        <v>0</v>
      </c>
      <c r="X67" s="51"/>
      <c r="Y67" s="95" t="s">
        <v>98</v>
      </c>
      <c r="Z67" s="51"/>
      <c r="AA67" s="47">
        <v>0</v>
      </c>
      <c r="AB67" s="47"/>
      <c r="AC67" s="47">
        <v>0</v>
      </c>
      <c r="AD67" s="47"/>
      <c r="AE67" s="47">
        <v>0</v>
      </c>
      <c r="AF67" s="47"/>
      <c r="AG67" s="52">
        <f t="shared" si="5"/>
        <v>0</v>
      </c>
      <c r="AH67" s="52"/>
      <c r="AI67" s="52">
        <v>0</v>
      </c>
      <c r="AJ67" s="52"/>
      <c r="AK67" s="47">
        <v>0</v>
      </c>
      <c r="AL67" s="47"/>
      <c r="AM67" s="47">
        <v>0</v>
      </c>
      <c r="AN67" s="47"/>
      <c r="AO67" s="47">
        <v>0</v>
      </c>
      <c r="AP67" s="47"/>
      <c r="AQ67" s="52">
        <f t="shared" si="6"/>
        <v>0</v>
      </c>
      <c r="AR67" s="52"/>
      <c r="AS67" s="47">
        <v>0</v>
      </c>
      <c r="AT67" s="47"/>
      <c r="AU67" s="47">
        <v>0</v>
      </c>
      <c r="AV67" s="47"/>
      <c r="AW67" s="47">
        <f t="shared" si="7"/>
        <v>0</v>
      </c>
      <c r="AX67" s="47"/>
      <c r="AY67" s="95" t="s">
        <v>98</v>
      </c>
      <c r="AZ67" s="47"/>
      <c r="BA67" s="47">
        <v>0</v>
      </c>
      <c r="BB67" s="47"/>
      <c r="BC67" s="47">
        <v>0</v>
      </c>
      <c r="BD67" s="47"/>
      <c r="BE67" s="47">
        <v>0</v>
      </c>
      <c r="BF67" s="47"/>
      <c r="BG67" s="47">
        <v>0</v>
      </c>
      <c r="BH67" s="47"/>
      <c r="BI67" s="47"/>
      <c r="BJ67" s="47"/>
      <c r="BK67" s="47">
        <f t="shared" si="8"/>
        <v>0</v>
      </c>
      <c r="BL67" s="61"/>
    </row>
    <row r="68" spans="1:64" ht="12.75">
      <c r="A68" s="40" t="s">
        <v>62</v>
      </c>
      <c r="B68" s="40"/>
      <c r="C68" s="51">
        <f t="shared" si="0"/>
        <v>4858951</v>
      </c>
      <c r="D68" s="51"/>
      <c r="E68" s="51">
        <v>25124518</v>
      </c>
      <c r="F68" s="51"/>
      <c r="G68" s="51">
        <v>29983469</v>
      </c>
      <c r="H68" s="51"/>
      <c r="I68" s="51">
        <f t="shared" si="1"/>
        <v>360217</v>
      </c>
      <c r="J68" s="51"/>
      <c r="K68" s="51">
        <f t="shared" si="2"/>
        <v>5034489</v>
      </c>
      <c r="L68" s="51"/>
      <c r="M68" s="51">
        <v>5394706</v>
      </c>
      <c r="N68" s="51"/>
      <c r="O68" s="51">
        <v>19934336</v>
      </c>
      <c r="P68" s="51"/>
      <c r="Q68" s="51">
        <v>0</v>
      </c>
      <c r="R68" s="51"/>
      <c r="S68" s="51">
        <v>4654427</v>
      </c>
      <c r="T68" s="51"/>
      <c r="U68" s="51">
        <f t="shared" si="3"/>
        <v>24588763</v>
      </c>
      <c r="V68" s="51"/>
      <c r="W68" s="51">
        <f t="shared" si="4"/>
        <v>0</v>
      </c>
      <c r="X68" s="51"/>
      <c r="Y68" s="95" t="s">
        <v>62</v>
      </c>
      <c r="Z68" s="51"/>
      <c r="AA68" s="47">
        <v>1735163</v>
      </c>
      <c r="AB68" s="47"/>
      <c r="AC68" s="47">
        <f>2402900-776873</f>
        <v>1626027</v>
      </c>
      <c r="AD68" s="47"/>
      <c r="AE68" s="47">
        <v>776873</v>
      </c>
      <c r="AF68" s="47"/>
      <c r="AG68" s="52">
        <f t="shared" si="5"/>
        <v>-667737</v>
      </c>
      <c r="AH68" s="52"/>
      <c r="AI68" s="52">
        <v>-280343</v>
      </c>
      <c r="AJ68" s="52"/>
      <c r="AK68" s="47">
        <v>9819</v>
      </c>
      <c r="AL68" s="47"/>
      <c r="AM68" s="47">
        <v>36033</v>
      </c>
      <c r="AN68" s="47"/>
      <c r="AO68" s="47">
        <f>908274+315806</f>
        <v>1224080</v>
      </c>
      <c r="AP68" s="47"/>
      <c r="AQ68" s="52">
        <f t="shared" si="6"/>
        <v>249786</v>
      </c>
      <c r="AR68" s="52"/>
      <c r="AS68" s="47">
        <v>0</v>
      </c>
      <c r="AT68" s="47"/>
      <c r="AU68" s="47">
        <v>0</v>
      </c>
      <c r="AV68" s="47"/>
      <c r="AW68" s="47">
        <f t="shared" si="7"/>
        <v>4498734</v>
      </c>
      <c r="AX68" s="47"/>
      <c r="AY68" s="95" t="s">
        <v>62</v>
      </c>
      <c r="AZ68" s="47"/>
      <c r="BA68" s="47">
        <v>4179486</v>
      </c>
      <c r="BB68" s="47"/>
      <c r="BC68" s="47">
        <v>566700</v>
      </c>
      <c r="BD68" s="47"/>
      <c r="BE68" s="47">
        <v>286832</v>
      </c>
      <c r="BF68" s="47"/>
      <c r="BG68" s="47">
        <v>1471</v>
      </c>
      <c r="BH68" s="47"/>
      <c r="BI68" s="47"/>
      <c r="BJ68" s="47"/>
      <c r="BK68" s="47">
        <f t="shared" si="8"/>
        <v>5034489</v>
      </c>
      <c r="BL68" s="1"/>
    </row>
    <row r="69" spans="1:64" ht="12.75">
      <c r="A69" s="40" t="s">
        <v>63</v>
      </c>
      <c r="B69" s="40"/>
      <c r="C69" s="51">
        <f t="shared" si="0"/>
        <v>0</v>
      </c>
      <c r="D69" s="51"/>
      <c r="E69" s="51">
        <v>0</v>
      </c>
      <c r="F69" s="51"/>
      <c r="G69" s="51">
        <v>0</v>
      </c>
      <c r="H69" s="51"/>
      <c r="I69" s="51">
        <f t="shared" si="1"/>
        <v>0</v>
      </c>
      <c r="J69" s="51"/>
      <c r="K69" s="51">
        <f t="shared" si="2"/>
        <v>0</v>
      </c>
      <c r="L69" s="51"/>
      <c r="M69" s="51">
        <v>0</v>
      </c>
      <c r="N69" s="51"/>
      <c r="O69" s="51">
        <v>0</v>
      </c>
      <c r="P69" s="51"/>
      <c r="Q69" s="51">
        <v>0</v>
      </c>
      <c r="R69" s="51"/>
      <c r="S69" s="51">
        <v>0</v>
      </c>
      <c r="T69" s="51"/>
      <c r="U69" s="51">
        <f t="shared" si="3"/>
        <v>0</v>
      </c>
      <c r="V69" s="51"/>
      <c r="W69" s="51">
        <f t="shared" si="4"/>
        <v>0</v>
      </c>
      <c r="X69" s="51"/>
      <c r="Y69" s="95" t="s">
        <v>63</v>
      </c>
      <c r="Z69" s="51"/>
      <c r="AA69" s="47">
        <v>0</v>
      </c>
      <c r="AB69" s="47"/>
      <c r="AC69" s="47">
        <v>0</v>
      </c>
      <c r="AD69" s="47"/>
      <c r="AE69" s="47">
        <v>0</v>
      </c>
      <c r="AF69" s="47"/>
      <c r="AG69" s="52">
        <f t="shared" si="5"/>
        <v>0</v>
      </c>
      <c r="AH69" s="52"/>
      <c r="AI69" s="52">
        <v>0</v>
      </c>
      <c r="AJ69" s="52"/>
      <c r="AK69" s="47">
        <v>0</v>
      </c>
      <c r="AL69" s="47"/>
      <c r="AM69" s="47">
        <v>0</v>
      </c>
      <c r="AN69" s="47"/>
      <c r="AO69" s="47">
        <v>0</v>
      </c>
      <c r="AP69" s="47"/>
      <c r="AQ69" s="52">
        <f t="shared" si="6"/>
        <v>0</v>
      </c>
      <c r="AR69" s="52"/>
      <c r="AS69" s="47">
        <v>0</v>
      </c>
      <c r="AT69" s="47"/>
      <c r="AU69" s="47">
        <v>0</v>
      </c>
      <c r="AV69" s="47"/>
      <c r="AW69" s="47">
        <f t="shared" si="7"/>
        <v>0</v>
      </c>
      <c r="AX69" s="51"/>
      <c r="AY69" s="95" t="s">
        <v>63</v>
      </c>
      <c r="AZ69" s="51"/>
      <c r="BA69" s="47">
        <v>0</v>
      </c>
      <c r="BB69" s="47"/>
      <c r="BC69" s="47">
        <v>0</v>
      </c>
      <c r="BD69" s="47"/>
      <c r="BE69" s="47">
        <v>0</v>
      </c>
      <c r="BF69" s="47"/>
      <c r="BG69" s="47">
        <v>0</v>
      </c>
      <c r="BH69" s="47"/>
      <c r="BI69" s="47"/>
      <c r="BJ69" s="47"/>
      <c r="BK69" s="47">
        <f t="shared" si="8"/>
        <v>0</v>
      </c>
      <c r="BL69" s="1"/>
    </row>
    <row r="70" spans="1:64" ht="12.75">
      <c r="A70" s="40" t="s">
        <v>64</v>
      </c>
      <c r="B70" s="40"/>
      <c r="C70" s="51">
        <f t="shared" si="0"/>
        <v>0</v>
      </c>
      <c r="D70" s="51"/>
      <c r="E70" s="51">
        <v>0</v>
      </c>
      <c r="F70" s="51"/>
      <c r="G70" s="51">
        <v>0</v>
      </c>
      <c r="H70" s="51"/>
      <c r="I70" s="51">
        <f t="shared" si="1"/>
        <v>0</v>
      </c>
      <c r="J70" s="51"/>
      <c r="K70" s="51">
        <f t="shared" si="2"/>
        <v>0</v>
      </c>
      <c r="L70" s="51"/>
      <c r="M70" s="51">
        <v>0</v>
      </c>
      <c r="N70" s="51"/>
      <c r="O70" s="51">
        <v>0</v>
      </c>
      <c r="P70" s="51"/>
      <c r="Q70" s="51">
        <v>0</v>
      </c>
      <c r="R70" s="51"/>
      <c r="S70" s="51">
        <v>0</v>
      </c>
      <c r="T70" s="51"/>
      <c r="U70" s="51">
        <f t="shared" si="3"/>
        <v>0</v>
      </c>
      <c r="V70" s="51"/>
      <c r="W70" s="51">
        <f t="shared" si="4"/>
        <v>0</v>
      </c>
      <c r="X70" s="51"/>
      <c r="Y70" s="95" t="s">
        <v>64</v>
      </c>
      <c r="Z70" s="51"/>
      <c r="AA70" s="47">
        <v>0</v>
      </c>
      <c r="AB70" s="47"/>
      <c r="AC70" s="47">
        <v>0</v>
      </c>
      <c r="AD70" s="47"/>
      <c r="AE70" s="47">
        <v>0</v>
      </c>
      <c r="AF70" s="47"/>
      <c r="AG70" s="52">
        <f t="shared" si="5"/>
        <v>0</v>
      </c>
      <c r="AH70" s="52"/>
      <c r="AI70" s="52">
        <v>0</v>
      </c>
      <c r="AJ70" s="52"/>
      <c r="AK70" s="47">
        <v>0</v>
      </c>
      <c r="AL70" s="47"/>
      <c r="AM70" s="47">
        <v>0</v>
      </c>
      <c r="AN70" s="47"/>
      <c r="AO70" s="47">
        <v>0</v>
      </c>
      <c r="AP70" s="47"/>
      <c r="AQ70" s="52">
        <f t="shared" si="6"/>
        <v>0</v>
      </c>
      <c r="AR70" s="52"/>
      <c r="AS70" s="47">
        <v>0</v>
      </c>
      <c r="AT70" s="47"/>
      <c r="AU70" s="47">
        <v>0</v>
      </c>
      <c r="AV70" s="47"/>
      <c r="AW70" s="47">
        <f t="shared" si="7"/>
        <v>0</v>
      </c>
      <c r="AX70" s="47"/>
      <c r="AY70" s="95" t="s">
        <v>64</v>
      </c>
      <c r="AZ70" s="47"/>
      <c r="BA70" s="47">
        <v>0</v>
      </c>
      <c r="BB70" s="47"/>
      <c r="BC70" s="47">
        <v>0</v>
      </c>
      <c r="BD70" s="47"/>
      <c r="BE70" s="47">
        <v>0</v>
      </c>
      <c r="BF70" s="47"/>
      <c r="BG70" s="47">
        <v>0</v>
      </c>
      <c r="BH70" s="47"/>
      <c r="BI70" s="47"/>
      <c r="BJ70" s="47"/>
      <c r="BK70" s="47">
        <f t="shared" si="8"/>
        <v>0</v>
      </c>
      <c r="BL70" s="1"/>
    </row>
    <row r="71" spans="1:64" ht="12.75" hidden="1">
      <c r="A71" s="40" t="s">
        <v>137</v>
      </c>
      <c r="B71" s="40"/>
      <c r="C71" s="51">
        <f t="shared" si="0"/>
        <v>0</v>
      </c>
      <c r="D71" s="51"/>
      <c r="E71" s="51">
        <v>0</v>
      </c>
      <c r="F71" s="51"/>
      <c r="G71" s="51">
        <v>0</v>
      </c>
      <c r="H71" s="51"/>
      <c r="I71" s="51">
        <f t="shared" si="1"/>
        <v>0</v>
      </c>
      <c r="J71" s="51"/>
      <c r="K71" s="51">
        <f t="shared" si="2"/>
        <v>0</v>
      </c>
      <c r="L71" s="51"/>
      <c r="M71" s="51">
        <v>0</v>
      </c>
      <c r="N71" s="51"/>
      <c r="O71" s="51">
        <v>0</v>
      </c>
      <c r="P71" s="51"/>
      <c r="Q71" s="51">
        <v>0</v>
      </c>
      <c r="R71" s="51"/>
      <c r="S71" s="51">
        <v>0</v>
      </c>
      <c r="T71" s="51"/>
      <c r="U71" s="51">
        <f t="shared" si="3"/>
        <v>0</v>
      </c>
      <c r="V71" s="51"/>
      <c r="W71" s="51">
        <f t="shared" si="4"/>
        <v>0</v>
      </c>
      <c r="X71" s="51"/>
      <c r="Y71" s="95" t="s">
        <v>137</v>
      </c>
      <c r="Z71" s="51"/>
      <c r="AA71" s="47">
        <v>0</v>
      </c>
      <c r="AB71" s="47"/>
      <c r="AC71" s="47">
        <v>0</v>
      </c>
      <c r="AD71" s="47"/>
      <c r="AE71" s="47">
        <v>0</v>
      </c>
      <c r="AF71" s="47"/>
      <c r="AG71" s="52">
        <f t="shared" si="5"/>
        <v>0</v>
      </c>
      <c r="AH71" s="52"/>
      <c r="AI71" s="52">
        <v>0</v>
      </c>
      <c r="AJ71" s="52"/>
      <c r="AK71" s="47">
        <v>0</v>
      </c>
      <c r="AL71" s="47"/>
      <c r="AM71" s="47">
        <v>0</v>
      </c>
      <c r="AN71" s="47"/>
      <c r="AO71" s="47">
        <v>0</v>
      </c>
      <c r="AP71" s="47"/>
      <c r="AQ71" s="52">
        <f t="shared" si="6"/>
        <v>0</v>
      </c>
      <c r="AR71" s="52"/>
      <c r="AS71" s="47">
        <v>0</v>
      </c>
      <c r="AT71" s="47"/>
      <c r="AU71" s="47">
        <v>0</v>
      </c>
      <c r="AV71" s="47"/>
      <c r="AW71" s="47">
        <f t="shared" si="7"/>
        <v>0</v>
      </c>
      <c r="AX71" s="51"/>
      <c r="AY71" s="95" t="s">
        <v>137</v>
      </c>
      <c r="AZ71" s="51"/>
      <c r="BA71" s="47">
        <v>0</v>
      </c>
      <c r="BB71" s="47"/>
      <c r="BC71" s="47">
        <v>0</v>
      </c>
      <c r="BD71" s="47"/>
      <c r="BE71" s="47">
        <v>0</v>
      </c>
      <c r="BF71" s="47"/>
      <c r="BG71" s="47">
        <v>0</v>
      </c>
      <c r="BH71" s="47"/>
      <c r="BI71" s="47"/>
      <c r="BJ71" s="47"/>
      <c r="BK71" s="47">
        <f t="shared" si="8"/>
        <v>0</v>
      </c>
      <c r="BL71" s="1"/>
    </row>
    <row r="72" spans="1:64" ht="12.75" hidden="1">
      <c r="A72" s="40" t="s">
        <v>65</v>
      </c>
      <c r="B72" s="40"/>
      <c r="C72" s="51">
        <f t="shared" si="0"/>
        <v>0</v>
      </c>
      <c r="D72" s="51"/>
      <c r="E72" s="51">
        <v>0</v>
      </c>
      <c r="F72" s="51"/>
      <c r="G72" s="51">
        <v>0</v>
      </c>
      <c r="H72" s="51"/>
      <c r="I72" s="51">
        <f t="shared" si="1"/>
        <v>0</v>
      </c>
      <c r="J72" s="51"/>
      <c r="K72" s="51">
        <f t="shared" si="2"/>
        <v>0</v>
      </c>
      <c r="L72" s="51"/>
      <c r="M72" s="51">
        <v>0</v>
      </c>
      <c r="N72" s="51"/>
      <c r="O72" s="51">
        <v>0</v>
      </c>
      <c r="P72" s="51"/>
      <c r="Q72" s="51">
        <v>0</v>
      </c>
      <c r="R72" s="51"/>
      <c r="S72" s="51">
        <v>0</v>
      </c>
      <c r="T72" s="51"/>
      <c r="U72" s="51">
        <f t="shared" si="3"/>
        <v>0</v>
      </c>
      <c r="V72" s="51"/>
      <c r="W72" s="51">
        <f t="shared" si="4"/>
        <v>0</v>
      </c>
      <c r="X72" s="51"/>
      <c r="Y72" s="95" t="s">
        <v>65</v>
      </c>
      <c r="Z72" s="51"/>
      <c r="AA72" s="47">
        <v>0</v>
      </c>
      <c r="AB72" s="47"/>
      <c r="AC72" s="47">
        <v>0</v>
      </c>
      <c r="AD72" s="47"/>
      <c r="AE72" s="47">
        <v>0</v>
      </c>
      <c r="AF72" s="47"/>
      <c r="AG72" s="52">
        <f t="shared" si="5"/>
        <v>0</v>
      </c>
      <c r="AH72" s="52"/>
      <c r="AI72" s="52">
        <v>0</v>
      </c>
      <c r="AJ72" s="52"/>
      <c r="AK72" s="47">
        <v>0</v>
      </c>
      <c r="AL72" s="47"/>
      <c r="AM72" s="47">
        <v>0</v>
      </c>
      <c r="AN72" s="47"/>
      <c r="AO72" s="47">
        <v>0</v>
      </c>
      <c r="AP72" s="47"/>
      <c r="AQ72" s="52">
        <f t="shared" si="6"/>
        <v>0</v>
      </c>
      <c r="AR72" s="52"/>
      <c r="AS72" s="47">
        <v>0</v>
      </c>
      <c r="AT72" s="47"/>
      <c r="AU72" s="47">
        <v>0</v>
      </c>
      <c r="AV72" s="47"/>
      <c r="AW72" s="47">
        <f t="shared" si="7"/>
        <v>0</v>
      </c>
      <c r="AX72" s="51"/>
      <c r="AY72" s="95" t="s">
        <v>65</v>
      </c>
      <c r="AZ72" s="51"/>
      <c r="BA72" s="47">
        <v>0</v>
      </c>
      <c r="BB72" s="47"/>
      <c r="BC72" s="47">
        <v>0</v>
      </c>
      <c r="BD72" s="47"/>
      <c r="BE72" s="47">
        <v>0</v>
      </c>
      <c r="BF72" s="47"/>
      <c r="BG72" s="47">
        <v>0</v>
      </c>
      <c r="BH72" s="47"/>
      <c r="BI72" s="47"/>
      <c r="BJ72" s="47"/>
      <c r="BK72" s="47">
        <f t="shared" si="8"/>
        <v>0</v>
      </c>
      <c r="BL72" s="1"/>
    </row>
    <row r="73" spans="1:64" ht="12.75">
      <c r="A73" s="40" t="s">
        <v>66</v>
      </c>
      <c r="B73" s="40"/>
      <c r="C73" s="51">
        <f t="shared" si="0"/>
        <v>0</v>
      </c>
      <c r="D73" s="51"/>
      <c r="E73" s="51">
        <v>0</v>
      </c>
      <c r="F73" s="51"/>
      <c r="G73" s="51">
        <v>0</v>
      </c>
      <c r="H73" s="51"/>
      <c r="I73" s="51">
        <f t="shared" si="1"/>
        <v>0</v>
      </c>
      <c r="J73" s="51"/>
      <c r="K73" s="51">
        <f t="shared" si="2"/>
        <v>0</v>
      </c>
      <c r="L73" s="51"/>
      <c r="M73" s="51">
        <v>0</v>
      </c>
      <c r="N73" s="51"/>
      <c r="O73" s="51">
        <v>0</v>
      </c>
      <c r="P73" s="51"/>
      <c r="Q73" s="51">
        <v>0</v>
      </c>
      <c r="R73" s="51"/>
      <c r="S73" s="51">
        <v>0</v>
      </c>
      <c r="T73" s="51"/>
      <c r="U73" s="51">
        <f t="shared" si="3"/>
        <v>0</v>
      </c>
      <c r="V73" s="51"/>
      <c r="W73" s="51">
        <f t="shared" si="4"/>
        <v>0</v>
      </c>
      <c r="X73" s="51"/>
      <c r="Y73" s="95" t="s">
        <v>66</v>
      </c>
      <c r="Z73" s="51"/>
      <c r="AA73" s="47">
        <v>0</v>
      </c>
      <c r="AB73" s="47"/>
      <c r="AC73" s="47">
        <v>0</v>
      </c>
      <c r="AD73" s="47"/>
      <c r="AE73" s="47">
        <v>0</v>
      </c>
      <c r="AF73" s="47"/>
      <c r="AG73" s="52">
        <f t="shared" si="5"/>
        <v>0</v>
      </c>
      <c r="AH73" s="52"/>
      <c r="AI73" s="52">
        <v>0</v>
      </c>
      <c r="AJ73" s="52"/>
      <c r="AK73" s="47">
        <v>0</v>
      </c>
      <c r="AL73" s="47"/>
      <c r="AM73" s="47">
        <v>0</v>
      </c>
      <c r="AN73" s="47"/>
      <c r="AO73" s="47">
        <v>0</v>
      </c>
      <c r="AP73" s="47"/>
      <c r="AQ73" s="52">
        <f t="shared" si="6"/>
        <v>0</v>
      </c>
      <c r="AR73" s="52"/>
      <c r="AS73" s="47">
        <v>0</v>
      </c>
      <c r="AT73" s="47"/>
      <c r="AU73" s="47">
        <v>0</v>
      </c>
      <c r="AV73" s="47"/>
      <c r="AW73" s="47">
        <f t="shared" si="7"/>
        <v>0</v>
      </c>
      <c r="AX73" s="47"/>
      <c r="AY73" s="95" t="s">
        <v>66</v>
      </c>
      <c r="AZ73" s="47"/>
      <c r="BA73" s="47">
        <v>0</v>
      </c>
      <c r="BB73" s="47"/>
      <c r="BC73" s="47">
        <v>0</v>
      </c>
      <c r="BD73" s="47"/>
      <c r="BE73" s="47">
        <v>0</v>
      </c>
      <c r="BF73" s="47"/>
      <c r="BG73" s="47">
        <v>0</v>
      </c>
      <c r="BH73" s="47"/>
      <c r="BI73" s="47"/>
      <c r="BJ73" s="47"/>
      <c r="BK73" s="47">
        <f t="shared" si="8"/>
        <v>0</v>
      </c>
      <c r="BL73" s="1"/>
    </row>
    <row r="74" spans="1:64" ht="12.75">
      <c r="A74" s="40" t="s">
        <v>67</v>
      </c>
      <c r="B74" s="40"/>
      <c r="C74" s="51">
        <f t="shared" si="0"/>
        <v>2346376</v>
      </c>
      <c r="D74" s="51"/>
      <c r="E74" s="51">
        <v>0</v>
      </c>
      <c r="F74" s="51"/>
      <c r="G74" s="51">
        <v>2346376</v>
      </c>
      <c r="H74" s="51"/>
      <c r="I74" s="51">
        <f t="shared" si="1"/>
        <v>209135</v>
      </c>
      <c r="J74" s="51"/>
      <c r="K74" s="51">
        <f t="shared" si="2"/>
        <v>9710</v>
      </c>
      <c r="L74" s="51"/>
      <c r="M74" s="51">
        <v>218845</v>
      </c>
      <c r="N74" s="51"/>
      <c r="O74" s="51">
        <v>1743117</v>
      </c>
      <c r="P74" s="51"/>
      <c r="Q74" s="51">
        <v>0</v>
      </c>
      <c r="R74" s="51"/>
      <c r="S74" s="51">
        <v>384414</v>
      </c>
      <c r="T74" s="51"/>
      <c r="U74" s="51">
        <f t="shared" si="3"/>
        <v>2127531</v>
      </c>
      <c r="V74" s="51"/>
      <c r="W74" s="51">
        <f t="shared" si="4"/>
        <v>0</v>
      </c>
      <c r="X74" s="51"/>
      <c r="Y74" s="95" t="s">
        <v>67</v>
      </c>
      <c r="Z74" s="51"/>
      <c r="AA74" s="47">
        <v>411705</v>
      </c>
      <c r="AB74" s="47"/>
      <c r="AC74" s="47">
        <f>396398-79854</f>
        <v>316544</v>
      </c>
      <c r="AD74" s="47"/>
      <c r="AE74" s="47">
        <v>79854</v>
      </c>
      <c r="AF74" s="47"/>
      <c r="AG74" s="52">
        <f t="shared" si="5"/>
        <v>15307</v>
      </c>
      <c r="AH74" s="52"/>
      <c r="AI74" s="52">
        <v>18102</v>
      </c>
      <c r="AJ74" s="52"/>
      <c r="AK74" s="47">
        <v>21772</v>
      </c>
      <c r="AL74" s="47"/>
      <c r="AM74" s="47">
        <v>0</v>
      </c>
      <c r="AN74" s="47"/>
      <c r="AO74" s="47">
        <v>0</v>
      </c>
      <c r="AP74" s="47"/>
      <c r="AQ74" s="52">
        <f t="shared" si="6"/>
        <v>55181</v>
      </c>
      <c r="AR74" s="52"/>
      <c r="AS74" s="47">
        <v>0</v>
      </c>
      <c r="AT74" s="47"/>
      <c r="AU74" s="47">
        <v>0</v>
      </c>
      <c r="AV74" s="47"/>
      <c r="AW74" s="47">
        <f t="shared" si="7"/>
        <v>2137241</v>
      </c>
      <c r="AX74" s="47"/>
      <c r="AY74" s="95" t="s">
        <v>67</v>
      </c>
      <c r="AZ74" s="47"/>
      <c r="BA74" s="47">
        <v>0</v>
      </c>
      <c r="BB74" s="47"/>
      <c r="BC74" s="47">
        <v>0</v>
      </c>
      <c r="BD74" s="47"/>
      <c r="BE74" s="47">
        <v>0</v>
      </c>
      <c r="BF74" s="47"/>
      <c r="BG74" s="47">
        <v>9710</v>
      </c>
      <c r="BH74" s="47"/>
      <c r="BI74" s="47"/>
      <c r="BJ74" s="47"/>
      <c r="BK74" s="47">
        <f t="shared" si="8"/>
        <v>9710</v>
      </c>
      <c r="BL74" s="1"/>
    </row>
    <row r="75" spans="1:64" ht="12.75">
      <c r="A75" s="40" t="s">
        <v>68</v>
      </c>
      <c r="B75" s="40"/>
      <c r="C75" s="51">
        <f t="shared" si="0"/>
        <v>12353937</v>
      </c>
      <c r="D75" s="51"/>
      <c r="E75" s="51">
        <f>32436937+23062048</f>
        <v>55498985</v>
      </c>
      <c r="F75" s="51"/>
      <c r="G75" s="51">
        <f>29221857+38631065</f>
        <v>67852922</v>
      </c>
      <c r="H75" s="51"/>
      <c r="I75" s="51">
        <f t="shared" si="1"/>
        <v>3231270</v>
      </c>
      <c r="J75" s="51"/>
      <c r="K75" s="51">
        <f t="shared" si="2"/>
        <v>17484890</v>
      </c>
      <c r="L75" s="51"/>
      <c r="M75" s="51">
        <f>8965880+11750280</f>
        <v>20716160</v>
      </c>
      <c r="N75" s="51"/>
      <c r="O75" s="51">
        <f>11627344+23804060</f>
        <v>35431404</v>
      </c>
      <c r="P75" s="51"/>
      <c r="Q75" s="51">
        <f>119930</f>
        <v>119930</v>
      </c>
      <c r="R75" s="51"/>
      <c r="S75" s="51">
        <f>5724303+5861125</f>
        <v>11585428</v>
      </c>
      <c r="T75" s="51"/>
      <c r="U75" s="51">
        <f t="shared" si="3"/>
        <v>47136762</v>
      </c>
      <c r="V75" s="51"/>
      <c r="W75" s="51">
        <f t="shared" si="4"/>
        <v>0</v>
      </c>
      <c r="X75" s="51"/>
      <c r="Y75" s="95" t="s">
        <v>68</v>
      </c>
      <c r="Z75" s="51"/>
      <c r="AA75" s="47">
        <f>4724291+3628100</f>
        <v>8352391</v>
      </c>
      <c r="AB75" s="47"/>
      <c r="AC75" s="47">
        <f>3293712-915389+1586778-595136</f>
        <v>3369965</v>
      </c>
      <c r="AD75" s="47"/>
      <c r="AE75" s="47">
        <f>595136+915389</f>
        <v>1510525</v>
      </c>
      <c r="AF75" s="47"/>
      <c r="AG75" s="52">
        <f t="shared" si="5"/>
        <v>3471901</v>
      </c>
      <c r="AH75" s="52"/>
      <c r="AI75" s="52">
        <f>665543-380617</f>
        <v>284926</v>
      </c>
      <c r="AJ75" s="52"/>
      <c r="AK75" s="47">
        <v>0</v>
      </c>
      <c r="AL75" s="47"/>
      <c r="AM75" s="47">
        <v>23164</v>
      </c>
      <c r="AN75" s="47"/>
      <c r="AO75" s="47">
        <v>0</v>
      </c>
      <c r="AP75" s="47"/>
      <c r="AQ75" s="52">
        <f t="shared" si="6"/>
        <v>3733663</v>
      </c>
      <c r="AR75" s="52"/>
      <c r="AS75" s="47">
        <v>0</v>
      </c>
      <c r="AT75" s="47"/>
      <c r="AU75" s="47">
        <v>0</v>
      </c>
      <c r="AV75" s="47"/>
      <c r="AW75" s="47">
        <f t="shared" si="7"/>
        <v>9122667</v>
      </c>
      <c r="AX75" s="47"/>
      <c r="AY75" s="95" t="s">
        <v>68</v>
      </c>
      <c r="AZ75" s="47"/>
      <c r="BA75" s="47">
        <v>0</v>
      </c>
      <c r="BB75" s="47"/>
      <c r="BC75" s="47">
        <f>4060088+768814</f>
        <v>4828902</v>
      </c>
      <c r="BD75" s="47"/>
      <c r="BE75" s="47">
        <f>423341+2390643+144907+9603816</f>
        <v>12562707</v>
      </c>
      <c r="BF75" s="47"/>
      <c r="BG75" s="47">
        <f>54121+39160</f>
        <v>93281</v>
      </c>
      <c r="BH75" s="47"/>
      <c r="BI75" s="47"/>
      <c r="BJ75" s="47"/>
      <c r="BK75" s="47">
        <f t="shared" si="8"/>
        <v>17484890</v>
      </c>
      <c r="BL75" s="1"/>
    </row>
    <row r="76" spans="1:64" ht="12.75">
      <c r="A76" s="40" t="s">
        <v>69</v>
      </c>
      <c r="B76" s="40"/>
      <c r="C76" s="51">
        <f t="shared" si="0"/>
        <v>100287</v>
      </c>
      <c r="D76" s="51"/>
      <c r="E76" s="51">
        <v>68760</v>
      </c>
      <c r="F76" s="51"/>
      <c r="G76" s="51">
        <v>169047</v>
      </c>
      <c r="H76" s="51"/>
      <c r="I76" s="51">
        <f t="shared" si="1"/>
        <v>251743</v>
      </c>
      <c r="J76" s="51"/>
      <c r="K76" s="51">
        <f t="shared" si="2"/>
        <v>181728</v>
      </c>
      <c r="L76" s="51"/>
      <c r="M76" s="51">
        <v>433471</v>
      </c>
      <c r="N76" s="51"/>
      <c r="O76" s="51">
        <v>5400</v>
      </c>
      <c r="P76" s="51"/>
      <c r="Q76" s="51">
        <v>0</v>
      </c>
      <c r="R76" s="51"/>
      <c r="S76" s="51">
        <v>-269824</v>
      </c>
      <c r="T76" s="51"/>
      <c r="U76" s="51">
        <f t="shared" si="3"/>
        <v>-264424</v>
      </c>
      <c r="V76" s="51"/>
      <c r="W76" s="51">
        <f t="shared" si="4"/>
        <v>0</v>
      </c>
      <c r="X76" s="51"/>
      <c r="Y76" s="95" t="s">
        <v>69</v>
      </c>
      <c r="Z76" s="51"/>
      <c r="AA76" s="47">
        <v>19997</v>
      </c>
      <c r="AB76" s="47"/>
      <c r="AC76" s="47">
        <f>48238-600</f>
        <v>47638</v>
      </c>
      <c r="AD76" s="47"/>
      <c r="AE76" s="47">
        <v>600</v>
      </c>
      <c r="AF76" s="47"/>
      <c r="AG76" s="52">
        <f t="shared" si="5"/>
        <v>-28241</v>
      </c>
      <c r="AH76" s="52"/>
      <c r="AI76" s="52">
        <v>-8195</v>
      </c>
      <c r="AJ76" s="52"/>
      <c r="AK76" s="47">
        <v>0</v>
      </c>
      <c r="AL76" s="47"/>
      <c r="AM76" s="47">
        <v>0</v>
      </c>
      <c r="AN76" s="47"/>
      <c r="AO76" s="47">
        <v>0</v>
      </c>
      <c r="AP76" s="47"/>
      <c r="AQ76" s="52">
        <f t="shared" si="6"/>
        <v>-36436</v>
      </c>
      <c r="AR76" s="52"/>
      <c r="AS76" s="47">
        <v>0</v>
      </c>
      <c r="AT76" s="47"/>
      <c r="AU76" s="47">
        <v>0</v>
      </c>
      <c r="AV76" s="47"/>
      <c r="AW76" s="47">
        <f t="shared" si="7"/>
        <v>-151456</v>
      </c>
      <c r="AX76" s="47"/>
      <c r="AY76" s="95" t="s">
        <v>69</v>
      </c>
      <c r="AZ76" s="47"/>
      <c r="BA76" s="47">
        <v>0</v>
      </c>
      <c r="BB76" s="47"/>
      <c r="BC76" s="47">
        <v>0</v>
      </c>
      <c r="BD76" s="47"/>
      <c r="BE76" s="47">
        <v>181728</v>
      </c>
      <c r="BF76" s="47"/>
      <c r="BG76" s="47">
        <v>0</v>
      </c>
      <c r="BH76" s="47"/>
      <c r="BI76" s="47"/>
      <c r="BJ76" s="47"/>
      <c r="BK76" s="47">
        <f t="shared" si="8"/>
        <v>181728</v>
      </c>
      <c r="BL76" s="1"/>
    </row>
    <row r="77" spans="1:64" ht="12.75" hidden="1">
      <c r="A77" s="40" t="s">
        <v>185</v>
      </c>
      <c r="B77" s="40"/>
      <c r="C77" s="51">
        <f aca="true" t="shared" si="9" ref="C77:C96">G77-E77</f>
        <v>0</v>
      </c>
      <c r="D77" s="51"/>
      <c r="E77" s="51">
        <v>0</v>
      </c>
      <c r="F77" s="51"/>
      <c r="G77" s="51">
        <v>0</v>
      </c>
      <c r="H77" s="51"/>
      <c r="I77" s="51">
        <f aca="true" t="shared" si="10" ref="I77:I96">M77-K77</f>
        <v>0</v>
      </c>
      <c r="J77" s="51"/>
      <c r="K77" s="51">
        <f aca="true" t="shared" si="11" ref="K77:K96">SUM(BK77)</f>
        <v>0</v>
      </c>
      <c r="L77" s="51"/>
      <c r="M77" s="51">
        <v>0</v>
      </c>
      <c r="N77" s="51"/>
      <c r="O77" s="51">
        <v>0</v>
      </c>
      <c r="P77" s="51"/>
      <c r="Q77" s="51">
        <v>0</v>
      </c>
      <c r="R77" s="51"/>
      <c r="S77" s="51">
        <v>0</v>
      </c>
      <c r="T77" s="51"/>
      <c r="U77" s="51">
        <f aca="true" t="shared" si="12" ref="U77:U96">SUM(O77:S77)</f>
        <v>0</v>
      </c>
      <c r="V77" s="51"/>
      <c r="W77" s="51">
        <f aca="true" t="shared" si="13" ref="W77:W96">+G77-M77-U77</f>
        <v>0</v>
      </c>
      <c r="X77" s="51"/>
      <c r="Y77" s="95" t="s">
        <v>185</v>
      </c>
      <c r="Z77" s="51"/>
      <c r="AA77" s="47">
        <v>0</v>
      </c>
      <c r="AB77" s="47"/>
      <c r="AC77" s="47">
        <v>0</v>
      </c>
      <c r="AD77" s="47"/>
      <c r="AE77" s="47">
        <v>0</v>
      </c>
      <c r="AF77" s="47"/>
      <c r="AG77" s="52">
        <f t="shared" si="5"/>
        <v>0</v>
      </c>
      <c r="AH77" s="52"/>
      <c r="AI77" s="52">
        <v>0</v>
      </c>
      <c r="AJ77" s="52"/>
      <c r="AK77" s="47">
        <v>0</v>
      </c>
      <c r="AL77" s="47"/>
      <c r="AM77" s="47">
        <v>0</v>
      </c>
      <c r="AN77" s="47"/>
      <c r="AO77" s="47">
        <v>0</v>
      </c>
      <c r="AP77" s="47"/>
      <c r="AQ77" s="52">
        <f t="shared" si="6"/>
        <v>0</v>
      </c>
      <c r="AR77" s="52"/>
      <c r="AS77" s="47">
        <v>0</v>
      </c>
      <c r="AT77" s="47"/>
      <c r="AU77" s="47">
        <v>0</v>
      </c>
      <c r="AV77" s="47"/>
      <c r="AW77" s="47">
        <f t="shared" si="7"/>
        <v>0</v>
      </c>
      <c r="AX77" s="51"/>
      <c r="AY77" s="95" t="s">
        <v>185</v>
      </c>
      <c r="AZ77" s="51"/>
      <c r="BA77" s="47">
        <v>0</v>
      </c>
      <c r="BB77" s="47"/>
      <c r="BC77" s="47">
        <v>0</v>
      </c>
      <c r="BD77" s="47"/>
      <c r="BE77" s="47">
        <v>0</v>
      </c>
      <c r="BF77" s="47"/>
      <c r="BG77" s="47">
        <v>0</v>
      </c>
      <c r="BH77" s="47"/>
      <c r="BI77" s="47"/>
      <c r="BJ77" s="47"/>
      <c r="BK77" s="47">
        <f t="shared" si="8"/>
        <v>0</v>
      </c>
      <c r="BL77" s="1"/>
    </row>
    <row r="78" spans="1:64" ht="12.75">
      <c r="A78" s="40" t="s">
        <v>190</v>
      </c>
      <c r="B78" s="40"/>
      <c r="C78" s="51">
        <f t="shared" si="9"/>
        <v>2329700</v>
      </c>
      <c r="D78" s="51"/>
      <c r="E78" s="51">
        <v>23636431</v>
      </c>
      <c r="F78" s="51"/>
      <c r="G78" s="51">
        <v>25966131</v>
      </c>
      <c r="H78" s="51"/>
      <c r="I78" s="51">
        <f t="shared" si="10"/>
        <v>84011</v>
      </c>
      <c r="J78" s="51"/>
      <c r="K78" s="51">
        <f t="shared" si="11"/>
        <v>26855</v>
      </c>
      <c r="L78" s="51"/>
      <c r="M78" s="51">
        <v>110866</v>
      </c>
      <c r="N78" s="51"/>
      <c r="O78" s="51">
        <v>23636431</v>
      </c>
      <c r="P78" s="51"/>
      <c r="Q78" s="51">
        <v>0</v>
      </c>
      <c r="R78" s="51"/>
      <c r="S78" s="51">
        <v>2218834</v>
      </c>
      <c r="T78" s="51"/>
      <c r="U78" s="51">
        <f t="shared" si="12"/>
        <v>25855265</v>
      </c>
      <c r="V78" s="51"/>
      <c r="W78" s="51">
        <f t="shared" si="13"/>
        <v>0</v>
      </c>
      <c r="X78" s="51"/>
      <c r="Y78" s="95" t="s">
        <v>190</v>
      </c>
      <c r="Z78" s="51"/>
      <c r="AA78" s="47">
        <v>2505657</v>
      </c>
      <c r="AB78" s="47"/>
      <c r="AC78" s="47">
        <f>2144931-1133739</f>
        <v>1011192</v>
      </c>
      <c r="AD78" s="47"/>
      <c r="AE78" s="47">
        <v>1133739</v>
      </c>
      <c r="AF78" s="47"/>
      <c r="AG78" s="52">
        <f aca="true" t="shared" si="14" ref="AG78:AG96">+AA78-AC78-AE78</f>
        <v>360726</v>
      </c>
      <c r="AH78" s="52"/>
      <c r="AI78" s="52">
        <v>-47253</v>
      </c>
      <c r="AJ78" s="52"/>
      <c r="AK78" s="47">
        <v>0</v>
      </c>
      <c r="AL78" s="47"/>
      <c r="AM78" s="47">
        <v>293259</v>
      </c>
      <c r="AN78" s="47"/>
      <c r="AO78" s="47">
        <v>0</v>
      </c>
      <c r="AP78" s="47"/>
      <c r="AQ78" s="52">
        <f aca="true" t="shared" si="15" ref="AQ78:AQ96">+AG78+AI78+AK78-AM78+AO78</f>
        <v>20214</v>
      </c>
      <c r="AR78" s="52"/>
      <c r="AS78" s="47">
        <v>0</v>
      </c>
      <c r="AT78" s="47"/>
      <c r="AU78" s="47">
        <v>0</v>
      </c>
      <c r="AV78" s="47"/>
      <c r="AW78" s="47">
        <f aca="true" t="shared" si="16" ref="AW78:AW96">+C78-I78</f>
        <v>2245689</v>
      </c>
      <c r="AX78" s="47"/>
      <c r="AY78" s="95" t="s">
        <v>190</v>
      </c>
      <c r="AZ78" s="47"/>
      <c r="BA78" s="47">
        <v>0</v>
      </c>
      <c r="BB78" s="47"/>
      <c r="BC78" s="47">
        <v>0</v>
      </c>
      <c r="BD78" s="47"/>
      <c r="BE78" s="47">
        <v>0</v>
      </c>
      <c r="BF78" s="47"/>
      <c r="BG78" s="47">
        <v>26855</v>
      </c>
      <c r="BH78" s="47"/>
      <c r="BI78" s="47"/>
      <c r="BJ78" s="47"/>
      <c r="BK78" s="47">
        <f aca="true" t="shared" si="17" ref="BK78:BK96">SUM(BA78:BI78)</f>
        <v>26855</v>
      </c>
      <c r="BL78" s="1"/>
    </row>
    <row r="79" spans="1:64" ht="12.75">
      <c r="A79" s="40" t="s">
        <v>70</v>
      </c>
      <c r="B79" s="40"/>
      <c r="C79" s="51">
        <f t="shared" si="9"/>
        <v>0</v>
      </c>
      <c r="D79" s="51"/>
      <c r="E79" s="51">
        <v>0</v>
      </c>
      <c r="F79" s="51"/>
      <c r="G79" s="51">
        <v>0</v>
      </c>
      <c r="H79" s="51"/>
      <c r="I79" s="51">
        <f t="shared" si="10"/>
        <v>0</v>
      </c>
      <c r="J79" s="51"/>
      <c r="K79" s="51">
        <f t="shared" si="11"/>
        <v>0</v>
      </c>
      <c r="L79" s="51"/>
      <c r="M79" s="51">
        <v>0</v>
      </c>
      <c r="N79" s="51"/>
      <c r="O79" s="51">
        <v>0</v>
      </c>
      <c r="P79" s="51"/>
      <c r="Q79" s="51">
        <v>0</v>
      </c>
      <c r="R79" s="51"/>
      <c r="S79" s="51">
        <v>0</v>
      </c>
      <c r="T79" s="51"/>
      <c r="U79" s="51">
        <f t="shared" si="12"/>
        <v>0</v>
      </c>
      <c r="V79" s="51"/>
      <c r="W79" s="51">
        <f t="shared" si="13"/>
        <v>0</v>
      </c>
      <c r="X79" s="51"/>
      <c r="Y79" s="95" t="s">
        <v>70</v>
      </c>
      <c r="Z79" s="51"/>
      <c r="AA79" s="47">
        <v>0</v>
      </c>
      <c r="AB79" s="47"/>
      <c r="AC79" s="47">
        <v>0</v>
      </c>
      <c r="AD79" s="47"/>
      <c r="AE79" s="47">
        <v>0</v>
      </c>
      <c r="AF79" s="47"/>
      <c r="AG79" s="52">
        <f t="shared" si="14"/>
        <v>0</v>
      </c>
      <c r="AH79" s="52"/>
      <c r="AI79" s="52">
        <v>0</v>
      </c>
      <c r="AJ79" s="52"/>
      <c r="AK79" s="47">
        <v>0</v>
      </c>
      <c r="AL79" s="47"/>
      <c r="AM79" s="47">
        <v>0</v>
      </c>
      <c r="AN79" s="47"/>
      <c r="AO79" s="47">
        <v>0</v>
      </c>
      <c r="AP79" s="47"/>
      <c r="AQ79" s="52">
        <f t="shared" si="15"/>
        <v>0</v>
      </c>
      <c r="AR79" s="52"/>
      <c r="AS79" s="47">
        <v>0</v>
      </c>
      <c r="AT79" s="47"/>
      <c r="AU79" s="47">
        <v>0</v>
      </c>
      <c r="AV79" s="47"/>
      <c r="AW79" s="47">
        <f t="shared" si="16"/>
        <v>0</v>
      </c>
      <c r="AX79" s="47"/>
      <c r="AY79" s="95" t="s">
        <v>70</v>
      </c>
      <c r="AZ79" s="47"/>
      <c r="BA79" s="47">
        <v>0</v>
      </c>
      <c r="BB79" s="47"/>
      <c r="BC79" s="47">
        <v>0</v>
      </c>
      <c r="BD79" s="47"/>
      <c r="BE79" s="47">
        <v>0</v>
      </c>
      <c r="BF79" s="47"/>
      <c r="BG79" s="47">
        <v>0</v>
      </c>
      <c r="BH79" s="47"/>
      <c r="BI79" s="47"/>
      <c r="BJ79" s="47"/>
      <c r="BK79" s="47">
        <f t="shared" si="17"/>
        <v>0</v>
      </c>
      <c r="BL79" s="1"/>
    </row>
    <row r="80" spans="1:64" ht="12.75">
      <c r="A80" s="40" t="s">
        <v>99</v>
      </c>
      <c r="B80" s="40"/>
      <c r="C80" s="51">
        <f t="shared" si="9"/>
        <v>590996</v>
      </c>
      <c r="D80" s="51"/>
      <c r="E80" s="51">
        <v>6079492</v>
      </c>
      <c r="F80" s="51"/>
      <c r="G80" s="51">
        <v>6670488</v>
      </c>
      <c r="H80" s="51"/>
      <c r="I80" s="51">
        <f t="shared" si="10"/>
        <v>81921</v>
      </c>
      <c r="J80" s="51"/>
      <c r="K80" s="51">
        <f t="shared" si="11"/>
        <v>264239</v>
      </c>
      <c r="L80" s="51"/>
      <c r="M80" s="51">
        <v>346160</v>
      </c>
      <c r="N80" s="51"/>
      <c r="O80" s="51">
        <v>5799492</v>
      </c>
      <c r="P80" s="51"/>
      <c r="Q80" s="51">
        <v>0</v>
      </c>
      <c r="R80" s="51"/>
      <c r="S80" s="51">
        <v>524836</v>
      </c>
      <c r="T80" s="51"/>
      <c r="U80" s="51">
        <f t="shared" si="12"/>
        <v>6324328</v>
      </c>
      <c r="V80" s="51"/>
      <c r="W80" s="51">
        <f t="shared" si="13"/>
        <v>0</v>
      </c>
      <c r="X80" s="51"/>
      <c r="Y80" s="95" t="s">
        <v>99</v>
      </c>
      <c r="Z80" s="51"/>
      <c r="AA80" s="47">
        <v>902068</v>
      </c>
      <c r="AB80" s="47"/>
      <c r="AC80" s="47">
        <f>752569-179102</f>
        <v>573467</v>
      </c>
      <c r="AD80" s="47"/>
      <c r="AE80" s="47">
        <v>179102</v>
      </c>
      <c r="AF80" s="47"/>
      <c r="AG80" s="52">
        <f t="shared" si="14"/>
        <v>149499</v>
      </c>
      <c r="AH80" s="52"/>
      <c r="AI80" s="52">
        <v>-28729</v>
      </c>
      <c r="AJ80" s="52"/>
      <c r="AK80" s="47">
        <v>8578</v>
      </c>
      <c r="AL80" s="47"/>
      <c r="AM80" s="47">
        <v>139943</v>
      </c>
      <c r="AN80" s="47"/>
      <c r="AO80" s="47">
        <v>0</v>
      </c>
      <c r="AP80" s="47"/>
      <c r="AQ80" s="52">
        <f t="shared" si="15"/>
        <v>-10595</v>
      </c>
      <c r="AR80" s="52"/>
      <c r="AS80" s="47">
        <v>0</v>
      </c>
      <c r="AT80" s="47"/>
      <c r="AU80" s="47">
        <v>0</v>
      </c>
      <c r="AV80" s="47"/>
      <c r="AW80" s="47">
        <f t="shared" si="16"/>
        <v>509075</v>
      </c>
      <c r="AX80" s="47"/>
      <c r="AY80" s="95" t="s">
        <v>99</v>
      </c>
      <c r="AZ80" s="47"/>
      <c r="BA80" s="47">
        <v>240000</v>
      </c>
      <c r="BB80" s="47"/>
      <c r="BC80" s="47">
        <v>0</v>
      </c>
      <c r="BD80" s="47"/>
      <c r="BE80" s="47">
        <v>0</v>
      </c>
      <c r="BF80" s="47"/>
      <c r="BG80" s="47">
        <v>24239</v>
      </c>
      <c r="BH80" s="47"/>
      <c r="BI80" s="47"/>
      <c r="BJ80" s="47"/>
      <c r="BK80" s="47">
        <f t="shared" si="17"/>
        <v>264239</v>
      </c>
      <c r="BL80" s="1"/>
    </row>
    <row r="81" spans="1:64" ht="12.75">
      <c r="A81" s="40" t="s">
        <v>71</v>
      </c>
      <c r="B81" s="40"/>
      <c r="C81" s="51">
        <f t="shared" si="9"/>
        <v>927746</v>
      </c>
      <c r="D81" s="51"/>
      <c r="E81" s="51">
        <v>13668411</v>
      </c>
      <c r="F81" s="51"/>
      <c r="G81" s="51">
        <v>14596157</v>
      </c>
      <c r="H81" s="51"/>
      <c r="I81" s="51">
        <f t="shared" si="10"/>
        <v>572077</v>
      </c>
      <c r="J81" s="51"/>
      <c r="K81" s="51">
        <f t="shared" si="11"/>
        <v>7588677</v>
      </c>
      <c r="L81" s="51"/>
      <c r="M81" s="51">
        <v>8160754</v>
      </c>
      <c r="N81" s="51"/>
      <c r="O81" s="51">
        <v>5596744</v>
      </c>
      <c r="P81" s="51"/>
      <c r="Q81" s="51">
        <v>0</v>
      </c>
      <c r="R81" s="51"/>
      <c r="S81" s="51">
        <v>694261</v>
      </c>
      <c r="T81" s="51"/>
      <c r="U81" s="51">
        <f t="shared" si="12"/>
        <v>6291005</v>
      </c>
      <c r="V81" s="51"/>
      <c r="W81" s="51">
        <f t="shared" si="13"/>
        <v>144398</v>
      </c>
      <c r="X81" s="51"/>
      <c r="Y81" s="95" t="s">
        <v>71</v>
      </c>
      <c r="Z81" s="51"/>
      <c r="AA81" s="47">
        <v>2079013</v>
      </c>
      <c r="AB81" s="47"/>
      <c r="AC81" s="47">
        <f>2070465-363779</f>
        <v>1706686</v>
      </c>
      <c r="AD81" s="47"/>
      <c r="AE81" s="47">
        <v>363779</v>
      </c>
      <c r="AF81" s="47"/>
      <c r="AG81" s="52">
        <f t="shared" si="14"/>
        <v>8548</v>
      </c>
      <c r="AH81" s="52"/>
      <c r="AI81" s="52">
        <v>607656</v>
      </c>
      <c r="AJ81" s="52"/>
      <c r="AK81" s="47">
        <v>0</v>
      </c>
      <c r="AL81" s="47"/>
      <c r="AM81" s="47">
        <v>0</v>
      </c>
      <c r="AN81" s="47"/>
      <c r="AO81" s="47">
        <v>0</v>
      </c>
      <c r="AP81" s="47"/>
      <c r="AQ81" s="52">
        <f t="shared" si="15"/>
        <v>616204</v>
      </c>
      <c r="AR81" s="52"/>
      <c r="AS81" s="47">
        <v>0</v>
      </c>
      <c r="AT81" s="47"/>
      <c r="AU81" s="47">
        <v>0</v>
      </c>
      <c r="AV81" s="47"/>
      <c r="AW81" s="47">
        <f t="shared" si="16"/>
        <v>355669</v>
      </c>
      <c r="AX81" s="47"/>
      <c r="AY81" s="95" t="s">
        <v>71</v>
      </c>
      <c r="AZ81" s="47"/>
      <c r="BA81" s="47">
        <v>2819182</v>
      </c>
      <c r="BB81" s="47"/>
      <c r="BC81" s="47">
        <v>195000</v>
      </c>
      <c r="BD81" s="47"/>
      <c r="BE81" s="47">
        <v>142057</v>
      </c>
      <c r="BF81" s="47"/>
      <c r="BG81" s="47">
        <f>3199094+1200000+33344</f>
        <v>4432438</v>
      </c>
      <c r="BH81" s="47"/>
      <c r="BI81" s="47"/>
      <c r="BJ81" s="47"/>
      <c r="BK81" s="47">
        <f t="shared" si="17"/>
        <v>7588677</v>
      </c>
      <c r="BL81" s="1"/>
    </row>
    <row r="82" spans="1:64" ht="12.75">
      <c r="A82" s="40" t="s">
        <v>72</v>
      </c>
      <c r="B82" s="40"/>
      <c r="C82" s="51">
        <f t="shared" si="9"/>
        <v>41752</v>
      </c>
      <c r="D82" s="51"/>
      <c r="E82" s="51">
        <v>626454</v>
      </c>
      <c r="F82" s="51"/>
      <c r="G82" s="51">
        <v>668206</v>
      </c>
      <c r="H82" s="51"/>
      <c r="I82" s="51">
        <f t="shared" si="10"/>
        <v>6557</v>
      </c>
      <c r="J82" s="51"/>
      <c r="K82" s="51">
        <f t="shared" si="11"/>
        <v>0</v>
      </c>
      <c r="L82" s="51"/>
      <c r="M82" s="51">
        <v>6557</v>
      </c>
      <c r="N82" s="51"/>
      <c r="O82" s="51">
        <v>623661</v>
      </c>
      <c r="P82" s="51"/>
      <c r="Q82" s="51">
        <v>0</v>
      </c>
      <c r="R82" s="51"/>
      <c r="S82" s="51">
        <v>37988</v>
      </c>
      <c r="T82" s="51"/>
      <c r="U82" s="51">
        <v>661649</v>
      </c>
      <c r="V82" s="51"/>
      <c r="W82" s="51">
        <f t="shared" si="13"/>
        <v>0</v>
      </c>
      <c r="X82" s="51"/>
      <c r="Y82" s="95" t="s">
        <v>72</v>
      </c>
      <c r="Z82" s="51"/>
      <c r="AA82" s="47">
        <v>68904</v>
      </c>
      <c r="AB82" s="47"/>
      <c r="AC82" s="47">
        <f>97623-20046</f>
        <v>77577</v>
      </c>
      <c r="AD82" s="47"/>
      <c r="AE82" s="47">
        <v>20046</v>
      </c>
      <c r="AF82" s="47"/>
      <c r="AG82" s="52">
        <f t="shared" si="14"/>
        <v>-28719</v>
      </c>
      <c r="AH82" s="52"/>
      <c r="AI82" s="52">
        <v>0</v>
      </c>
      <c r="AJ82" s="52"/>
      <c r="AK82" s="47">
        <v>8553</v>
      </c>
      <c r="AL82" s="47"/>
      <c r="AM82" s="47">
        <v>0</v>
      </c>
      <c r="AN82" s="47"/>
      <c r="AO82" s="47">
        <v>0</v>
      </c>
      <c r="AP82" s="47"/>
      <c r="AQ82" s="52">
        <f t="shared" si="15"/>
        <v>-20166</v>
      </c>
      <c r="AR82" s="52"/>
      <c r="AS82" s="47">
        <v>0</v>
      </c>
      <c r="AT82" s="47"/>
      <c r="AU82" s="47">
        <v>0</v>
      </c>
      <c r="AV82" s="47"/>
      <c r="AW82" s="47">
        <f t="shared" si="16"/>
        <v>35195</v>
      </c>
      <c r="AX82" s="47"/>
      <c r="AY82" s="95" t="s">
        <v>72</v>
      </c>
      <c r="AZ82" s="47"/>
      <c r="BA82" s="47">
        <v>0</v>
      </c>
      <c r="BB82" s="47"/>
      <c r="BC82" s="47">
        <v>0</v>
      </c>
      <c r="BD82" s="47"/>
      <c r="BE82" s="47">
        <v>0</v>
      </c>
      <c r="BF82" s="47"/>
      <c r="BG82" s="47">
        <v>0</v>
      </c>
      <c r="BH82" s="47"/>
      <c r="BI82" s="47"/>
      <c r="BJ82" s="47"/>
      <c r="BK82" s="47">
        <f t="shared" si="17"/>
        <v>0</v>
      </c>
      <c r="BL82" s="1"/>
    </row>
    <row r="83" spans="1:64" ht="12.75">
      <c r="A83" s="40" t="s">
        <v>73</v>
      </c>
      <c r="B83" s="40"/>
      <c r="C83" s="51">
        <f t="shared" si="9"/>
        <v>263540</v>
      </c>
      <c r="D83" s="51"/>
      <c r="E83" s="51">
        <v>7850459</v>
      </c>
      <c r="F83" s="51"/>
      <c r="G83" s="51">
        <v>8113999</v>
      </c>
      <c r="H83" s="51"/>
      <c r="I83" s="51">
        <f t="shared" si="10"/>
        <v>149598</v>
      </c>
      <c r="J83" s="51"/>
      <c r="K83" s="51">
        <f t="shared" si="11"/>
        <v>1887775</v>
      </c>
      <c r="L83" s="51"/>
      <c r="M83" s="51">
        <v>2037373</v>
      </c>
      <c r="N83" s="51"/>
      <c r="O83" s="51">
        <v>4972820</v>
      </c>
      <c r="P83" s="51"/>
      <c r="Q83" s="51">
        <v>0</v>
      </c>
      <c r="R83" s="51"/>
      <c r="S83" s="51">
        <v>1103806</v>
      </c>
      <c r="T83" s="51"/>
      <c r="U83" s="51">
        <f t="shared" si="12"/>
        <v>6076626</v>
      </c>
      <c r="V83" s="51"/>
      <c r="W83" s="51">
        <f t="shared" si="13"/>
        <v>0</v>
      </c>
      <c r="X83" s="51"/>
      <c r="Y83" s="95" t="s">
        <v>73</v>
      </c>
      <c r="Z83" s="51"/>
      <c r="AA83" s="47">
        <v>521965</v>
      </c>
      <c r="AB83" s="47"/>
      <c r="AC83" s="47">
        <f>881149-204807</f>
        <v>676342</v>
      </c>
      <c r="AD83" s="47"/>
      <c r="AE83" s="47">
        <v>204807</v>
      </c>
      <c r="AF83" s="47"/>
      <c r="AG83" s="52">
        <f t="shared" si="14"/>
        <v>-359184</v>
      </c>
      <c r="AH83" s="52"/>
      <c r="AI83" s="52">
        <v>-153893</v>
      </c>
      <c r="AJ83" s="52"/>
      <c r="AK83" s="47">
        <v>371283</v>
      </c>
      <c r="AL83" s="47"/>
      <c r="AM83" s="47">
        <v>0</v>
      </c>
      <c r="AN83" s="47"/>
      <c r="AO83" s="47">
        <v>193500</v>
      </c>
      <c r="AP83" s="47"/>
      <c r="AQ83" s="52">
        <f t="shared" si="15"/>
        <v>51706</v>
      </c>
      <c r="AR83" s="52"/>
      <c r="AS83" s="47">
        <v>0</v>
      </c>
      <c r="AT83" s="47"/>
      <c r="AU83" s="47">
        <v>0</v>
      </c>
      <c r="AV83" s="47"/>
      <c r="AW83" s="47">
        <f t="shared" si="16"/>
        <v>113942</v>
      </c>
      <c r="AX83" s="47"/>
      <c r="AY83" s="95" t="s">
        <v>73</v>
      </c>
      <c r="AZ83" s="47"/>
      <c r="BA83" s="47">
        <v>0</v>
      </c>
      <c r="BB83" s="47"/>
      <c r="BC83" s="47">
        <v>0</v>
      </c>
      <c r="BD83" s="47"/>
      <c r="BE83" s="47">
        <f>52500+1799990</f>
        <v>1852490</v>
      </c>
      <c r="BF83" s="47"/>
      <c r="BG83" s="47">
        <v>35285</v>
      </c>
      <c r="BH83" s="47"/>
      <c r="BI83" s="47"/>
      <c r="BJ83" s="47"/>
      <c r="BK83" s="47">
        <f t="shared" si="17"/>
        <v>1887775</v>
      </c>
      <c r="BL83" s="1"/>
    </row>
    <row r="84" spans="1:64" ht="12.75">
      <c r="A84" s="40" t="s">
        <v>74</v>
      </c>
      <c r="B84" s="40"/>
      <c r="C84" s="51">
        <f t="shared" si="9"/>
        <v>20361794</v>
      </c>
      <c r="D84" s="51"/>
      <c r="E84" s="51">
        <v>106049200</v>
      </c>
      <c r="F84" s="51"/>
      <c r="G84" s="51">
        <v>126410994</v>
      </c>
      <c r="H84" s="51"/>
      <c r="I84" s="51">
        <f t="shared" si="10"/>
        <v>7696508</v>
      </c>
      <c r="J84" s="51"/>
      <c r="K84" s="51">
        <f t="shared" si="11"/>
        <v>32508262</v>
      </c>
      <c r="L84" s="51"/>
      <c r="M84" s="51">
        <v>40204770</v>
      </c>
      <c r="N84" s="51"/>
      <c r="O84" s="51">
        <v>67904026</v>
      </c>
      <c r="P84" s="51"/>
      <c r="Q84" s="51">
        <v>0</v>
      </c>
      <c r="R84" s="51"/>
      <c r="S84" s="51">
        <v>18302198</v>
      </c>
      <c r="T84" s="51"/>
      <c r="U84" s="51">
        <f t="shared" si="12"/>
        <v>86206224</v>
      </c>
      <c r="V84" s="51"/>
      <c r="W84" s="51">
        <f t="shared" si="13"/>
        <v>0</v>
      </c>
      <c r="X84" s="51"/>
      <c r="Y84" s="95" t="s">
        <v>74</v>
      </c>
      <c r="Z84" s="51"/>
      <c r="AA84" s="47">
        <v>17250274</v>
      </c>
      <c r="AB84" s="47"/>
      <c r="AC84" s="47">
        <f>14163537-3293284</f>
        <v>10870253</v>
      </c>
      <c r="AD84" s="47"/>
      <c r="AE84" s="47">
        <v>3293284</v>
      </c>
      <c r="AF84" s="47"/>
      <c r="AG84" s="52">
        <f t="shared" si="14"/>
        <v>3086737</v>
      </c>
      <c r="AH84" s="52"/>
      <c r="AI84" s="52">
        <v>-1902276</v>
      </c>
      <c r="AJ84" s="52"/>
      <c r="AK84" s="47">
        <v>0</v>
      </c>
      <c r="AL84" s="47"/>
      <c r="AM84" s="47">
        <v>0</v>
      </c>
      <c r="AN84" s="47"/>
      <c r="AO84" s="47">
        <v>5248805</v>
      </c>
      <c r="AP84" s="47"/>
      <c r="AQ84" s="52">
        <f t="shared" si="15"/>
        <v>6433266</v>
      </c>
      <c r="AR84" s="52"/>
      <c r="AS84" s="47">
        <v>0</v>
      </c>
      <c r="AT84" s="47"/>
      <c r="AU84" s="47">
        <v>0</v>
      </c>
      <c r="AV84" s="47"/>
      <c r="AW84" s="47">
        <f t="shared" si="16"/>
        <v>12665286</v>
      </c>
      <c r="AX84" s="47"/>
      <c r="AY84" s="95" t="s">
        <v>74</v>
      </c>
      <c r="AZ84" s="47"/>
      <c r="BA84" s="47">
        <v>15272703</v>
      </c>
      <c r="BB84" s="47"/>
      <c r="BC84" s="47">
        <v>0</v>
      </c>
      <c r="BD84" s="47"/>
      <c r="BE84" s="47">
        <f>16462956+769557</f>
        <v>17232513</v>
      </c>
      <c r="BF84" s="47"/>
      <c r="BG84" s="47">
        <v>3046</v>
      </c>
      <c r="BH84" s="47"/>
      <c r="BI84" s="47"/>
      <c r="BJ84" s="47"/>
      <c r="BK84" s="47">
        <f t="shared" si="17"/>
        <v>32508262</v>
      </c>
      <c r="BL84" s="1"/>
    </row>
    <row r="85" spans="1:64" ht="12.75">
      <c r="A85" s="40" t="s">
        <v>75</v>
      </c>
      <c r="B85" s="40"/>
      <c r="C85" s="51">
        <f t="shared" si="9"/>
        <v>16707880</v>
      </c>
      <c r="D85" s="51"/>
      <c r="E85" s="51">
        <v>215730809</v>
      </c>
      <c r="F85" s="51"/>
      <c r="G85" s="51">
        <v>232438689</v>
      </c>
      <c r="H85" s="51"/>
      <c r="I85" s="51">
        <f t="shared" si="10"/>
        <v>8085677</v>
      </c>
      <c r="J85" s="51"/>
      <c r="K85" s="51">
        <f t="shared" si="11"/>
        <v>86377306</v>
      </c>
      <c r="L85" s="51"/>
      <c r="M85" s="51">
        <v>94462983</v>
      </c>
      <c r="N85" s="51"/>
      <c r="O85" s="51">
        <v>126873679</v>
      </c>
      <c r="P85" s="51"/>
      <c r="Q85" s="51">
        <v>0</v>
      </c>
      <c r="R85" s="51"/>
      <c r="S85" s="51">
        <v>11102027</v>
      </c>
      <c r="T85" s="51"/>
      <c r="U85" s="51">
        <f t="shared" si="12"/>
        <v>137975706</v>
      </c>
      <c r="V85" s="51"/>
      <c r="W85" s="51">
        <f t="shared" si="13"/>
        <v>0</v>
      </c>
      <c r="X85" s="51"/>
      <c r="Y85" s="95" t="s">
        <v>75</v>
      </c>
      <c r="Z85" s="51"/>
      <c r="AA85" s="47">
        <v>27638592</v>
      </c>
      <c r="AB85" s="47"/>
      <c r="AC85" s="47">
        <f>29909739-6155508</f>
        <v>23754231</v>
      </c>
      <c r="AD85" s="47"/>
      <c r="AE85" s="47">
        <v>6155508</v>
      </c>
      <c r="AF85" s="47"/>
      <c r="AG85" s="52">
        <f t="shared" si="14"/>
        <v>-2271147</v>
      </c>
      <c r="AH85" s="52"/>
      <c r="AI85" s="52">
        <v>-2303836</v>
      </c>
      <c r="AJ85" s="52"/>
      <c r="AK85" s="47">
        <v>0</v>
      </c>
      <c r="AL85" s="47"/>
      <c r="AM85" s="47">
        <v>69199</v>
      </c>
      <c r="AN85" s="47"/>
      <c r="AO85" s="47">
        <v>5003387</v>
      </c>
      <c r="AP85" s="47"/>
      <c r="AQ85" s="52">
        <f t="shared" si="15"/>
        <v>359205</v>
      </c>
      <c r="AR85" s="52"/>
      <c r="AS85" s="47">
        <v>0</v>
      </c>
      <c r="AT85" s="47"/>
      <c r="AU85" s="47">
        <v>0</v>
      </c>
      <c r="AV85" s="47"/>
      <c r="AW85" s="47">
        <f t="shared" si="16"/>
        <v>8622203</v>
      </c>
      <c r="AX85" s="47"/>
      <c r="AY85" s="95" t="s">
        <v>75</v>
      </c>
      <c r="AZ85" s="47"/>
      <c r="BA85" s="47">
        <v>61214366</v>
      </c>
      <c r="BB85" s="47"/>
      <c r="BC85" s="47">
        <v>0</v>
      </c>
      <c r="BD85" s="47"/>
      <c r="BE85" s="47">
        <f>22821388+687500+947262</f>
        <v>24456150</v>
      </c>
      <c r="BF85" s="47"/>
      <c r="BG85" s="47">
        <v>706790</v>
      </c>
      <c r="BH85" s="47"/>
      <c r="BI85" s="47"/>
      <c r="BJ85" s="47"/>
      <c r="BK85" s="47">
        <f t="shared" si="17"/>
        <v>86377306</v>
      </c>
      <c r="BL85" s="1"/>
    </row>
    <row r="86" spans="1:64" ht="12.75">
      <c r="A86" s="40" t="s">
        <v>76</v>
      </c>
      <c r="B86" s="40"/>
      <c r="C86" s="51">
        <f t="shared" si="9"/>
        <v>7132353</v>
      </c>
      <c r="D86" s="51"/>
      <c r="E86" s="51">
        <v>15748055</v>
      </c>
      <c r="F86" s="51"/>
      <c r="G86" s="51">
        <v>22880408</v>
      </c>
      <c r="H86" s="51"/>
      <c r="I86" s="51">
        <f t="shared" si="10"/>
        <v>1395793</v>
      </c>
      <c r="J86" s="51"/>
      <c r="K86" s="51">
        <f t="shared" si="11"/>
        <v>12374730</v>
      </c>
      <c r="L86" s="51"/>
      <c r="M86" s="51">
        <v>13770523</v>
      </c>
      <c r="N86" s="51"/>
      <c r="O86" s="51">
        <v>2681935</v>
      </c>
      <c r="P86" s="51"/>
      <c r="Q86" s="51">
        <v>0</v>
      </c>
      <c r="R86" s="51"/>
      <c r="S86" s="51">
        <v>6427950</v>
      </c>
      <c r="T86" s="51"/>
      <c r="U86" s="51">
        <f t="shared" si="12"/>
        <v>9109885</v>
      </c>
      <c r="V86" s="51"/>
      <c r="W86" s="51">
        <f t="shared" si="13"/>
        <v>0</v>
      </c>
      <c r="X86" s="51"/>
      <c r="Y86" s="95" t="s">
        <v>76</v>
      </c>
      <c r="Z86" s="51"/>
      <c r="AA86" s="47">
        <v>8426858</v>
      </c>
      <c r="AB86" s="47"/>
      <c r="AC86" s="47">
        <f>7684253-2034060</f>
        <v>5650193</v>
      </c>
      <c r="AD86" s="47"/>
      <c r="AE86" s="47">
        <v>2034060</v>
      </c>
      <c r="AF86" s="47"/>
      <c r="AG86" s="52">
        <f t="shared" si="14"/>
        <v>742605</v>
      </c>
      <c r="AH86" s="52"/>
      <c r="AI86" s="52">
        <v>42446</v>
      </c>
      <c r="AJ86" s="52"/>
      <c r="AK86" s="47">
        <v>1401520</v>
      </c>
      <c r="AL86" s="47"/>
      <c r="AM86" s="47">
        <v>1603886</v>
      </c>
      <c r="AN86" s="47"/>
      <c r="AO86" s="47">
        <v>754965</v>
      </c>
      <c r="AP86" s="47"/>
      <c r="AQ86" s="52">
        <f t="shared" si="15"/>
        <v>1337650</v>
      </c>
      <c r="AR86" s="52"/>
      <c r="AS86" s="47">
        <v>0</v>
      </c>
      <c r="AT86" s="47"/>
      <c r="AU86" s="47">
        <v>0</v>
      </c>
      <c r="AV86" s="47"/>
      <c r="AW86" s="47">
        <f t="shared" si="16"/>
        <v>5736560</v>
      </c>
      <c r="AX86" s="47"/>
      <c r="AY86" s="95" t="s">
        <v>76</v>
      </c>
      <c r="AZ86" s="47"/>
      <c r="BA86" s="47">
        <v>655000</v>
      </c>
      <c r="BB86" s="47"/>
      <c r="BC86" s="47">
        <v>1837591</v>
      </c>
      <c r="BD86" s="47"/>
      <c r="BE86" s="47">
        <f>48319+5524675</f>
        <v>5572994</v>
      </c>
      <c r="BF86" s="47"/>
      <c r="BG86" s="47">
        <f>234145+4075000</f>
        <v>4309145</v>
      </c>
      <c r="BH86" s="47"/>
      <c r="BI86" s="47"/>
      <c r="BJ86" s="47"/>
      <c r="BK86" s="47">
        <f t="shared" si="17"/>
        <v>12374730</v>
      </c>
      <c r="BL86" s="1"/>
    </row>
    <row r="87" spans="1:64" ht="12.75">
      <c r="A87" s="40" t="s">
        <v>77</v>
      </c>
      <c r="B87" s="40"/>
      <c r="C87" s="51">
        <f t="shared" si="9"/>
        <v>1972378</v>
      </c>
      <c r="D87" s="51"/>
      <c r="E87" s="51">
        <v>11198078</v>
      </c>
      <c r="F87" s="51"/>
      <c r="G87" s="51">
        <v>13170456</v>
      </c>
      <c r="H87" s="51"/>
      <c r="I87" s="51">
        <f t="shared" si="10"/>
        <v>120693</v>
      </c>
      <c r="J87" s="51"/>
      <c r="K87" s="51">
        <f t="shared" si="11"/>
        <v>2122823</v>
      </c>
      <c r="L87" s="51"/>
      <c r="M87" s="51">
        <v>2243516</v>
      </c>
      <c r="N87" s="51"/>
      <c r="O87" s="51">
        <v>9941405</v>
      </c>
      <c r="P87" s="51"/>
      <c r="Q87" s="51">
        <v>0</v>
      </c>
      <c r="R87" s="51"/>
      <c r="S87" s="51">
        <v>985535</v>
      </c>
      <c r="T87" s="51"/>
      <c r="U87" s="51">
        <f t="shared" si="12"/>
        <v>10926940</v>
      </c>
      <c r="V87" s="51"/>
      <c r="W87" s="51">
        <f t="shared" si="13"/>
        <v>0</v>
      </c>
      <c r="X87" s="51"/>
      <c r="Y87" s="95" t="s">
        <v>77</v>
      </c>
      <c r="Z87" s="51"/>
      <c r="AA87" s="47">
        <v>1190485</v>
      </c>
      <c r="AB87" s="47"/>
      <c r="AC87" s="47">
        <f>1268249-410014</f>
        <v>858235</v>
      </c>
      <c r="AD87" s="47"/>
      <c r="AE87" s="47">
        <v>410014</v>
      </c>
      <c r="AF87" s="47"/>
      <c r="AG87" s="52">
        <f t="shared" si="14"/>
        <v>-77764</v>
      </c>
      <c r="AH87" s="52"/>
      <c r="AI87" s="52">
        <v>-73669</v>
      </c>
      <c r="AJ87" s="52"/>
      <c r="AK87" s="47">
        <v>538</v>
      </c>
      <c r="AL87" s="47"/>
      <c r="AM87" s="47">
        <v>0</v>
      </c>
      <c r="AN87" s="47"/>
      <c r="AO87" s="47">
        <v>0</v>
      </c>
      <c r="AP87" s="47"/>
      <c r="AQ87" s="52">
        <f t="shared" si="15"/>
        <v>-150895</v>
      </c>
      <c r="AR87" s="52"/>
      <c r="AS87" s="47">
        <v>0</v>
      </c>
      <c r="AT87" s="47"/>
      <c r="AU87" s="47">
        <v>0</v>
      </c>
      <c r="AV87" s="47"/>
      <c r="AW87" s="47">
        <f t="shared" si="16"/>
        <v>1851685</v>
      </c>
      <c r="AX87" s="47"/>
      <c r="AY87" s="95" t="s">
        <v>77</v>
      </c>
      <c r="AZ87" s="47"/>
      <c r="BA87" s="47">
        <v>0</v>
      </c>
      <c r="BB87" s="47"/>
      <c r="BC87" s="47">
        <v>0</v>
      </c>
      <c r="BD87" s="47"/>
      <c r="BE87" s="47">
        <f>553140+326348</f>
        <v>879488</v>
      </c>
      <c r="BF87" s="47"/>
      <c r="BG87" s="47">
        <f>12462+922873+308000</f>
        <v>1243335</v>
      </c>
      <c r="BH87" s="47"/>
      <c r="BI87" s="47"/>
      <c r="BJ87" s="47"/>
      <c r="BK87" s="47">
        <f t="shared" si="17"/>
        <v>2122823</v>
      </c>
      <c r="BL87" s="1"/>
    </row>
    <row r="88" spans="1:64" ht="12.75">
      <c r="A88" s="40" t="s">
        <v>78</v>
      </c>
      <c r="B88" s="40"/>
      <c r="C88" s="51">
        <f t="shared" si="9"/>
        <v>0</v>
      </c>
      <c r="D88" s="51"/>
      <c r="E88" s="51">
        <v>0</v>
      </c>
      <c r="F88" s="51"/>
      <c r="G88" s="51">
        <v>0</v>
      </c>
      <c r="H88" s="51"/>
      <c r="I88" s="51">
        <f t="shared" si="10"/>
        <v>0</v>
      </c>
      <c r="J88" s="51"/>
      <c r="K88" s="51">
        <f t="shared" si="11"/>
        <v>0</v>
      </c>
      <c r="L88" s="51"/>
      <c r="M88" s="51">
        <v>0</v>
      </c>
      <c r="N88" s="51"/>
      <c r="O88" s="51">
        <v>0</v>
      </c>
      <c r="P88" s="51"/>
      <c r="Q88" s="51">
        <v>0</v>
      </c>
      <c r="R88" s="51"/>
      <c r="S88" s="51">
        <v>0</v>
      </c>
      <c r="T88" s="51"/>
      <c r="U88" s="51">
        <f t="shared" si="12"/>
        <v>0</v>
      </c>
      <c r="V88" s="51"/>
      <c r="W88" s="51">
        <f t="shared" si="13"/>
        <v>0</v>
      </c>
      <c r="X88" s="51"/>
      <c r="Y88" s="95" t="s">
        <v>78</v>
      </c>
      <c r="Z88" s="51"/>
      <c r="AA88" s="47">
        <v>0</v>
      </c>
      <c r="AB88" s="47"/>
      <c r="AC88" s="47">
        <v>0</v>
      </c>
      <c r="AD88" s="47"/>
      <c r="AE88" s="47">
        <v>0</v>
      </c>
      <c r="AF88" s="47"/>
      <c r="AG88" s="52">
        <f t="shared" si="14"/>
        <v>0</v>
      </c>
      <c r="AH88" s="52"/>
      <c r="AI88" s="52">
        <v>0</v>
      </c>
      <c r="AJ88" s="52"/>
      <c r="AK88" s="47">
        <v>0</v>
      </c>
      <c r="AL88" s="47"/>
      <c r="AM88" s="47">
        <v>0</v>
      </c>
      <c r="AN88" s="47"/>
      <c r="AO88" s="47">
        <v>0</v>
      </c>
      <c r="AP88" s="47"/>
      <c r="AQ88" s="52">
        <f t="shared" si="15"/>
        <v>0</v>
      </c>
      <c r="AR88" s="52"/>
      <c r="AS88" s="47">
        <v>0</v>
      </c>
      <c r="AT88" s="47"/>
      <c r="AU88" s="47">
        <v>0</v>
      </c>
      <c r="AV88" s="47"/>
      <c r="AW88" s="47">
        <f t="shared" si="16"/>
        <v>0</v>
      </c>
      <c r="AX88" s="47"/>
      <c r="AY88" s="95" t="s">
        <v>78</v>
      </c>
      <c r="AZ88" s="47"/>
      <c r="BA88" s="47">
        <v>0</v>
      </c>
      <c r="BB88" s="47"/>
      <c r="BC88" s="47">
        <v>0</v>
      </c>
      <c r="BD88" s="47"/>
      <c r="BE88" s="47">
        <v>0</v>
      </c>
      <c r="BF88" s="47"/>
      <c r="BG88" s="47">
        <v>0</v>
      </c>
      <c r="BH88" s="47"/>
      <c r="BI88" s="47"/>
      <c r="BJ88" s="47"/>
      <c r="BK88" s="47">
        <f t="shared" si="17"/>
        <v>0</v>
      </c>
      <c r="BL88" s="1"/>
    </row>
    <row r="89" spans="1:68" ht="12.75">
      <c r="A89" s="40" t="s">
        <v>79</v>
      </c>
      <c r="B89" s="40"/>
      <c r="C89" s="51">
        <f t="shared" si="9"/>
        <v>0</v>
      </c>
      <c r="D89" s="51"/>
      <c r="E89" s="51">
        <v>0</v>
      </c>
      <c r="F89" s="51"/>
      <c r="G89" s="51">
        <v>0</v>
      </c>
      <c r="H89" s="51"/>
      <c r="I89" s="51">
        <f t="shared" si="10"/>
        <v>0</v>
      </c>
      <c r="J89" s="51"/>
      <c r="K89" s="51">
        <f t="shared" si="11"/>
        <v>0</v>
      </c>
      <c r="L89" s="51"/>
      <c r="M89" s="51">
        <v>0</v>
      </c>
      <c r="N89" s="51"/>
      <c r="O89" s="51">
        <v>0</v>
      </c>
      <c r="P89" s="51"/>
      <c r="Q89" s="51">
        <v>0</v>
      </c>
      <c r="R89" s="51"/>
      <c r="S89" s="51">
        <v>0</v>
      </c>
      <c r="T89" s="51"/>
      <c r="U89" s="51">
        <f t="shared" si="12"/>
        <v>0</v>
      </c>
      <c r="V89" s="51"/>
      <c r="W89" s="51">
        <f t="shared" si="13"/>
        <v>0</v>
      </c>
      <c r="X89" s="51"/>
      <c r="Y89" s="95" t="s">
        <v>79</v>
      </c>
      <c r="Z89" s="51"/>
      <c r="AA89" s="47">
        <v>0</v>
      </c>
      <c r="AB89" s="47"/>
      <c r="AC89" s="47">
        <v>0</v>
      </c>
      <c r="AD89" s="47"/>
      <c r="AE89" s="47">
        <v>0</v>
      </c>
      <c r="AF89" s="47"/>
      <c r="AG89" s="52">
        <f t="shared" si="14"/>
        <v>0</v>
      </c>
      <c r="AH89" s="52"/>
      <c r="AI89" s="52">
        <v>0</v>
      </c>
      <c r="AJ89" s="52"/>
      <c r="AK89" s="47">
        <v>0</v>
      </c>
      <c r="AL89" s="47"/>
      <c r="AM89" s="47">
        <v>0</v>
      </c>
      <c r="AN89" s="47"/>
      <c r="AO89" s="47">
        <v>0</v>
      </c>
      <c r="AP89" s="47"/>
      <c r="AQ89" s="52">
        <f t="shared" si="15"/>
        <v>0</v>
      </c>
      <c r="AR89" s="52"/>
      <c r="AS89" s="47">
        <v>0</v>
      </c>
      <c r="AT89" s="47"/>
      <c r="AU89" s="47">
        <v>0</v>
      </c>
      <c r="AV89" s="47"/>
      <c r="AW89" s="47">
        <f t="shared" si="16"/>
        <v>0</v>
      </c>
      <c r="AX89" s="51"/>
      <c r="AY89" s="95" t="s">
        <v>79</v>
      </c>
      <c r="AZ89" s="51"/>
      <c r="BA89" s="47">
        <v>0</v>
      </c>
      <c r="BB89" s="47"/>
      <c r="BC89" s="47">
        <v>0</v>
      </c>
      <c r="BD89" s="47"/>
      <c r="BE89" s="47">
        <v>0</v>
      </c>
      <c r="BF89" s="47"/>
      <c r="BG89" s="47">
        <v>0</v>
      </c>
      <c r="BH89" s="47"/>
      <c r="BI89" s="47"/>
      <c r="BJ89" s="47"/>
      <c r="BK89" s="47">
        <f t="shared" si="17"/>
        <v>0</v>
      </c>
      <c r="BL89" s="62"/>
      <c r="BM89" s="1"/>
      <c r="BN89" s="1"/>
      <c r="BO89" s="1"/>
      <c r="BP89" s="1"/>
    </row>
    <row r="90" spans="1:64" ht="12.75">
      <c r="A90" s="40" t="s">
        <v>80</v>
      </c>
      <c r="B90" s="40"/>
      <c r="C90" s="51">
        <f t="shared" si="9"/>
        <v>0</v>
      </c>
      <c r="D90" s="51"/>
      <c r="E90" s="51">
        <v>0</v>
      </c>
      <c r="F90" s="51"/>
      <c r="G90" s="51">
        <v>0</v>
      </c>
      <c r="H90" s="51"/>
      <c r="I90" s="51">
        <f t="shared" si="10"/>
        <v>0</v>
      </c>
      <c r="J90" s="51"/>
      <c r="K90" s="51">
        <f t="shared" si="11"/>
        <v>0</v>
      </c>
      <c r="L90" s="51"/>
      <c r="M90" s="51">
        <v>0</v>
      </c>
      <c r="N90" s="51"/>
      <c r="O90" s="51">
        <v>0</v>
      </c>
      <c r="P90" s="51"/>
      <c r="Q90" s="51">
        <v>0</v>
      </c>
      <c r="R90" s="51"/>
      <c r="S90" s="51">
        <v>0</v>
      </c>
      <c r="T90" s="51"/>
      <c r="U90" s="51">
        <f t="shared" si="12"/>
        <v>0</v>
      </c>
      <c r="V90" s="51"/>
      <c r="W90" s="51">
        <f t="shared" si="13"/>
        <v>0</v>
      </c>
      <c r="X90" s="51"/>
      <c r="Y90" s="95" t="s">
        <v>80</v>
      </c>
      <c r="Z90" s="51"/>
      <c r="AA90" s="47">
        <v>0</v>
      </c>
      <c r="AB90" s="47"/>
      <c r="AC90" s="47">
        <v>0</v>
      </c>
      <c r="AD90" s="47"/>
      <c r="AE90" s="47">
        <v>0</v>
      </c>
      <c r="AF90" s="47"/>
      <c r="AG90" s="52">
        <f t="shared" si="14"/>
        <v>0</v>
      </c>
      <c r="AH90" s="52"/>
      <c r="AI90" s="52">
        <v>0</v>
      </c>
      <c r="AJ90" s="52"/>
      <c r="AK90" s="47">
        <v>0</v>
      </c>
      <c r="AL90" s="47"/>
      <c r="AM90" s="47">
        <v>0</v>
      </c>
      <c r="AN90" s="47"/>
      <c r="AO90" s="47">
        <v>0</v>
      </c>
      <c r="AP90" s="47"/>
      <c r="AQ90" s="52">
        <f t="shared" si="15"/>
        <v>0</v>
      </c>
      <c r="AR90" s="52"/>
      <c r="AS90" s="47">
        <v>0</v>
      </c>
      <c r="AT90" s="47"/>
      <c r="AU90" s="47">
        <v>0</v>
      </c>
      <c r="AV90" s="47"/>
      <c r="AW90" s="47">
        <f t="shared" si="16"/>
        <v>0</v>
      </c>
      <c r="AX90" s="51"/>
      <c r="AY90" s="95" t="s">
        <v>80</v>
      </c>
      <c r="AZ90" s="51"/>
      <c r="BA90" s="47">
        <v>0</v>
      </c>
      <c r="BB90" s="47"/>
      <c r="BC90" s="47">
        <v>0</v>
      </c>
      <c r="BD90" s="47"/>
      <c r="BE90" s="47">
        <v>0</v>
      </c>
      <c r="BF90" s="47"/>
      <c r="BG90" s="47">
        <v>0</v>
      </c>
      <c r="BH90" s="47"/>
      <c r="BI90" s="47"/>
      <c r="BJ90" s="47"/>
      <c r="BK90" s="47">
        <f t="shared" si="17"/>
        <v>0</v>
      </c>
      <c r="BL90" s="62"/>
    </row>
    <row r="91" spans="1:64" ht="12.75">
      <c r="A91" s="40" t="s">
        <v>81</v>
      </c>
      <c r="B91" s="40"/>
      <c r="C91" s="51">
        <f t="shared" si="9"/>
        <v>13454381</v>
      </c>
      <c r="D91" s="51"/>
      <c r="E91" s="51">
        <v>76732867</v>
      </c>
      <c r="F91" s="51"/>
      <c r="G91" s="51">
        <v>90187248</v>
      </c>
      <c r="H91" s="51"/>
      <c r="I91" s="51">
        <f t="shared" si="10"/>
        <v>2033164</v>
      </c>
      <c r="J91" s="51"/>
      <c r="K91" s="51">
        <f t="shared" si="11"/>
        <v>7548755</v>
      </c>
      <c r="L91" s="51"/>
      <c r="M91" s="51">
        <v>9581919</v>
      </c>
      <c r="N91" s="51"/>
      <c r="O91" s="51">
        <v>68229187</v>
      </c>
      <c r="P91" s="51"/>
      <c r="Q91" s="51">
        <v>232651</v>
      </c>
      <c r="R91" s="51"/>
      <c r="S91" s="51">
        <v>12143491</v>
      </c>
      <c r="T91" s="51"/>
      <c r="U91" s="51">
        <f t="shared" si="12"/>
        <v>80605329</v>
      </c>
      <c r="V91" s="51"/>
      <c r="W91" s="51">
        <f t="shared" si="13"/>
        <v>0</v>
      </c>
      <c r="X91" s="51"/>
      <c r="Y91" s="95" t="s">
        <v>81</v>
      </c>
      <c r="Z91" s="51"/>
      <c r="AA91" s="47">
        <v>6645735</v>
      </c>
      <c r="AB91" s="47"/>
      <c r="AC91" s="47">
        <f>7885542-2104212</f>
        <v>5781330</v>
      </c>
      <c r="AD91" s="47"/>
      <c r="AE91" s="47">
        <v>2104212</v>
      </c>
      <c r="AF91" s="47"/>
      <c r="AG91" s="52">
        <f t="shared" si="14"/>
        <v>-1239807</v>
      </c>
      <c r="AH91" s="52"/>
      <c r="AI91" s="52">
        <v>-314723</v>
      </c>
      <c r="AJ91" s="52"/>
      <c r="AK91" s="47">
        <v>0</v>
      </c>
      <c r="AL91" s="47"/>
      <c r="AM91" s="47">
        <v>0</v>
      </c>
      <c r="AN91" s="47"/>
      <c r="AO91" s="47">
        <f>3083397+3023720</f>
        <v>6107117</v>
      </c>
      <c r="AP91" s="47"/>
      <c r="AQ91" s="52">
        <f t="shared" si="15"/>
        <v>4552587</v>
      </c>
      <c r="AR91" s="52"/>
      <c r="AS91" s="47">
        <v>0</v>
      </c>
      <c r="AT91" s="47"/>
      <c r="AU91" s="47">
        <v>0</v>
      </c>
      <c r="AV91" s="47"/>
      <c r="AW91" s="47">
        <f t="shared" si="16"/>
        <v>11421217</v>
      </c>
      <c r="AX91" s="47"/>
      <c r="AY91" s="95" t="s">
        <v>81</v>
      </c>
      <c r="AZ91" s="47"/>
      <c r="BA91" s="47">
        <v>0</v>
      </c>
      <c r="BB91" s="47"/>
      <c r="BC91" s="47">
        <v>6735677</v>
      </c>
      <c r="BD91" s="47"/>
      <c r="BE91" s="47">
        <v>665244</v>
      </c>
      <c r="BF91" s="47"/>
      <c r="BG91" s="47">
        <v>147834</v>
      </c>
      <c r="BH91" s="47"/>
      <c r="BI91" s="47"/>
      <c r="BJ91" s="47"/>
      <c r="BK91" s="47">
        <f t="shared" si="17"/>
        <v>7548755</v>
      </c>
      <c r="BL91" s="1"/>
    </row>
    <row r="92" spans="1:68" ht="12.75">
      <c r="A92" s="40" t="s">
        <v>82</v>
      </c>
      <c r="B92" s="40"/>
      <c r="C92" s="51">
        <f t="shared" si="9"/>
        <v>460445</v>
      </c>
      <c r="D92" s="51"/>
      <c r="E92" s="51">
        <v>4640780</v>
      </c>
      <c r="F92" s="51"/>
      <c r="G92" s="51">
        <v>5101225</v>
      </c>
      <c r="H92" s="51"/>
      <c r="I92" s="51">
        <f t="shared" si="10"/>
        <v>79486</v>
      </c>
      <c r="J92" s="51"/>
      <c r="K92" s="51">
        <f t="shared" si="11"/>
        <v>1231709</v>
      </c>
      <c r="L92" s="51"/>
      <c r="M92" s="51">
        <v>1311195</v>
      </c>
      <c r="N92" s="51"/>
      <c r="O92" s="51">
        <v>3358991</v>
      </c>
      <c r="P92" s="51"/>
      <c r="Q92" s="51">
        <v>0</v>
      </c>
      <c r="R92" s="51"/>
      <c r="S92" s="51">
        <v>431039</v>
      </c>
      <c r="T92" s="51"/>
      <c r="U92" s="51">
        <f t="shared" si="12"/>
        <v>3790030</v>
      </c>
      <c r="V92" s="51"/>
      <c r="W92" s="51">
        <f t="shared" si="13"/>
        <v>0</v>
      </c>
      <c r="X92" s="51"/>
      <c r="Y92" s="95" t="s">
        <v>82</v>
      </c>
      <c r="Z92" s="51"/>
      <c r="AA92" s="47">
        <v>355649</v>
      </c>
      <c r="AB92" s="47"/>
      <c r="AC92" s="47">
        <f>419928-164866</f>
        <v>255062</v>
      </c>
      <c r="AD92" s="47"/>
      <c r="AE92" s="47">
        <v>164866</v>
      </c>
      <c r="AF92" s="47"/>
      <c r="AG92" s="52">
        <f t="shared" si="14"/>
        <v>-64279</v>
      </c>
      <c r="AH92" s="52"/>
      <c r="AI92" s="52">
        <v>-39656</v>
      </c>
      <c r="AJ92" s="52"/>
      <c r="AK92" s="47">
        <v>0</v>
      </c>
      <c r="AL92" s="47"/>
      <c r="AM92" s="47">
        <v>0</v>
      </c>
      <c r="AN92" s="47"/>
      <c r="AO92" s="47">
        <v>0</v>
      </c>
      <c r="AP92" s="47"/>
      <c r="AQ92" s="52">
        <f t="shared" si="15"/>
        <v>-103935</v>
      </c>
      <c r="AR92" s="52"/>
      <c r="AS92" s="47">
        <v>0</v>
      </c>
      <c r="AT92" s="47"/>
      <c r="AU92" s="47">
        <v>0</v>
      </c>
      <c r="AV92" s="47"/>
      <c r="AW92" s="47">
        <f t="shared" si="16"/>
        <v>380959</v>
      </c>
      <c r="AX92" s="51"/>
      <c r="AY92" s="95" t="s">
        <v>82</v>
      </c>
      <c r="AZ92" s="51"/>
      <c r="BA92" s="47">
        <v>0</v>
      </c>
      <c r="BB92" s="47"/>
      <c r="BC92" s="47">
        <v>0</v>
      </c>
      <c r="BD92" s="47"/>
      <c r="BE92" s="47">
        <f>5000+402709+824000</f>
        <v>1231709</v>
      </c>
      <c r="BF92" s="47"/>
      <c r="BG92" s="47">
        <v>0</v>
      </c>
      <c r="BH92" s="47"/>
      <c r="BI92" s="47"/>
      <c r="BJ92" s="47"/>
      <c r="BK92" s="47">
        <f t="shared" si="17"/>
        <v>1231709</v>
      </c>
      <c r="BL92" s="62"/>
      <c r="BM92" s="1"/>
      <c r="BN92" s="1"/>
      <c r="BO92" s="1"/>
      <c r="BP92" s="1"/>
    </row>
    <row r="93" spans="1:64" ht="12.75">
      <c r="A93" s="40" t="s">
        <v>83</v>
      </c>
      <c r="B93" s="40"/>
      <c r="C93" s="51">
        <f t="shared" si="9"/>
        <v>293756</v>
      </c>
      <c r="D93" s="51"/>
      <c r="E93" s="51">
        <v>3766592</v>
      </c>
      <c r="F93" s="51"/>
      <c r="G93" s="51">
        <v>4060348</v>
      </c>
      <c r="H93" s="51"/>
      <c r="I93" s="51">
        <f t="shared" si="10"/>
        <v>16863</v>
      </c>
      <c r="J93" s="51"/>
      <c r="K93" s="51">
        <f t="shared" si="11"/>
        <v>22564</v>
      </c>
      <c r="L93" s="51"/>
      <c r="M93" s="51">
        <v>39427</v>
      </c>
      <c r="N93" s="51"/>
      <c r="O93" s="51">
        <v>3766592</v>
      </c>
      <c r="P93" s="51"/>
      <c r="Q93" s="51">
        <v>0</v>
      </c>
      <c r="R93" s="51"/>
      <c r="S93" s="51">
        <v>254329</v>
      </c>
      <c r="T93" s="51"/>
      <c r="U93" s="51">
        <f t="shared" si="12"/>
        <v>4020921</v>
      </c>
      <c r="V93" s="51"/>
      <c r="W93" s="51">
        <f t="shared" si="13"/>
        <v>0</v>
      </c>
      <c r="X93" s="51"/>
      <c r="Y93" s="95" t="s">
        <v>83</v>
      </c>
      <c r="Z93" s="51"/>
      <c r="AA93" s="47">
        <v>309445</v>
      </c>
      <c r="AB93" s="47"/>
      <c r="AC93" s="47">
        <f>388062-52863</f>
        <v>335199</v>
      </c>
      <c r="AD93" s="47"/>
      <c r="AE93" s="47">
        <v>52863</v>
      </c>
      <c r="AF93" s="47"/>
      <c r="AG93" s="52">
        <f t="shared" si="14"/>
        <v>-78617</v>
      </c>
      <c r="AH93" s="52"/>
      <c r="AI93" s="52">
        <v>0</v>
      </c>
      <c r="AJ93" s="52"/>
      <c r="AK93" s="47">
        <v>49013</v>
      </c>
      <c r="AL93" s="47"/>
      <c r="AM93" s="47">
        <v>0</v>
      </c>
      <c r="AN93" s="47"/>
      <c r="AO93" s="47">
        <v>1361149</v>
      </c>
      <c r="AP93" s="47"/>
      <c r="AQ93" s="52">
        <f t="shared" si="15"/>
        <v>1331545</v>
      </c>
      <c r="AR93" s="52"/>
      <c r="AS93" s="47">
        <v>0</v>
      </c>
      <c r="AT93" s="47"/>
      <c r="AU93" s="47">
        <v>0</v>
      </c>
      <c r="AV93" s="47"/>
      <c r="AW93" s="47">
        <f t="shared" si="16"/>
        <v>276893</v>
      </c>
      <c r="AX93" s="47"/>
      <c r="AY93" s="95" t="s">
        <v>83</v>
      </c>
      <c r="AZ93" s="47"/>
      <c r="BA93" s="47">
        <v>0</v>
      </c>
      <c r="BB93" s="47"/>
      <c r="BC93" s="47">
        <v>0</v>
      </c>
      <c r="BD93" s="47"/>
      <c r="BE93" s="47">
        <v>0</v>
      </c>
      <c r="BF93" s="47"/>
      <c r="BG93" s="47">
        <v>22564</v>
      </c>
      <c r="BH93" s="47"/>
      <c r="BI93" s="47"/>
      <c r="BJ93" s="47"/>
      <c r="BK93" s="47">
        <f t="shared" si="17"/>
        <v>22564</v>
      </c>
      <c r="BL93" s="1"/>
    </row>
    <row r="94" spans="1:64" ht="12.75" hidden="1">
      <c r="A94" s="40" t="s">
        <v>183</v>
      </c>
      <c r="B94" s="40"/>
      <c r="C94" s="51">
        <f t="shared" si="9"/>
        <v>0</v>
      </c>
      <c r="D94" s="51"/>
      <c r="E94" s="51">
        <v>0</v>
      </c>
      <c r="F94" s="51"/>
      <c r="G94" s="51">
        <v>0</v>
      </c>
      <c r="H94" s="51"/>
      <c r="I94" s="51">
        <f t="shared" si="10"/>
        <v>0</v>
      </c>
      <c r="J94" s="51"/>
      <c r="K94" s="51">
        <f t="shared" si="11"/>
        <v>0</v>
      </c>
      <c r="L94" s="51"/>
      <c r="M94" s="51">
        <v>0</v>
      </c>
      <c r="N94" s="51"/>
      <c r="O94" s="51">
        <v>0</v>
      </c>
      <c r="P94" s="51"/>
      <c r="Q94" s="51">
        <v>0</v>
      </c>
      <c r="R94" s="51"/>
      <c r="S94" s="51">
        <v>0</v>
      </c>
      <c r="T94" s="51"/>
      <c r="U94" s="51">
        <f t="shared" si="12"/>
        <v>0</v>
      </c>
      <c r="V94" s="51"/>
      <c r="W94" s="51">
        <f t="shared" si="13"/>
        <v>0</v>
      </c>
      <c r="X94" s="51"/>
      <c r="Y94" s="40" t="s">
        <v>183</v>
      </c>
      <c r="Z94" s="51"/>
      <c r="AA94" s="47">
        <v>0</v>
      </c>
      <c r="AB94" s="47"/>
      <c r="AC94" s="47">
        <v>0</v>
      </c>
      <c r="AD94" s="47"/>
      <c r="AE94" s="47">
        <v>0</v>
      </c>
      <c r="AF94" s="47"/>
      <c r="AG94" s="52">
        <f t="shared" si="14"/>
        <v>0</v>
      </c>
      <c r="AH94" s="52"/>
      <c r="AI94" s="52">
        <v>0</v>
      </c>
      <c r="AJ94" s="52"/>
      <c r="AK94" s="47">
        <v>0</v>
      </c>
      <c r="AL94" s="47"/>
      <c r="AM94" s="47">
        <v>0</v>
      </c>
      <c r="AN94" s="47"/>
      <c r="AO94" s="47">
        <v>0</v>
      </c>
      <c r="AP94" s="47"/>
      <c r="AQ94" s="52">
        <f t="shared" si="15"/>
        <v>0</v>
      </c>
      <c r="AR94" s="52"/>
      <c r="AS94" s="47">
        <v>0</v>
      </c>
      <c r="AT94" s="47"/>
      <c r="AU94" s="47">
        <v>0</v>
      </c>
      <c r="AV94" s="47"/>
      <c r="AW94" s="47">
        <f t="shared" si="16"/>
        <v>0</v>
      </c>
      <c r="AX94" s="51"/>
      <c r="AY94" s="40" t="s">
        <v>183</v>
      </c>
      <c r="AZ94" s="51"/>
      <c r="BA94" s="47">
        <v>0</v>
      </c>
      <c r="BB94" s="47"/>
      <c r="BC94" s="47">
        <v>0</v>
      </c>
      <c r="BD94" s="47"/>
      <c r="BE94" s="47">
        <v>0</v>
      </c>
      <c r="BF94" s="47"/>
      <c r="BG94" s="47">
        <v>0</v>
      </c>
      <c r="BH94" s="47"/>
      <c r="BI94" s="47"/>
      <c r="BJ94" s="47"/>
      <c r="BK94" s="47">
        <f t="shared" si="17"/>
        <v>0</v>
      </c>
      <c r="BL94" s="1"/>
    </row>
    <row r="95" spans="1:64" ht="12.75">
      <c r="A95" s="40" t="s">
        <v>84</v>
      </c>
      <c r="B95" s="40"/>
      <c r="C95" s="51">
        <f t="shared" si="9"/>
        <v>0</v>
      </c>
      <c r="D95" s="51"/>
      <c r="E95" s="51">
        <v>0</v>
      </c>
      <c r="F95" s="51"/>
      <c r="G95" s="51">
        <v>0</v>
      </c>
      <c r="H95" s="51"/>
      <c r="I95" s="51">
        <f t="shared" si="10"/>
        <v>0</v>
      </c>
      <c r="J95" s="51"/>
      <c r="K95" s="51">
        <f t="shared" si="11"/>
        <v>0</v>
      </c>
      <c r="L95" s="51"/>
      <c r="M95" s="51">
        <v>0</v>
      </c>
      <c r="N95" s="51"/>
      <c r="O95" s="51">
        <v>0</v>
      </c>
      <c r="P95" s="51"/>
      <c r="Q95" s="51">
        <v>0</v>
      </c>
      <c r="R95" s="51"/>
      <c r="S95" s="51">
        <v>0</v>
      </c>
      <c r="T95" s="51"/>
      <c r="U95" s="51">
        <f t="shared" si="12"/>
        <v>0</v>
      </c>
      <c r="V95" s="51"/>
      <c r="W95" s="51">
        <f t="shared" si="13"/>
        <v>0</v>
      </c>
      <c r="X95" s="51"/>
      <c r="Y95" s="40" t="s">
        <v>84</v>
      </c>
      <c r="Z95" s="51"/>
      <c r="AA95" s="47">
        <v>0</v>
      </c>
      <c r="AB95" s="47"/>
      <c r="AC95" s="47">
        <v>0</v>
      </c>
      <c r="AD95" s="47"/>
      <c r="AE95" s="47">
        <v>0</v>
      </c>
      <c r="AF95" s="47"/>
      <c r="AG95" s="52">
        <f t="shared" si="14"/>
        <v>0</v>
      </c>
      <c r="AH95" s="52"/>
      <c r="AI95" s="52">
        <v>0</v>
      </c>
      <c r="AJ95" s="52"/>
      <c r="AK95" s="47">
        <v>0</v>
      </c>
      <c r="AL95" s="47"/>
      <c r="AM95" s="47">
        <v>0</v>
      </c>
      <c r="AN95" s="47"/>
      <c r="AO95" s="47">
        <v>0</v>
      </c>
      <c r="AP95" s="47"/>
      <c r="AQ95" s="52">
        <f t="shared" si="15"/>
        <v>0</v>
      </c>
      <c r="AR95" s="52"/>
      <c r="AS95" s="47">
        <v>0</v>
      </c>
      <c r="AT95" s="47"/>
      <c r="AU95" s="47">
        <v>0</v>
      </c>
      <c r="AV95" s="47"/>
      <c r="AW95" s="47">
        <f t="shared" si="16"/>
        <v>0</v>
      </c>
      <c r="AX95" s="51"/>
      <c r="AY95" s="40" t="s">
        <v>84</v>
      </c>
      <c r="AZ95" s="51"/>
      <c r="BA95" s="47">
        <v>0</v>
      </c>
      <c r="BB95" s="47"/>
      <c r="BC95" s="47">
        <v>0</v>
      </c>
      <c r="BD95" s="47"/>
      <c r="BE95" s="47">
        <v>0</v>
      </c>
      <c r="BF95" s="47"/>
      <c r="BG95" s="47">
        <v>0</v>
      </c>
      <c r="BH95" s="47"/>
      <c r="BI95" s="47"/>
      <c r="BJ95" s="47"/>
      <c r="BK95" s="47">
        <f t="shared" si="17"/>
        <v>0</v>
      </c>
      <c r="BL95" s="62"/>
    </row>
    <row r="96" spans="1:64" ht="12.75" hidden="1">
      <c r="A96" s="40" t="s">
        <v>184</v>
      </c>
      <c r="B96" s="40"/>
      <c r="C96" s="51">
        <f t="shared" si="9"/>
        <v>0</v>
      </c>
      <c r="D96" s="51"/>
      <c r="E96" s="51">
        <v>0</v>
      </c>
      <c r="F96" s="51"/>
      <c r="G96" s="51">
        <v>0</v>
      </c>
      <c r="H96" s="51"/>
      <c r="I96" s="51">
        <f t="shared" si="10"/>
        <v>0</v>
      </c>
      <c r="J96" s="51"/>
      <c r="K96" s="51">
        <f t="shared" si="11"/>
        <v>0</v>
      </c>
      <c r="L96" s="51"/>
      <c r="M96" s="51">
        <v>0</v>
      </c>
      <c r="N96" s="51"/>
      <c r="O96" s="51">
        <v>0</v>
      </c>
      <c r="P96" s="51"/>
      <c r="Q96" s="51">
        <v>0</v>
      </c>
      <c r="R96" s="51"/>
      <c r="S96" s="51">
        <v>0</v>
      </c>
      <c r="T96" s="51"/>
      <c r="U96" s="51">
        <f t="shared" si="12"/>
        <v>0</v>
      </c>
      <c r="V96" s="51"/>
      <c r="W96" s="51">
        <f t="shared" si="13"/>
        <v>0</v>
      </c>
      <c r="X96" s="51"/>
      <c r="Y96" s="40" t="s">
        <v>184</v>
      </c>
      <c r="Z96" s="51"/>
      <c r="AA96" s="47">
        <v>0</v>
      </c>
      <c r="AB96" s="47"/>
      <c r="AC96" s="47">
        <v>0</v>
      </c>
      <c r="AD96" s="47"/>
      <c r="AE96" s="47">
        <v>0</v>
      </c>
      <c r="AF96" s="47"/>
      <c r="AG96" s="52">
        <f t="shared" si="14"/>
        <v>0</v>
      </c>
      <c r="AH96" s="52"/>
      <c r="AI96" s="52">
        <v>0</v>
      </c>
      <c r="AJ96" s="52"/>
      <c r="AK96" s="47">
        <v>0</v>
      </c>
      <c r="AL96" s="47"/>
      <c r="AM96" s="47">
        <v>0</v>
      </c>
      <c r="AN96" s="47"/>
      <c r="AO96" s="47">
        <v>0</v>
      </c>
      <c r="AP96" s="47"/>
      <c r="AQ96" s="52">
        <f t="shared" si="15"/>
        <v>0</v>
      </c>
      <c r="AR96" s="52"/>
      <c r="AS96" s="47">
        <v>0</v>
      </c>
      <c r="AT96" s="47"/>
      <c r="AU96" s="47">
        <v>0</v>
      </c>
      <c r="AV96" s="47"/>
      <c r="AW96" s="47">
        <f t="shared" si="16"/>
        <v>0</v>
      </c>
      <c r="AX96" s="51"/>
      <c r="AY96" s="40" t="s">
        <v>184</v>
      </c>
      <c r="AZ96" s="51"/>
      <c r="BA96" s="47">
        <v>0</v>
      </c>
      <c r="BB96" s="47"/>
      <c r="BC96" s="47">
        <v>0</v>
      </c>
      <c r="BD96" s="47"/>
      <c r="BE96" s="47">
        <v>0</v>
      </c>
      <c r="BF96" s="47"/>
      <c r="BG96" s="47">
        <v>0</v>
      </c>
      <c r="BH96" s="47"/>
      <c r="BI96" s="47"/>
      <c r="BJ96" s="47"/>
      <c r="BK96" s="47">
        <f t="shared" si="17"/>
        <v>0</v>
      </c>
      <c r="BL96" s="1"/>
    </row>
    <row r="97" spans="1:64" ht="12.75">
      <c r="A97" s="40"/>
      <c r="B97" s="4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40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40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47"/>
      <c r="BL97" s="1"/>
    </row>
    <row r="98" spans="1:64" ht="12.75">
      <c r="A98" s="40"/>
      <c r="B98" s="4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40"/>
      <c r="Z98" s="11"/>
      <c r="AA98" s="11"/>
      <c r="AB98" s="11"/>
      <c r="AC98" s="9"/>
      <c r="AD98" s="9"/>
      <c r="AE98" s="9"/>
      <c r="AF98" s="9"/>
      <c r="AG98" s="10"/>
      <c r="AH98" s="10"/>
      <c r="AI98" s="10"/>
      <c r="AJ98" s="10"/>
      <c r="AK98" s="10"/>
      <c r="AL98" s="10"/>
      <c r="AM98" s="10"/>
      <c r="AN98" s="10"/>
      <c r="AO98" s="1"/>
      <c r="AP98" s="1"/>
      <c r="AQ98" s="1"/>
      <c r="AR98" s="1"/>
      <c r="AS98" s="1"/>
      <c r="AT98" s="1"/>
      <c r="AU98" s="1"/>
      <c r="AV98" s="1"/>
      <c r="AW98" s="101" t="s">
        <v>216</v>
      </c>
      <c r="AX98" s="1"/>
      <c r="AY98" s="40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>
      <c r="A99" s="40"/>
      <c r="B99" s="4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9"/>
      <c r="AD99" s="9"/>
      <c r="AE99" s="9"/>
      <c r="AF99" s="9"/>
      <c r="AG99" s="10"/>
      <c r="AH99" s="10"/>
      <c r="AI99" s="10"/>
      <c r="AJ99" s="10"/>
      <c r="AK99" s="10"/>
      <c r="AL99" s="10"/>
      <c r="AM99" s="10"/>
      <c r="AN99" s="10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40"/>
      <c r="B100" s="4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9"/>
      <c r="AD100" s="9"/>
      <c r="AE100" s="9"/>
      <c r="AF100" s="9"/>
      <c r="AG100" s="10"/>
      <c r="AH100" s="10"/>
      <c r="AI100" s="10"/>
      <c r="AJ100" s="10"/>
      <c r="AK100" s="10"/>
      <c r="AL100" s="10"/>
      <c r="AM100" s="10"/>
      <c r="AN100" s="10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>
      <c r="A101" s="40"/>
      <c r="B101" s="4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9"/>
      <c r="AD101" s="9"/>
      <c r="AE101" s="9"/>
      <c r="AF101" s="9"/>
      <c r="AG101" s="10"/>
      <c r="AH101" s="10"/>
      <c r="AI101" s="10"/>
      <c r="AJ101" s="10"/>
      <c r="AK101" s="10"/>
      <c r="AL101" s="10"/>
      <c r="AM101" s="10"/>
      <c r="AN101" s="10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>
      <c r="A102" s="40"/>
      <c r="B102" s="40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9"/>
      <c r="AD102" s="9"/>
      <c r="AE102" s="9"/>
      <c r="AF102" s="9"/>
      <c r="AG102" s="10"/>
      <c r="AH102" s="10"/>
      <c r="AI102" s="10"/>
      <c r="AJ102" s="10"/>
      <c r="AK102" s="10"/>
      <c r="AL102" s="10"/>
      <c r="AM102" s="10"/>
      <c r="AN102" s="10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>
      <c r="A103" s="40"/>
      <c r="B103" s="4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9"/>
      <c r="AD103" s="9"/>
      <c r="AE103" s="9"/>
      <c r="AF103" s="9"/>
      <c r="AG103" s="10"/>
      <c r="AH103" s="10"/>
      <c r="AI103" s="10"/>
      <c r="AJ103" s="10"/>
      <c r="AK103" s="10"/>
      <c r="AL103" s="10"/>
      <c r="AM103" s="10"/>
      <c r="AN103" s="10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>
      <c r="A104" s="40"/>
      <c r="B104" s="4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9"/>
      <c r="AD104" s="9"/>
      <c r="AE104" s="9"/>
      <c r="AF104" s="9"/>
      <c r="AG104" s="10"/>
      <c r="AH104" s="10"/>
      <c r="AI104" s="10"/>
      <c r="AJ104" s="10"/>
      <c r="AK104" s="10"/>
      <c r="AL104" s="10"/>
      <c r="AM104" s="10"/>
      <c r="AN104" s="10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>
      <c r="A105" s="40"/>
      <c r="B105" s="4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9"/>
      <c r="AD105" s="9"/>
      <c r="AE105" s="9"/>
      <c r="AF105" s="9"/>
      <c r="AG105" s="10"/>
      <c r="AH105" s="10"/>
      <c r="AI105" s="10"/>
      <c r="AJ105" s="10"/>
      <c r="AK105" s="10"/>
      <c r="AL105" s="10"/>
      <c r="AM105" s="10"/>
      <c r="AN105" s="10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>
      <c r="A106" s="40"/>
      <c r="B106" s="4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9"/>
      <c r="AD106" s="9"/>
      <c r="AE106" s="9"/>
      <c r="AF106" s="9"/>
      <c r="AG106" s="10"/>
      <c r="AH106" s="10"/>
      <c r="AI106" s="10"/>
      <c r="AJ106" s="10"/>
      <c r="AK106" s="10"/>
      <c r="AL106" s="10"/>
      <c r="AM106" s="10"/>
      <c r="AN106" s="10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>
      <c r="A107" s="40"/>
      <c r="B107" s="4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9"/>
      <c r="AD107" s="9"/>
      <c r="AE107" s="9"/>
      <c r="AF107" s="9"/>
      <c r="AG107" s="10"/>
      <c r="AH107" s="10"/>
      <c r="AI107" s="10"/>
      <c r="AJ107" s="10"/>
      <c r="AK107" s="10"/>
      <c r="AL107" s="10"/>
      <c r="AM107" s="10"/>
      <c r="AN107" s="10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>
      <c r="A108" s="40"/>
      <c r="B108" s="4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9"/>
      <c r="AD108" s="9"/>
      <c r="AE108" s="9"/>
      <c r="AF108" s="9"/>
      <c r="AG108" s="10"/>
      <c r="AH108" s="10"/>
      <c r="AI108" s="10"/>
      <c r="AJ108" s="10"/>
      <c r="AK108" s="10"/>
      <c r="AL108" s="10"/>
      <c r="AM108" s="10"/>
      <c r="AN108" s="10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>
      <c r="A109" s="40"/>
      <c r="B109" s="4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9"/>
      <c r="AD109" s="9"/>
      <c r="AE109" s="9"/>
      <c r="AF109" s="9"/>
      <c r="AG109" s="10"/>
      <c r="AH109" s="10"/>
      <c r="AI109" s="10"/>
      <c r="AJ109" s="10"/>
      <c r="AK109" s="10"/>
      <c r="AL109" s="10"/>
      <c r="AM109" s="10"/>
      <c r="AN109" s="10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>
      <c r="A110" s="40"/>
      <c r="B110" s="4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9"/>
      <c r="AD110" s="9"/>
      <c r="AE110" s="9"/>
      <c r="AF110" s="9"/>
      <c r="AG110" s="10"/>
      <c r="AH110" s="10"/>
      <c r="AI110" s="10"/>
      <c r="AJ110" s="10"/>
      <c r="AK110" s="10"/>
      <c r="AL110" s="10"/>
      <c r="AM110" s="10"/>
      <c r="AN110" s="10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>
      <c r="A111" s="40"/>
      <c r="B111" s="4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9"/>
      <c r="AD111" s="9"/>
      <c r="AE111" s="9"/>
      <c r="AF111" s="9"/>
      <c r="AG111" s="10"/>
      <c r="AH111" s="10"/>
      <c r="AI111" s="10"/>
      <c r="AJ111" s="10"/>
      <c r="AK111" s="10"/>
      <c r="AL111" s="10"/>
      <c r="AM111" s="10"/>
      <c r="AN111" s="10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>
      <c r="A112" s="40"/>
      <c r="B112" s="4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9"/>
      <c r="AD112" s="9"/>
      <c r="AE112" s="9"/>
      <c r="AF112" s="9"/>
      <c r="AG112" s="10"/>
      <c r="AH112" s="10"/>
      <c r="AI112" s="10"/>
      <c r="AJ112" s="10"/>
      <c r="AK112" s="10"/>
      <c r="AL112" s="10"/>
      <c r="AM112" s="10"/>
      <c r="AN112" s="10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>
      <c r="A113" s="40"/>
      <c r="B113" s="4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9"/>
      <c r="AD113" s="9"/>
      <c r="AE113" s="9"/>
      <c r="AF113" s="9"/>
      <c r="AG113" s="10"/>
      <c r="AH113" s="10"/>
      <c r="AI113" s="10"/>
      <c r="AJ113" s="10"/>
      <c r="AK113" s="10"/>
      <c r="AL113" s="10"/>
      <c r="AM113" s="10"/>
      <c r="AN113" s="10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>
      <c r="A114" s="40"/>
      <c r="B114" s="4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9"/>
      <c r="AD114" s="9"/>
      <c r="AE114" s="9"/>
      <c r="AF114" s="9"/>
      <c r="AG114" s="10"/>
      <c r="AH114" s="10"/>
      <c r="AI114" s="10"/>
      <c r="AJ114" s="10"/>
      <c r="AK114" s="10"/>
      <c r="AL114" s="10"/>
      <c r="AM114" s="10"/>
      <c r="AN114" s="10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51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38"/>
      <c r="AH115" s="38"/>
      <c r="AI115" s="38"/>
      <c r="AJ115" s="38"/>
      <c r="AK115" s="38"/>
      <c r="AL115" s="38"/>
      <c r="AM115" s="38"/>
      <c r="AN115" s="38"/>
      <c r="AO115" s="40"/>
      <c r="AP115" s="40"/>
      <c r="AY115" s="40"/>
    </row>
    <row r="116" spans="1:51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38"/>
      <c r="AH116" s="38"/>
      <c r="AI116" s="38"/>
      <c r="AJ116" s="38"/>
      <c r="AK116" s="38"/>
      <c r="AL116" s="38"/>
      <c r="AM116" s="38"/>
      <c r="AN116" s="38"/>
      <c r="AO116" s="40"/>
      <c r="AP116" s="40"/>
      <c r="AY116" s="40"/>
    </row>
    <row r="117" spans="1:51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38"/>
      <c r="AH117" s="38"/>
      <c r="AI117" s="38"/>
      <c r="AJ117" s="38"/>
      <c r="AK117" s="38"/>
      <c r="AL117" s="38"/>
      <c r="AM117" s="38"/>
      <c r="AN117" s="38"/>
      <c r="AO117" s="40"/>
      <c r="AP117" s="40"/>
      <c r="AY117" s="40"/>
    </row>
    <row r="118" spans="1:51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38"/>
      <c r="AH118" s="38"/>
      <c r="AI118" s="38"/>
      <c r="AJ118" s="38"/>
      <c r="AK118" s="38"/>
      <c r="AL118" s="38"/>
      <c r="AM118" s="38"/>
      <c r="AN118" s="38"/>
      <c r="AO118" s="40"/>
      <c r="AP118" s="40"/>
      <c r="AY118" s="40"/>
    </row>
    <row r="119" spans="1:51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38"/>
      <c r="AH119" s="38"/>
      <c r="AI119" s="38"/>
      <c r="AJ119" s="38"/>
      <c r="AK119" s="38"/>
      <c r="AL119" s="38"/>
      <c r="AM119" s="38"/>
      <c r="AN119" s="38"/>
      <c r="AO119" s="40"/>
      <c r="AP119" s="40"/>
      <c r="AY119" s="40"/>
    </row>
    <row r="120" spans="1:51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38"/>
      <c r="AH120" s="38"/>
      <c r="AI120" s="38"/>
      <c r="AJ120" s="38"/>
      <c r="AK120" s="38"/>
      <c r="AL120" s="38"/>
      <c r="AM120" s="38"/>
      <c r="AN120" s="38"/>
      <c r="AO120" s="40"/>
      <c r="AP120" s="40"/>
      <c r="AY120" s="40"/>
    </row>
    <row r="121" spans="1:51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38"/>
      <c r="AH121" s="38"/>
      <c r="AI121" s="38"/>
      <c r="AJ121" s="38"/>
      <c r="AK121" s="38"/>
      <c r="AL121" s="38"/>
      <c r="AM121" s="38"/>
      <c r="AN121" s="38"/>
      <c r="AO121" s="40"/>
      <c r="AP121" s="40"/>
      <c r="AY121" s="40"/>
    </row>
    <row r="122" spans="1:51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38"/>
      <c r="AH122" s="38"/>
      <c r="AI122" s="38"/>
      <c r="AJ122" s="38"/>
      <c r="AK122" s="38"/>
      <c r="AL122" s="38"/>
      <c r="AM122" s="38"/>
      <c r="AN122" s="38"/>
      <c r="AO122" s="40"/>
      <c r="AP122" s="40"/>
      <c r="AY122" s="40"/>
    </row>
    <row r="123" spans="1:51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38"/>
      <c r="AH123" s="38"/>
      <c r="AI123" s="38"/>
      <c r="AJ123" s="38"/>
      <c r="AK123" s="38"/>
      <c r="AL123" s="38"/>
      <c r="AM123" s="38"/>
      <c r="AN123" s="38"/>
      <c r="AO123" s="40"/>
      <c r="AP123" s="40"/>
      <c r="AY123" s="40"/>
    </row>
    <row r="124" spans="1:51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38"/>
      <c r="AH124" s="38"/>
      <c r="AI124" s="38"/>
      <c r="AJ124" s="38"/>
      <c r="AK124" s="38"/>
      <c r="AL124" s="38"/>
      <c r="AM124" s="38"/>
      <c r="AN124" s="38"/>
      <c r="AO124" s="40"/>
      <c r="AP124" s="40"/>
      <c r="AY124" s="40"/>
    </row>
    <row r="125" spans="1:51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38"/>
      <c r="AH125" s="38"/>
      <c r="AI125" s="38"/>
      <c r="AJ125" s="38"/>
      <c r="AK125" s="38"/>
      <c r="AL125" s="38"/>
      <c r="AM125" s="38"/>
      <c r="AN125" s="38"/>
      <c r="AO125" s="40"/>
      <c r="AP125" s="40"/>
      <c r="AY125" s="40"/>
    </row>
    <row r="126" spans="1:51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38"/>
      <c r="AH126" s="38"/>
      <c r="AI126" s="38"/>
      <c r="AJ126" s="38"/>
      <c r="AK126" s="38"/>
      <c r="AL126" s="38"/>
      <c r="AM126" s="38"/>
      <c r="AN126" s="38"/>
      <c r="AO126" s="40"/>
      <c r="AP126" s="40"/>
      <c r="AY126" s="40"/>
    </row>
    <row r="127" spans="1:51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38"/>
      <c r="AH127" s="38"/>
      <c r="AI127" s="38"/>
      <c r="AJ127" s="38"/>
      <c r="AK127" s="38"/>
      <c r="AL127" s="38"/>
      <c r="AM127" s="38"/>
      <c r="AN127" s="38"/>
      <c r="AO127" s="40"/>
      <c r="AP127" s="40"/>
      <c r="AY127" s="40"/>
    </row>
    <row r="128" spans="1:51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38"/>
      <c r="AH128" s="38"/>
      <c r="AI128" s="38"/>
      <c r="AJ128" s="38"/>
      <c r="AK128" s="38"/>
      <c r="AL128" s="38"/>
      <c r="AM128" s="38"/>
      <c r="AN128" s="38"/>
      <c r="AO128" s="40"/>
      <c r="AP128" s="40"/>
      <c r="AY128" s="40"/>
    </row>
    <row r="129" spans="1:51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38"/>
      <c r="AH129" s="38"/>
      <c r="AI129" s="38"/>
      <c r="AJ129" s="38"/>
      <c r="AK129" s="38"/>
      <c r="AL129" s="38"/>
      <c r="AM129" s="38"/>
      <c r="AN129" s="38"/>
      <c r="AO129" s="40"/>
      <c r="AP129" s="40"/>
      <c r="AY129" s="40"/>
    </row>
    <row r="130" spans="1:51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38"/>
      <c r="AH130" s="38"/>
      <c r="AI130" s="38"/>
      <c r="AJ130" s="38"/>
      <c r="AK130" s="38"/>
      <c r="AL130" s="38"/>
      <c r="AM130" s="38"/>
      <c r="AN130" s="38"/>
      <c r="AO130" s="40"/>
      <c r="AP130" s="40"/>
      <c r="AY130" s="40"/>
    </row>
    <row r="131" spans="1:51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38"/>
      <c r="AH131" s="38"/>
      <c r="AI131" s="38"/>
      <c r="AJ131" s="38"/>
      <c r="AK131" s="38"/>
      <c r="AL131" s="38"/>
      <c r="AM131" s="38"/>
      <c r="AN131" s="38"/>
      <c r="AO131" s="40"/>
      <c r="AP131" s="40"/>
      <c r="AY131" s="40"/>
    </row>
  </sheetData>
  <mergeCells count="1">
    <mergeCell ref="O6:S6"/>
  </mergeCells>
  <printOptions/>
  <pageMargins left="1" right="1" top="0.5" bottom="0.5" header="0" footer="0.25"/>
  <pageSetup firstPageNumber="34" useFirstPageNumber="1" horizontalDpi="600" verticalDpi="600" orientation="portrait" scale="93" r:id="rId1"/>
  <headerFooter alignWithMargins="0">
    <oddFooter>&amp;C&amp;"Times New Roman,Regular"&amp;11&amp;P</oddFooter>
  </headerFooter>
  <colBreaks count="1" manualBreakCount="1">
    <brk id="22" max="9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BH110"/>
  <sheetViews>
    <sheetView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7" sqref="A37"/>
    </sheetView>
  </sheetViews>
  <sheetFormatPr defaultColWidth="9.140625" defaultRowHeight="12.75"/>
  <cols>
    <col min="1" max="1" width="17.28125" style="3" customWidth="1"/>
    <col min="2" max="2" width="1.7109375" style="3" customWidth="1"/>
    <col min="3" max="3" width="11.7109375" style="3" customWidth="1"/>
    <col min="4" max="4" width="1.7109375" style="3" customWidth="1"/>
    <col min="5" max="5" width="11.7109375" style="3" customWidth="1"/>
    <col min="6" max="6" width="1.7109375" style="3" customWidth="1"/>
    <col min="7" max="7" width="11.7109375" style="3" customWidth="1"/>
    <col min="8" max="8" width="1.7109375" style="3" customWidth="1"/>
    <col min="9" max="9" width="11.7109375" style="3" customWidth="1"/>
    <col min="10" max="10" width="1.7109375" style="3" customWidth="1"/>
    <col min="11" max="11" width="11.7109375" style="3" customWidth="1"/>
    <col min="12" max="12" width="1.7109375" style="3" customWidth="1"/>
    <col min="13" max="13" width="11.7109375" style="3" customWidth="1"/>
    <col min="14" max="14" width="1.7109375" style="3" customWidth="1"/>
    <col min="15" max="15" width="11.7109375" style="3" customWidth="1"/>
    <col min="16" max="16" width="1.7109375" style="3" customWidth="1"/>
    <col min="17" max="17" width="11.7109375" style="3" customWidth="1"/>
    <col min="18" max="18" width="1.7109375" style="3" customWidth="1"/>
    <col min="19" max="19" width="11.7109375" style="3" customWidth="1"/>
    <col min="20" max="20" width="1.7109375" style="3" customWidth="1"/>
    <col min="21" max="21" width="11.7109375" style="3" customWidth="1"/>
    <col min="22" max="22" width="1.7109375" style="3" customWidth="1"/>
    <col min="23" max="23" width="15.7109375" style="3" customWidth="1"/>
    <col min="24" max="24" width="1.7109375" style="3" customWidth="1"/>
    <col min="25" max="25" width="11.7109375" style="3" customWidth="1"/>
    <col min="26" max="26" width="1.7109375" style="3" customWidth="1"/>
    <col min="27" max="27" width="11.7109375" style="3" customWidth="1"/>
    <col min="28" max="28" width="1.7109375" style="3" customWidth="1"/>
    <col min="29" max="29" width="11.7109375" style="3" customWidth="1"/>
    <col min="30" max="30" width="1.7109375" style="3" customWidth="1"/>
    <col min="31" max="31" width="11.7109375" style="8" customWidth="1"/>
    <col min="32" max="32" width="1.7109375" style="8" customWidth="1"/>
    <col min="33" max="33" width="11.7109375" style="8" customWidth="1"/>
    <col min="34" max="34" width="1.7109375" style="8" customWidth="1"/>
    <col min="35" max="35" width="10.7109375" style="8" customWidth="1"/>
    <col min="36" max="36" width="1.7109375" style="8" customWidth="1"/>
    <col min="37" max="37" width="10.7109375" style="8" customWidth="1"/>
    <col min="38" max="38" width="1.7109375" style="8" customWidth="1"/>
    <col min="39" max="39" width="10.7109375" style="2" customWidth="1"/>
    <col min="40" max="40" width="1.7109375" style="2" customWidth="1"/>
    <col min="41" max="41" width="10.7109375" style="2" customWidth="1"/>
    <col min="42" max="42" width="1.7109375" style="2" customWidth="1"/>
    <col min="43" max="43" width="10.7109375" style="2" customWidth="1"/>
    <col min="44" max="44" width="1.7109375" style="2" customWidth="1"/>
    <col min="45" max="45" width="10.7109375" style="2" customWidth="1"/>
    <col min="46" max="46" width="1.7109375" style="2" customWidth="1"/>
    <col min="47" max="47" width="10.7109375" style="2" customWidth="1"/>
    <col min="48" max="48" width="1.7109375" style="2" customWidth="1"/>
    <col min="49" max="49" width="15.7109375" style="2" customWidth="1"/>
    <col min="50" max="50" width="1.7109375" style="2" customWidth="1"/>
    <col min="51" max="51" width="11.7109375" style="2" customWidth="1"/>
    <col min="52" max="52" width="1.7109375" style="2" customWidth="1"/>
    <col min="53" max="53" width="11.7109375" style="2" customWidth="1"/>
    <col min="54" max="54" width="1.7109375" style="2" customWidth="1"/>
    <col min="55" max="55" width="11.7109375" style="2" customWidth="1"/>
    <col min="56" max="56" width="1.7109375" style="2" customWidth="1"/>
    <col min="57" max="57" width="11.7109375" style="2" customWidth="1"/>
    <col min="58" max="58" width="1.7109375" style="2" customWidth="1"/>
    <col min="59" max="59" width="11.7109375" style="2" customWidth="1"/>
    <col min="60" max="16384" width="8.421875" style="2" customWidth="1"/>
  </cols>
  <sheetData>
    <row r="1" spans="1:60" s="14" customFormat="1" ht="12.75">
      <c r="A1" s="37" t="s">
        <v>213</v>
      </c>
      <c r="B1" s="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92" t="s">
        <v>211</v>
      </c>
      <c r="X1" s="92"/>
      <c r="Y1" s="92"/>
      <c r="Z1" s="4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37" t="s">
        <v>211</v>
      </c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</row>
    <row r="2" spans="1:60" s="14" customFormat="1" ht="12.75">
      <c r="A2" s="30" t="s">
        <v>226</v>
      </c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0" t="s">
        <v>226</v>
      </c>
      <c r="X2" s="20"/>
      <c r="Y2" s="20"/>
      <c r="Z2" s="20"/>
      <c r="AA2" s="20"/>
      <c r="AB2" s="20"/>
      <c r="AC2" s="20"/>
      <c r="AD2" s="20"/>
      <c r="AE2" s="10"/>
      <c r="AF2" s="10"/>
      <c r="AG2" s="10"/>
      <c r="AH2" s="10"/>
      <c r="AI2" s="10"/>
      <c r="AJ2" s="10"/>
      <c r="AK2" s="10"/>
      <c r="AL2" s="10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30" t="s">
        <v>226</v>
      </c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</row>
    <row r="3" spans="1:60" ht="12.75">
      <c r="A3" s="39"/>
      <c r="B3" s="7"/>
      <c r="C3" s="7"/>
      <c r="D3" s="7"/>
      <c r="E3" s="7"/>
      <c r="F3" s="7"/>
      <c r="G3" s="7"/>
      <c r="H3" s="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3"/>
      <c r="X3" s="5"/>
      <c r="Y3" s="5"/>
      <c r="Z3" s="5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"/>
      <c r="AN3" s="1"/>
      <c r="AO3" s="1"/>
      <c r="AP3" s="1"/>
      <c r="AQ3" s="1"/>
      <c r="AR3" s="1"/>
      <c r="AS3" s="1"/>
      <c r="AT3" s="1"/>
      <c r="AU3" s="1"/>
      <c r="AV3" s="1"/>
      <c r="AW3" s="3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2.75">
      <c r="A4" s="20" t="s">
        <v>196</v>
      </c>
      <c r="B4" s="19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20" t="s">
        <v>196</v>
      </c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20" t="s">
        <v>196</v>
      </c>
      <c r="AX4" s="44"/>
      <c r="BF4" s="70"/>
      <c r="BG4" s="47"/>
      <c r="BH4" s="1"/>
    </row>
    <row r="5" spans="1:60" ht="12.75">
      <c r="A5" s="20"/>
      <c r="B5" s="1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24" t="s">
        <v>208</v>
      </c>
      <c r="P5" s="124"/>
      <c r="Q5" s="124"/>
      <c r="R5" s="124"/>
      <c r="S5" s="124"/>
      <c r="T5" s="70"/>
      <c r="U5" s="70"/>
      <c r="V5" s="44"/>
      <c r="W5" s="20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20"/>
      <c r="AX5" s="44"/>
      <c r="AY5" s="45" t="s">
        <v>103</v>
      </c>
      <c r="AZ5" s="45"/>
      <c r="BA5" s="45"/>
      <c r="BB5" s="45"/>
      <c r="BC5" s="45"/>
      <c r="BD5" s="45"/>
      <c r="BE5" s="46"/>
      <c r="BF5" s="70"/>
      <c r="BG5" s="47"/>
      <c r="BH5" s="1"/>
    </row>
    <row r="6" spans="1:60" ht="12.75">
      <c r="A6" s="41"/>
      <c r="B6" s="48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U6" s="44" t="s">
        <v>209</v>
      </c>
      <c r="V6" s="70"/>
      <c r="W6" s="41"/>
      <c r="X6" s="70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 t="s">
        <v>163</v>
      </c>
      <c r="AR6" s="44"/>
      <c r="AS6" s="44" t="s">
        <v>163</v>
      </c>
      <c r="AT6" s="44"/>
      <c r="AU6" s="44"/>
      <c r="AV6" s="44"/>
      <c r="AW6" s="41"/>
      <c r="AX6" s="44"/>
      <c r="AY6" s="44" t="s">
        <v>104</v>
      </c>
      <c r="AZ6" s="44"/>
      <c r="BA6" s="44" t="s">
        <v>105</v>
      </c>
      <c r="BB6" s="44"/>
      <c r="BC6" s="44"/>
      <c r="BD6" s="44"/>
      <c r="BE6" s="44" t="s">
        <v>106</v>
      </c>
      <c r="BF6" s="44"/>
      <c r="BG6" s="49" t="s">
        <v>4</v>
      </c>
      <c r="BH6" s="1"/>
    </row>
    <row r="7" spans="1:60" ht="12.75">
      <c r="A7" s="41"/>
      <c r="B7" s="44"/>
      <c r="C7" s="44" t="s">
        <v>143</v>
      </c>
      <c r="D7" s="44"/>
      <c r="E7" s="44" t="s">
        <v>164</v>
      </c>
      <c r="F7" s="44"/>
      <c r="G7" s="44" t="s">
        <v>4</v>
      </c>
      <c r="H7" s="44"/>
      <c r="I7" s="44" t="s">
        <v>143</v>
      </c>
      <c r="J7" s="44"/>
      <c r="K7" s="44" t="s">
        <v>164</v>
      </c>
      <c r="L7" s="44"/>
      <c r="M7" s="44" t="s">
        <v>4</v>
      </c>
      <c r="N7" s="44"/>
      <c r="O7" s="44" t="s">
        <v>147</v>
      </c>
      <c r="P7" s="44"/>
      <c r="Q7" s="44"/>
      <c r="R7" s="44"/>
      <c r="S7" s="44"/>
      <c r="T7" s="44"/>
      <c r="U7" s="73" t="s">
        <v>210</v>
      </c>
      <c r="V7" s="44"/>
      <c r="W7" s="41"/>
      <c r="X7" s="44"/>
      <c r="Y7" s="44" t="s">
        <v>102</v>
      </c>
      <c r="Z7" s="44"/>
      <c r="AA7" s="44" t="s">
        <v>165</v>
      </c>
      <c r="AB7" s="44"/>
      <c r="AC7" s="44"/>
      <c r="AD7" s="44"/>
      <c r="AE7" s="44" t="s">
        <v>102</v>
      </c>
      <c r="AF7" s="44"/>
      <c r="AG7" s="44" t="s">
        <v>166</v>
      </c>
      <c r="AH7" s="44"/>
      <c r="AI7" s="44" t="s">
        <v>102</v>
      </c>
      <c r="AJ7" s="44"/>
      <c r="AK7" s="44" t="s">
        <v>102</v>
      </c>
      <c r="AL7" s="44"/>
      <c r="AM7" s="44" t="s">
        <v>88</v>
      </c>
      <c r="AN7" s="44"/>
      <c r="AO7" s="44" t="s">
        <v>167</v>
      </c>
      <c r="AP7" s="44"/>
      <c r="AQ7" s="44" t="s">
        <v>168</v>
      </c>
      <c r="AR7" s="44"/>
      <c r="AS7" s="44" t="s">
        <v>168</v>
      </c>
      <c r="AT7" s="44"/>
      <c r="AU7" s="44" t="s">
        <v>107</v>
      </c>
      <c r="AV7" s="44"/>
      <c r="AW7" s="41"/>
      <c r="AX7" s="44"/>
      <c r="AY7" s="44" t="s">
        <v>108</v>
      </c>
      <c r="AZ7" s="44"/>
      <c r="BA7" s="44" t="s">
        <v>12</v>
      </c>
      <c r="BB7" s="44"/>
      <c r="BC7" s="44"/>
      <c r="BD7" s="44"/>
      <c r="BE7" s="44" t="s">
        <v>109</v>
      </c>
      <c r="BF7" s="44"/>
      <c r="BG7" s="49" t="s">
        <v>109</v>
      </c>
      <c r="BH7" s="1"/>
    </row>
    <row r="8" spans="1:60" ht="12.75">
      <c r="A8" s="42" t="s">
        <v>5</v>
      </c>
      <c r="B8" s="2"/>
      <c r="C8" s="53" t="s">
        <v>117</v>
      </c>
      <c r="D8" s="2"/>
      <c r="E8" s="53" t="s">
        <v>117</v>
      </c>
      <c r="F8" s="2"/>
      <c r="G8" s="53" t="s">
        <v>117</v>
      </c>
      <c r="H8" s="2"/>
      <c r="I8" s="53" t="s">
        <v>126</v>
      </c>
      <c r="J8" s="2"/>
      <c r="K8" s="53" t="s">
        <v>126</v>
      </c>
      <c r="L8" s="2"/>
      <c r="M8" s="53" t="s">
        <v>126</v>
      </c>
      <c r="N8" s="2"/>
      <c r="O8" s="53" t="s">
        <v>149</v>
      </c>
      <c r="P8" s="2"/>
      <c r="Q8" s="53" t="s">
        <v>150</v>
      </c>
      <c r="R8" s="2"/>
      <c r="S8" s="53" t="s">
        <v>151</v>
      </c>
      <c r="T8" s="2"/>
      <c r="U8" s="53" t="s">
        <v>161</v>
      </c>
      <c r="V8" s="2"/>
      <c r="W8" s="42" t="s">
        <v>5</v>
      </c>
      <c r="X8" s="2"/>
      <c r="Y8" s="53" t="s">
        <v>12</v>
      </c>
      <c r="Z8" s="2"/>
      <c r="AA8" s="53" t="s">
        <v>110</v>
      </c>
      <c r="AB8" s="2"/>
      <c r="AC8" s="53" t="s">
        <v>110</v>
      </c>
      <c r="AD8" s="2"/>
      <c r="AE8" s="53" t="s">
        <v>111</v>
      </c>
      <c r="AF8" s="2"/>
      <c r="AG8" s="53" t="s">
        <v>169</v>
      </c>
      <c r="AH8" s="2"/>
      <c r="AI8" s="53" t="s">
        <v>112</v>
      </c>
      <c r="AJ8" s="2"/>
      <c r="AK8" s="53" t="s">
        <v>113</v>
      </c>
      <c r="AL8" s="2"/>
      <c r="AM8" s="53" t="s">
        <v>170</v>
      </c>
      <c r="AO8" s="53" t="s">
        <v>146</v>
      </c>
      <c r="AQ8" s="54" t="s">
        <v>171</v>
      </c>
      <c r="AS8" s="54" t="s">
        <v>172</v>
      </c>
      <c r="AU8" s="53" t="s">
        <v>88</v>
      </c>
      <c r="AW8" s="42" t="s">
        <v>5</v>
      </c>
      <c r="AY8" s="53" t="s">
        <v>114</v>
      </c>
      <c r="BA8" s="53" t="s">
        <v>114</v>
      </c>
      <c r="BC8" s="53" t="s">
        <v>115</v>
      </c>
      <c r="BE8" s="53" t="s">
        <v>116</v>
      </c>
      <c r="BG8" s="55" t="s">
        <v>126</v>
      </c>
      <c r="BH8" s="1"/>
    </row>
    <row r="9" spans="1:60" ht="12.75">
      <c r="A9" s="40" t="s">
        <v>13</v>
      </c>
      <c r="B9" s="50"/>
      <c r="C9" s="51">
        <f aca="true" t="shared" si="0" ref="C9:C19">G9-E9</f>
        <v>0</v>
      </c>
      <c r="D9" s="51"/>
      <c r="E9" s="51">
        <v>0</v>
      </c>
      <c r="F9" s="51"/>
      <c r="G9" s="51">
        <v>0</v>
      </c>
      <c r="H9" s="51"/>
      <c r="I9" s="51">
        <f aca="true" t="shared" si="1" ref="I9:I19">M9-K9</f>
        <v>0</v>
      </c>
      <c r="J9" s="51"/>
      <c r="K9" s="51">
        <f aca="true" t="shared" si="2" ref="K9:K19">SUM(BG9)</f>
        <v>0</v>
      </c>
      <c r="L9" s="51"/>
      <c r="M9" s="51">
        <v>0</v>
      </c>
      <c r="N9" s="51"/>
      <c r="O9" s="51">
        <v>0</v>
      </c>
      <c r="P9" s="51"/>
      <c r="Q9" s="51">
        <v>0</v>
      </c>
      <c r="R9" s="51"/>
      <c r="S9" s="51">
        <v>0</v>
      </c>
      <c r="T9" s="51"/>
      <c r="U9" s="51">
        <f aca="true" t="shared" si="3" ref="U9:U19">SUM(O9:S9)</f>
        <v>0</v>
      </c>
      <c r="V9" s="50"/>
      <c r="W9" s="40" t="s">
        <v>13</v>
      </c>
      <c r="X9" s="50"/>
      <c r="Y9" s="47">
        <v>0</v>
      </c>
      <c r="Z9" s="47"/>
      <c r="AA9" s="47">
        <v>0</v>
      </c>
      <c r="AB9" s="47"/>
      <c r="AC9" s="47">
        <v>0</v>
      </c>
      <c r="AD9" s="47"/>
      <c r="AE9" s="52">
        <f aca="true" t="shared" si="4" ref="AE9:AE19">+Y9-AA9-AC9</f>
        <v>0</v>
      </c>
      <c r="AF9" s="52"/>
      <c r="AG9" s="52">
        <v>0</v>
      </c>
      <c r="AH9" s="52"/>
      <c r="AI9" s="47">
        <v>0</v>
      </c>
      <c r="AJ9" s="47"/>
      <c r="AK9" s="47">
        <v>0</v>
      </c>
      <c r="AL9" s="47"/>
      <c r="AM9" s="47">
        <v>0</v>
      </c>
      <c r="AN9" s="47"/>
      <c r="AO9" s="52">
        <f aca="true" t="shared" si="5" ref="AO9:AO19">+AE9+AG9+AI9-AK9+AM9</f>
        <v>0</v>
      </c>
      <c r="AP9" s="52"/>
      <c r="AQ9" s="47">
        <v>0</v>
      </c>
      <c r="AR9" s="47"/>
      <c r="AS9" s="47">
        <v>0</v>
      </c>
      <c r="AT9" s="47"/>
      <c r="AU9" s="47">
        <f aca="true" t="shared" si="6" ref="AU9:AU19">+C9-I9</f>
        <v>0</v>
      </c>
      <c r="AV9" s="50"/>
      <c r="AW9" s="40" t="s">
        <v>13</v>
      </c>
      <c r="AX9" s="50"/>
      <c r="AY9" s="47">
        <v>0</v>
      </c>
      <c r="AZ9" s="50"/>
      <c r="BA9" s="47">
        <v>0</v>
      </c>
      <c r="BB9" s="50"/>
      <c r="BC9" s="47">
        <v>0</v>
      </c>
      <c r="BD9" s="50"/>
      <c r="BE9" s="47">
        <v>0</v>
      </c>
      <c r="BF9" s="50"/>
      <c r="BG9" s="47">
        <v>0</v>
      </c>
      <c r="BH9" s="1"/>
    </row>
    <row r="10" spans="1:60" ht="12.75" hidden="1">
      <c r="A10" s="40"/>
      <c r="B10" s="50"/>
      <c r="C10" s="51">
        <f t="shared" si="0"/>
        <v>0</v>
      </c>
      <c r="D10" s="51"/>
      <c r="E10" s="51">
        <v>0</v>
      </c>
      <c r="F10" s="51"/>
      <c r="G10" s="51">
        <v>0</v>
      </c>
      <c r="H10" s="51"/>
      <c r="I10" s="51">
        <f t="shared" si="1"/>
        <v>0</v>
      </c>
      <c r="J10" s="51"/>
      <c r="K10" s="51">
        <f t="shared" si="2"/>
        <v>0</v>
      </c>
      <c r="L10" s="51"/>
      <c r="M10" s="51">
        <v>0</v>
      </c>
      <c r="N10" s="51"/>
      <c r="O10" s="51">
        <v>0</v>
      </c>
      <c r="P10" s="51"/>
      <c r="Q10" s="51">
        <v>0</v>
      </c>
      <c r="R10" s="51"/>
      <c r="S10" s="51">
        <v>0</v>
      </c>
      <c r="T10" s="51"/>
      <c r="U10" s="51">
        <f t="shared" si="3"/>
        <v>0</v>
      </c>
      <c r="V10" s="50"/>
      <c r="W10" s="40"/>
      <c r="X10" s="50"/>
      <c r="Y10" s="47">
        <v>0</v>
      </c>
      <c r="Z10" s="47"/>
      <c r="AA10" s="47">
        <v>0</v>
      </c>
      <c r="AB10" s="47"/>
      <c r="AC10" s="47">
        <v>0</v>
      </c>
      <c r="AD10" s="47"/>
      <c r="AE10" s="52">
        <f t="shared" si="4"/>
        <v>0</v>
      </c>
      <c r="AF10" s="52"/>
      <c r="AG10" s="52">
        <v>0</v>
      </c>
      <c r="AH10" s="52"/>
      <c r="AI10" s="47">
        <v>0</v>
      </c>
      <c r="AJ10" s="47"/>
      <c r="AK10" s="47">
        <v>0</v>
      </c>
      <c r="AL10" s="47"/>
      <c r="AM10" s="47">
        <v>0</v>
      </c>
      <c r="AN10" s="47"/>
      <c r="AO10" s="52">
        <f t="shared" si="5"/>
        <v>0</v>
      </c>
      <c r="AP10" s="52"/>
      <c r="AQ10" s="47">
        <v>0</v>
      </c>
      <c r="AR10" s="47"/>
      <c r="AS10" s="47">
        <v>0</v>
      </c>
      <c r="AT10" s="47"/>
      <c r="AU10" s="47">
        <f t="shared" si="6"/>
        <v>0</v>
      </c>
      <c r="AV10" s="50"/>
      <c r="AW10" s="4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1"/>
    </row>
    <row r="11" spans="1:60" ht="12.75">
      <c r="A11" s="40" t="s">
        <v>14</v>
      </c>
      <c r="B11" s="50"/>
      <c r="C11" s="51">
        <v>183895</v>
      </c>
      <c r="D11" s="51"/>
      <c r="E11" s="51">
        <v>72863</v>
      </c>
      <c r="F11" s="51"/>
      <c r="G11" s="51">
        <v>1529961</v>
      </c>
      <c r="H11" s="51"/>
      <c r="I11" s="51">
        <f t="shared" si="1"/>
        <v>24262</v>
      </c>
      <c r="J11" s="51"/>
      <c r="K11" s="51">
        <f t="shared" si="2"/>
        <v>1883694</v>
      </c>
      <c r="L11" s="51"/>
      <c r="M11" s="51">
        <v>1907956</v>
      </c>
      <c r="N11" s="51"/>
      <c r="O11" s="51">
        <v>72863</v>
      </c>
      <c r="P11" s="51"/>
      <c r="Q11" s="51">
        <v>1273203</v>
      </c>
      <c r="R11" s="51"/>
      <c r="S11" s="51">
        <v>-1724061</v>
      </c>
      <c r="T11" s="51"/>
      <c r="U11" s="51">
        <f t="shared" si="3"/>
        <v>-377995</v>
      </c>
      <c r="V11" s="94"/>
      <c r="W11" s="99" t="s">
        <v>14</v>
      </c>
      <c r="X11" s="94"/>
      <c r="Y11" s="47">
        <v>265062</v>
      </c>
      <c r="Z11" s="47"/>
      <c r="AA11" s="47">
        <f>368063-3799</f>
        <v>364264</v>
      </c>
      <c r="AB11" s="47"/>
      <c r="AC11" s="47">
        <v>3799</v>
      </c>
      <c r="AD11" s="47"/>
      <c r="AE11" s="52">
        <f t="shared" si="4"/>
        <v>-103001</v>
      </c>
      <c r="AF11" s="52"/>
      <c r="AG11" s="52">
        <v>0</v>
      </c>
      <c r="AH11" s="52"/>
      <c r="AI11" s="47">
        <v>0</v>
      </c>
      <c r="AJ11" s="47"/>
      <c r="AK11" s="47">
        <v>33000</v>
      </c>
      <c r="AL11" s="47"/>
      <c r="AM11" s="47">
        <v>0</v>
      </c>
      <c r="AN11" s="47"/>
      <c r="AO11" s="52">
        <f t="shared" si="5"/>
        <v>-136001</v>
      </c>
      <c r="AP11" s="52"/>
      <c r="AQ11" s="47">
        <v>0</v>
      </c>
      <c r="AR11" s="47"/>
      <c r="AS11" s="47">
        <v>0</v>
      </c>
      <c r="AT11" s="47"/>
      <c r="AU11" s="47">
        <f t="shared" si="6"/>
        <v>159633</v>
      </c>
      <c r="AV11" s="100"/>
      <c r="AW11" s="99" t="s">
        <v>14</v>
      </c>
      <c r="AX11" s="100"/>
      <c r="AY11" s="47">
        <v>0</v>
      </c>
      <c r="AZ11" s="47"/>
      <c r="BA11" s="47">
        <v>0</v>
      </c>
      <c r="BB11" s="47"/>
      <c r="BC11" s="47">
        <v>0</v>
      </c>
      <c r="BD11" s="47"/>
      <c r="BE11" s="47">
        <v>1883694</v>
      </c>
      <c r="BF11" s="47"/>
      <c r="BG11" s="47">
        <f aca="true" t="shared" si="7" ref="BG11:BG20">SUM(AY11:BE11)</f>
        <v>1883694</v>
      </c>
      <c r="BH11" s="1"/>
    </row>
    <row r="12" spans="1:60" ht="12.75">
      <c r="A12" s="40" t="s">
        <v>15</v>
      </c>
      <c r="B12" s="50"/>
      <c r="C12" s="51">
        <f t="shared" si="0"/>
        <v>0</v>
      </c>
      <c r="D12" s="51"/>
      <c r="E12" s="51">
        <v>0</v>
      </c>
      <c r="F12" s="51"/>
      <c r="G12" s="51">
        <v>0</v>
      </c>
      <c r="H12" s="51"/>
      <c r="I12" s="51">
        <f t="shared" si="1"/>
        <v>0</v>
      </c>
      <c r="J12" s="51"/>
      <c r="K12" s="51">
        <f t="shared" si="2"/>
        <v>0</v>
      </c>
      <c r="L12" s="51"/>
      <c r="M12" s="51">
        <v>0</v>
      </c>
      <c r="N12" s="51"/>
      <c r="O12" s="51">
        <v>0</v>
      </c>
      <c r="P12" s="51"/>
      <c r="Q12" s="51">
        <v>0</v>
      </c>
      <c r="R12" s="51"/>
      <c r="S12" s="51">
        <v>0</v>
      </c>
      <c r="T12" s="51"/>
      <c r="U12" s="51">
        <f t="shared" si="3"/>
        <v>0</v>
      </c>
      <c r="V12" s="50"/>
      <c r="W12" s="95" t="s">
        <v>15</v>
      </c>
      <c r="X12" s="50"/>
      <c r="Y12" s="47">
        <v>0</v>
      </c>
      <c r="Z12" s="47"/>
      <c r="AA12" s="47">
        <v>0</v>
      </c>
      <c r="AB12" s="47"/>
      <c r="AC12" s="47">
        <v>0</v>
      </c>
      <c r="AD12" s="47"/>
      <c r="AE12" s="52">
        <f t="shared" si="4"/>
        <v>0</v>
      </c>
      <c r="AF12" s="52"/>
      <c r="AG12" s="52">
        <v>0</v>
      </c>
      <c r="AH12" s="52"/>
      <c r="AI12" s="47">
        <v>0</v>
      </c>
      <c r="AJ12" s="47"/>
      <c r="AK12" s="47">
        <v>0</v>
      </c>
      <c r="AL12" s="47"/>
      <c r="AM12" s="47">
        <v>0</v>
      </c>
      <c r="AN12" s="47"/>
      <c r="AO12" s="52">
        <f t="shared" si="5"/>
        <v>0</v>
      </c>
      <c r="AP12" s="52"/>
      <c r="AQ12" s="47">
        <v>0</v>
      </c>
      <c r="AR12" s="47"/>
      <c r="AS12" s="47">
        <v>0</v>
      </c>
      <c r="AT12" s="47"/>
      <c r="AU12" s="47">
        <f t="shared" si="6"/>
        <v>0</v>
      </c>
      <c r="AV12" s="50"/>
      <c r="AW12" s="95" t="s">
        <v>15</v>
      </c>
      <c r="AX12" s="50"/>
      <c r="AY12" s="47">
        <v>0</v>
      </c>
      <c r="AZ12" s="47"/>
      <c r="BA12" s="47">
        <v>0</v>
      </c>
      <c r="BB12" s="47"/>
      <c r="BC12" s="47">
        <v>0</v>
      </c>
      <c r="BD12" s="47"/>
      <c r="BE12" s="47">
        <v>0</v>
      </c>
      <c r="BF12" s="47"/>
      <c r="BG12" s="47">
        <f t="shared" si="7"/>
        <v>0</v>
      </c>
      <c r="BH12" s="1"/>
    </row>
    <row r="13" spans="1:60" ht="12.75">
      <c r="A13" s="40" t="s">
        <v>16</v>
      </c>
      <c r="B13" s="50"/>
      <c r="C13" s="51">
        <f t="shared" si="0"/>
        <v>0</v>
      </c>
      <c r="D13" s="51"/>
      <c r="E13" s="51">
        <v>0</v>
      </c>
      <c r="F13" s="51"/>
      <c r="G13" s="51">
        <v>0</v>
      </c>
      <c r="H13" s="51"/>
      <c r="I13" s="51">
        <f t="shared" si="1"/>
        <v>0</v>
      </c>
      <c r="J13" s="51"/>
      <c r="K13" s="51">
        <f t="shared" si="2"/>
        <v>0</v>
      </c>
      <c r="L13" s="51"/>
      <c r="M13" s="51">
        <v>0</v>
      </c>
      <c r="N13" s="51"/>
      <c r="O13" s="51">
        <v>0</v>
      </c>
      <c r="P13" s="51"/>
      <c r="Q13" s="51">
        <v>0</v>
      </c>
      <c r="R13" s="51"/>
      <c r="S13" s="51">
        <v>0</v>
      </c>
      <c r="T13" s="51"/>
      <c r="U13" s="51">
        <f t="shared" si="3"/>
        <v>0</v>
      </c>
      <c r="V13" s="50"/>
      <c r="W13" s="95" t="s">
        <v>16</v>
      </c>
      <c r="X13" s="50"/>
      <c r="Y13" s="47">
        <v>0</v>
      </c>
      <c r="Z13" s="47"/>
      <c r="AA13" s="47">
        <v>0</v>
      </c>
      <c r="AB13" s="47"/>
      <c r="AC13" s="47">
        <v>0</v>
      </c>
      <c r="AD13" s="47"/>
      <c r="AE13" s="52">
        <f t="shared" si="4"/>
        <v>0</v>
      </c>
      <c r="AF13" s="52"/>
      <c r="AG13" s="52">
        <v>0</v>
      </c>
      <c r="AH13" s="52"/>
      <c r="AI13" s="47">
        <v>0</v>
      </c>
      <c r="AJ13" s="47"/>
      <c r="AK13" s="47">
        <v>0</v>
      </c>
      <c r="AL13" s="47"/>
      <c r="AM13" s="47">
        <v>0</v>
      </c>
      <c r="AN13" s="47"/>
      <c r="AO13" s="52">
        <f t="shared" si="5"/>
        <v>0</v>
      </c>
      <c r="AP13" s="52"/>
      <c r="AQ13" s="47">
        <v>0</v>
      </c>
      <c r="AR13" s="47"/>
      <c r="AS13" s="47">
        <v>0</v>
      </c>
      <c r="AT13" s="47"/>
      <c r="AU13" s="47">
        <f t="shared" si="6"/>
        <v>0</v>
      </c>
      <c r="AV13" s="50"/>
      <c r="AW13" s="95" t="s">
        <v>16</v>
      </c>
      <c r="AX13" s="50"/>
      <c r="AY13" s="47">
        <v>0</v>
      </c>
      <c r="AZ13" s="47"/>
      <c r="BA13" s="47">
        <v>0</v>
      </c>
      <c r="BB13" s="47"/>
      <c r="BC13" s="47">
        <v>0</v>
      </c>
      <c r="BD13" s="47"/>
      <c r="BE13" s="47">
        <v>0</v>
      </c>
      <c r="BF13" s="47"/>
      <c r="BG13" s="47">
        <f t="shared" si="7"/>
        <v>0</v>
      </c>
      <c r="BH13" s="1"/>
    </row>
    <row r="14" spans="1:60" ht="12.75">
      <c r="A14" s="40" t="s">
        <v>17</v>
      </c>
      <c r="B14" s="50"/>
      <c r="C14" s="51">
        <f t="shared" si="0"/>
        <v>0</v>
      </c>
      <c r="D14" s="51"/>
      <c r="E14" s="51">
        <v>0</v>
      </c>
      <c r="F14" s="51"/>
      <c r="G14" s="51">
        <v>0</v>
      </c>
      <c r="H14" s="51"/>
      <c r="I14" s="51">
        <f t="shared" si="1"/>
        <v>0</v>
      </c>
      <c r="J14" s="51"/>
      <c r="K14" s="51">
        <f t="shared" si="2"/>
        <v>0</v>
      </c>
      <c r="L14" s="51"/>
      <c r="M14" s="51">
        <v>0</v>
      </c>
      <c r="N14" s="51"/>
      <c r="O14" s="51">
        <v>0</v>
      </c>
      <c r="P14" s="51"/>
      <c r="Q14" s="51">
        <v>0</v>
      </c>
      <c r="R14" s="51"/>
      <c r="S14" s="51">
        <v>0</v>
      </c>
      <c r="T14" s="51"/>
      <c r="U14" s="51">
        <f t="shared" si="3"/>
        <v>0</v>
      </c>
      <c r="V14" s="50"/>
      <c r="W14" s="95" t="s">
        <v>17</v>
      </c>
      <c r="X14" s="50"/>
      <c r="Y14" s="47">
        <v>0</v>
      </c>
      <c r="Z14" s="47"/>
      <c r="AA14" s="47">
        <v>0</v>
      </c>
      <c r="AB14" s="47"/>
      <c r="AC14" s="47">
        <v>0</v>
      </c>
      <c r="AD14" s="47"/>
      <c r="AE14" s="52">
        <f t="shared" si="4"/>
        <v>0</v>
      </c>
      <c r="AF14" s="52"/>
      <c r="AG14" s="52">
        <v>0</v>
      </c>
      <c r="AH14" s="52"/>
      <c r="AI14" s="47">
        <v>0</v>
      </c>
      <c r="AJ14" s="47"/>
      <c r="AK14" s="47">
        <v>0</v>
      </c>
      <c r="AL14" s="47"/>
      <c r="AM14" s="47">
        <v>0</v>
      </c>
      <c r="AN14" s="47"/>
      <c r="AO14" s="52">
        <f t="shared" si="5"/>
        <v>0</v>
      </c>
      <c r="AP14" s="52"/>
      <c r="AQ14" s="47">
        <v>0</v>
      </c>
      <c r="AR14" s="47"/>
      <c r="AS14" s="47">
        <v>0</v>
      </c>
      <c r="AT14" s="47"/>
      <c r="AU14" s="47">
        <f t="shared" si="6"/>
        <v>0</v>
      </c>
      <c r="AV14" s="50"/>
      <c r="AW14" s="95" t="s">
        <v>17</v>
      </c>
      <c r="AX14" s="50"/>
      <c r="AY14" s="47">
        <v>0</v>
      </c>
      <c r="AZ14" s="47"/>
      <c r="BA14" s="47">
        <v>0</v>
      </c>
      <c r="BB14" s="47"/>
      <c r="BC14" s="47">
        <v>0</v>
      </c>
      <c r="BD14" s="47"/>
      <c r="BE14" s="47">
        <v>0</v>
      </c>
      <c r="BF14" s="47"/>
      <c r="BG14" s="47">
        <f t="shared" si="7"/>
        <v>0</v>
      </c>
      <c r="BH14" s="1"/>
    </row>
    <row r="15" spans="1:60" ht="12.75">
      <c r="A15" s="40" t="s">
        <v>18</v>
      </c>
      <c r="B15" s="50"/>
      <c r="C15" s="51">
        <f t="shared" si="0"/>
        <v>0</v>
      </c>
      <c r="D15" s="51"/>
      <c r="E15" s="51">
        <v>0</v>
      </c>
      <c r="F15" s="51"/>
      <c r="G15" s="51">
        <v>0</v>
      </c>
      <c r="H15" s="51"/>
      <c r="I15" s="51">
        <f t="shared" si="1"/>
        <v>0</v>
      </c>
      <c r="J15" s="51"/>
      <c r="K15" s="51">
        <f t="shared" si="2"/>
        <v>0</v>
      </c>
      <c r="L15" s="51"/>
      <c r="M15" s="51">
        <v>0</v>
      </c>
      <c r="N15" s="51"/>
      <c r="O15" s="51">
        <v>0</v>
      </c>
      <c r="P15" s="51"/>
      <c r="Q15" s="51">
        <v>0</v>
      </c>
      <c r="R15" s="51"/>
      <c r="S15" s="51">
        <v>0</v>
      </c>
      <c r="T15" s="51"/>
      <c r="U15" s="51">
        <f t="shared" si="3"/>
        <v>0</v>
      </c>
      <c r="V15" s="50"/>
      <c r="W15" s="95" t="s">
        <v>18</v>
      </c>
      <c r="X15" s="50"/>
      <c r="Y15" s="47">
        <v>0</v>
      </c>
      <c r="Z15" s="47"/>
      <c r="AA15" s="47">
        <v>0</v>
      </c>
      <c r="AB15" s="47"/>
      <c r="AC15" s="47">
        <v>0</v>
      </c>
      <c r="AD15" s="47"/>
      <c r="AE15" s="52">
        <f t="shared" si="4"/>
        <v>0</v>
      </c>
      <c r="AF15" s="52"/>
      <c r="AG15" s="52">
        <v>0</v>
      </c>
      <c r="AH15" s="52"/>
      <c r="AI15" s="47">
        <v>0</v>
      </c>
      <c r="AJ15" s="47"/>
      <c r="AK15" s="47">
        <v>0</v>
      </c>
      <c r="AL15" s="47"/>
      <c r="AM15" s="47">
        <v>0</v>
      </c>
      <c r="AN15" s="47"/>
      <c r="AO15" s="52">
        <f t="shared" si="5"/>
        <v>0</v>
      </c>
      <c r="AP15" s="52"/>
      <c r="AQ15" s="47">
        <v>0</v>
      </c>
      <c r="AR15" s="47"/>
      <c r="AS15" s="47">
        <v>0</v>
      </c>
      <c r="AT15" s="47"/>
      <c r="AU15" s="47">
        <f t="shared" si="6"/>
        <v>0</v>
      </c>
      <c r="AV15" s="50"/>
      <c r="AW15" s="95" t="s">
        <v>18</v>
      </c>
      <c r="AX15" s="50"/>
      <c r="AY15" s="47">
        <v>0</v>
      </c>
      <c r="AZ15" s="47"/>
      <c r="BA15" s="47">
        <v>0</v>
      </c>
      <c r="BB15" s="47"/>
      <c r="BC15" s="47">
        <v>0</v>
      </c>
      <c r="BD15" s="47"/>
      <c r="BE15" s="47">
        <v>0</v>
      </c>
      <c r="BF15" s="47"/>
      <c r="BG15" s="47">
        <f t="shared" si="7"/>
        <v>0</v>
      </c>
      <c r="BH15" s="1"/>
    </row>
    <row r="16" spans="1:60" ht="12.75" hidden="1">
      <c r="A16" s="40" t="s">
        <v>97</v>
      </c>
      <c r="B16" s="50"/>
      <c r="C16" s="51">
        <f t="shared" si="0"/>
        <v>0</v>
      </c>
      <c r="D16" s="51"/>
      <c r="E16" s="51">
        <v>0</v>
      </c>
      <c r="F16" s="51"/>
      <c r="G16" s="51">
        <v>0</v>
      </c>
      <c r="H16" s="51"/>
      <c r="I16" s="51">
        <f t="shared" si="1"/>
        <v>0</v>
      </c>
      <c r="J16" s="51"/>
      <c r="K16" s="51">
        <f t="shared" si="2"/>
        <v>0</v>
      </c>
      <c r="L16" s="51"/>
      <c r="M16" s="51">
        <v>0</v>
      </c>
      <c r="N16" s="51"/>
      <c r="O16" s="51">
        <v>0</v>
      </c>
      <c r="P16" s="51"/>
      <c r="Q16" s="51">
        <v>0</v>
      </c>
      <c r="R16" s="51"/>
      <c r="S16" s="51">
        <v>0</v>
      </c>
      <c r="T16" s="51"/>
      <c r="U16" s="51">
        <f t="shared" si="3"/>
        <v>0</v>
      </c>
      <c r="V16" s="51"/>
      <c r="W16" s="95" t="s">
        <v>97</v>
      </c>
      <c r="X16" s="51"/>
      <c r="Y16" s="47">
        <v>0</v>
      </c>
      <c r="Z16" s="47"/>
      <c r="AA16" s="47">
        <v>0</v>
      </c>
      <c r="AB16" s="47"/>
      <c r="AC16" s="47">
        <v>0</v>
      </c>
      <c r="AD16" s="47"/>
      <c r="AE16" s="52">
        <f t="shared" si="4"/>
        <v>0</v>
      </c>
      <c r="AF16" s="52"/>
      <c r="AG16" s="52">
        <v>0</v>
      </c>
      <c r="AH16" s="52"/>
      <c r="AI16" s="47">
        <v>0</v>
      </c>
      <c r="AJ16" s="47"/>
      <c r="AK16" s="47">
        <v>0</v>
      </c>
      <c r="AL16" s="47"/>
      <c r="AM16" s="47">
        <v>0</v>
      </c>
      <c r="AN16" s="47"/>
      <c r="AO16" s="52">
        <f t="shared" si="5"/>
        <v>0</v>
      </c>
      <c r="AP16" s="52"/>
      <c r="AQ16" s="47">
        <v>0</v>
      </c>
      <c r="AR16" s="47"/>
      <c r="AS16" s="47">
        <v>0</v>
      </c>
      <c r="AT16" s="47"/>
      <c r="AU16" s="47">
        <f t="shared" si="6"/>
        <v>0</v>
      </c>
      <c r="AV16" s="47"/>
      <c r="AW16" s="95" t="s">
        <v>97</v>
      </c>
      <c r="AX16" s="47"/>
      <c r="AY16" s="47">
        <v>0</v>
      </c>
      <c r="AZ16" s="47"/>
      <c r="BA16" s="47">
        <v>0</v>
      </c>
      <c r="BB16" s="47"/>
      <c r="BC16" s="47">
        <v>0</v>
      </c>
      <c r="BD16" s="47"/>
      <c r="BE16" s="47">
        <v>0</v>
      </c>
      <c r="BF16" s="47"/>
      <c r="BG16" s="47">
        <f t="shared" si="7"/>
        <v>0</v>
      </c>
      <c r="BH16" s="1"/>
    </row>
    <row r="17" spans="1:60" ht="12.75">
      <c r="A17" s="40" t="s">
        <v>19</v>
      </c>
      <c r="B17" s="50"/>
      <c r="C17" s="51">
        <f t="shared" si="0"/>
        <v>0</v>
      </c>
      <c r="D17" s="51"/>
      <c r="E17" s="51">
        <v>0</v>
      </c>
      <c r="F17" s="51"/>
      <c r="G17" s="51">
        <v>0</v>
      </c>
      <c r="H17" s="51"/>
      <c r="I17" s="51">
        <f t="shared" si="1"/>
        <v>0</v>
      </c>
      <c r="J17" s="51"/>
      <c r="K17" s="51">
        <f t="shared" si="2"/>
        <v>0</v>
      </c>
      <c r="L17" s="51"/>
      <c r="M17" s="51">
        <v>0</v>
      </c>
      <c r="N17" s="51"/>
      <c r="O17" s="51">
        <v>0</v>
      </c>
      <c r="P17" s="51"/>
      <c r="Q17" s="51">
        <v>0</v>
      </c>
      <c r="R17" s="51"/>
      <c r="S17" s="51">
        <v>0</v>
      </c>
      <c r="T17" s="51"/>
      <c r="U17" s="51">
        <f t="shared" si="3"/>
        <v>0</v>
      </c>
      <c r="V17" s="51"/>
      <c r="W17" s="95" t="s">
        <v>19</v>
      </c>
      <c r="X17" s="51"/>
      <c r="Y17" s="47">
        <v>0</v>
      </c>
      <c r="Z17" s="47"/>
      <c r="AA17" s="47">
        <v>0</v>
      </c>
      <c r="AB17" s="47"/>
      <c r="AC17" s="47">
        <v>0</v>
      </c>
      <c r="AD17" s="47"/>
      <c r="AE17" s="52">
        <f t="shared" si="4"/>
        <v>0</v>
      </c>
      <c r="AF17" s="52"/>
      <c r="AG17" s="52">
        <v>0</v>
      </c>
      <c r="AH17" s="52"/>
      <c r="AI17" s="47">
        <v>0</v>
      </c>
      <c r="AJ17" s="47"/>
      <c r="AK17" s="47">
        <v>0</v>
      </c>
      <c r="AL17" s="47"/>
      <c r="AM17" s="47">
        <v>0</v>
      </c>
      <c r="AN17" s="47"/>
      <c r="AO17" s="52">
        <f t="shared" si="5"/>
        <v>0</v>
      </c>
      <c r="AP17" s="52"/>
      <c r="AQ17" s="47">
        <v>0</v>
      </c>
      <c r="AR17" s="47"/>
      <c r="AS17" s="47">
        <v>0</v>
      </c>
      <c r="AT17" s="47"/>
      <c r="AU17" s="47">
        <f t="shared" si="6"/>
        <v>0</v>
      </c>
      <c r="AV17" s="47"/>
      <c r="AW17" s="95" t="s">
        <v>19</v>
      </c>
      <c r="AX17" s="47"/>
      <c r="AY17" s="47">
        <v>0</v>
      </c>
      <c r="AZ17" s="47"/>
      <c r="BA17" s="47">
        <v>0</v>
      </c>
      <c r="BB17" s="47"/>
      <c r="BC17" s="47">
        <v>0</v>
      </c>
      <c r="BD17" s="47"/>
      <c r="BE17" s="47">
        <v>0</v>
      </c>
      <c r="BF17" s="47"/>
      <c r="BG17" s="47">
        <f t="shared" si="7"/>
        <v>0</v>
      </c>
      <c r="BH17" s="1"/>
    </row>
    <row r="18" spans="1:60" ht="12.75">
      <c r="A18" s="40" t="s">
        <v>20</v>
      </c>
      <c r="B18" s="50"/>
      <c r="C18" s="51">
        <f t="shared" si="0"/>
        <v>14634</v>
      </c>
      <c r="D18" s="51"/>
      <c r="E18" s="51">
        <v>0</v>
      </c>
      <c r="F18" s="51"/>
      <c r="G18" s="51">
        <v>14634</v>
      </c>
      <c r="H18" s="51"/>
      <c r="I18" s="51">
        <f t="shared" si="1"/>
        <v>-3260724</v>
      </c>
      <c r="J18" s="51"/>
      <c r="K18" s="51">
        <f t="shared" si="2"/>
        <v>6994212</v>
      </c>
      <c r="L18" s="51"/>
      <c r="M18" s="51">
        <v>3733488</v>
      </c>
      <c r="N18" s="51"/>
      <c r="O18" s="51">
        <v>0</v>
      </c>
      <c r="P18" s="51"/>
      <c r="Q18" s="51">
        <v>0</v>
      </c>
      <c r="R18" s="51"/>
      <c r="S18" s="51">
        <v>-3718854</v>
      </c>
      <c r="T18" s="51"/>
      <c r="U18" s="51">
        <f t="shared" si="3"/>
        <v>-3718854</v>
      </c>
      <c r="V18" s="51"/>
      <c r="W18" s="95" t="s">
        <v>20</v>
      </c>
      <c r="X18" s="51"/>
      <c r="Y18" s="47">
        <v>605549</v>
      </c>
      <c r="Z18" s="47"/>
      <c r="AA18" s="47">
        <f>140825</f>
        <v>140825</v>
      </c>
      <c r="AB18" s="47"/>
      <c r="AC18" s="47">
        <v>0</v>
      </c>
      <c r="AD18" s="47"/>
      <c r="AE18" s="52">
        <f t="shared" si="4"/>
        <v>464724</v>
      </c>
      <c r="AF18" s="52"/>
      <c r="AG18" s="52">
        <v>70000</v>
      </c>
      <c r="AH18" s="52"/>
      <c r="AI18" s="47">
        <v>0</v>
      </c>
      <c r="AJ18" s="47"/>
      <c r="AK18" s="47">
        <v>0</v>
      </c>
      <c r="AL18" s="47"/>
      <c r="AM18" s="47">
        <v>0</v>
      </c>
      <c r="AN18" s="47"/>
      <c r="AO18" s="52">
        <v>14175</v>
      </c>
      <c r="AP18" s="52"/>
      <c r="AQ18" s="47">
        <v>0</v>
      </c>
      <c r="AR18" s="47"/>
      <c r="AS18" s="47">
        <v>0</v>
      </c>
      <c r="AT18" s="47"/>
      <c r="AU18" s="47">
        <f t="shared" si="6"/>
        <v>3275358</v>
      </c>
      <c r="AV18" s="47"/>
      <c r="AW18" s="95" t="s">
        <v>20</v>
      </c>
      <c r="AX18" s="47"/>
      <c r="AY18" s="47">
        <v>0</v>
      </c>
      <c r="AZ18" s="47"/>
      <c r="BA18" s="47">
        <v>3175700</v>
      </c>
      <c r="BB18" s="47"/>
      <c r="BC18" s="47">
        <v>77824</v>
      </c>
      <c r="BD18" s="47"/>
      <c r="BE18" s="47">
        <f>7200+3733488</f>
        <v>3740688</v>
      </c>
      <c r="BF18" s="47"/>
      <c r="BG18" s="47">
        <f t="shared" si="7"/>
        <v>6994212</v>
      </c>
      <c r="BH18" s="1"/>
    </row>
    <row r="19" spans="1:60" ht="12.75" hidden="1">
      <c r="A19" s="26" t="s">
        <v>182</v>
      </c>
      <c r="B19" s="50"/>
      <c r="C19" s="51">
        <f t="shared" si="0"/>
        <v>0</v>
      </c>
      <c r="D19" s="51"/>
      <c r="E19" s="51">
        <v>0</v>
      </c>
      <c r="F19" s="51"/>
      <c r="G19" s="51">
        <v>0</v>
      </c>
      <c r="H19" s="51"/>
      <c r="I19" s="51">
        <f t="shared" si="1"/>
        <v>0</v>
      </c>
      <c r="J19" s="51"/>
      <c r="K19" s="51">
        <f t="shared" si="2"/>
        <v>0</v>
      </c>
      <c r="L19" s="51"/>
      <c r="M19" s="51">
        <v>0</v>
      </c>
      <c r="N19" s="51"/>
      <c r="O19" s="51">
        <v>0</v>
      </c>
      <c r="P19" s="51"/>
      <c r="Q19" s="51">
        <v>0</v>
      </c>
      <c r="R19" s="51"/>
      <c r="S19" s="51">
        <v>0</v>
      </c>
      <c r="T19" s="51"/>
      <c r="U19" s="51">
        <f t="shared" si="3"/>
        <v>0</v>
      </c>
      <c r="V19" s="50"/>
      <c r="W19" s="47" t="s">
        <v>182</v>
      </c>
      <c r="X19" s="50"/>
      <c r="Y19" s="47">
        <v>0</v>
      </c>
      <c r="Z19" s="47"/>
      <c r="AA19" s="47">
        <v>0</v>
      </c>
      <c r="AB19" s="47"/>
      <c r="AC19" s="47">
        <v>0</v>
      </c>
      <c r="AD19" s="47"/>
      <c r="AE19" s="52">
        <f t="shared" si="4"/>
        <v>0</v>
      </c>
      <c r="AF19" s="52"/>
      <c r="AG19" s="52">
        <v>0</v>
      </c>
      <c r="AH19" s="52"/>
      <c r="AI19" s="47">
        <v>0</v>
      </c>
      <c r="AJ19" s="47"/>
      <c r="AK19" s="47">
        <v>0</v>
      </c>
      <c r="AL19" s="47"/>
      <c r="AM19" s="47">
        <v>0</v>
      </c>
      <c r="AN19" s="47"/>
      <c r="AO19" s="52">
        <f t="shared" si="5"/>
        <v>0</v>
      </c>
      <c r="AP19" s="52"/>
      <c r="AQ19" s="47">
        <v>0</v>
      </c>
      <c r="AR19" s="47"/>
      <c r="AS19" s="47">
        <v>0</v>
      </c>
      <c r="AT19" s="47"/>
      <c r="AU19" s="47">
        <f t="shared" si="6"/>
        <v>0</v>
      </c>
      <c r="AV19" s="50"/>
      <c r="AW19" s="47" t="s">
        <v>182</v>
      </c>
      <c r="AX19" s="50"/>
      <c r="AY19" s="47">
        <v>0</v>
      </c>
      <c r="AZ19" s="47"/>
      <c r="BA19" s="47">
        <v>0</v>
      </c>
      <c r="BB19" s="47"/>
      <c r="BC19" s="47">
        <v>0</v>
      </c>
      <c r="BD19" s="47"/>
      <c r="BE19" s="47">
        <v>0</v>
      </c>
      <c r="BF19" s="47"/>
      <c r="BG19" s="47">
        <f t="shared" si="7"/>
        <v>0</v>
      </c>
      <c r="BH19" s="1"/>
    </row>
    <row r="20" spans="1:60" ht="12.75">
      <c r="A20" s="40" t="s">
        <v>21</v>
      </c>
      <c r="B20" s="50"/>
      <c r="C20" s="51">
        <f aca="true" t="shared" si="8" ref="C20:C83">G20-E20</f>
        <v>0</v>
      </c>
      <c r="D20" s="51"/>
      <c r="E20" s="51">
        <v>0</v>
      </c>
      <c r="F20" s="51"/>
      <c r="G20" s="51">
        <v>0</v>
      </c>
      <c r="H20" s="51"/>
      <c r="I20" s="51">
        <f aca="true" t="shared" si="9" ref="I20:I83">M20-K20</f>
        <v>0</v>
      </c>
      <c r="J20" s="51"/>
      <c r="K20" s="51">
        <f aca="true" t="shared" si="10" ref="K20:K83">SUM(BG20)</f>
        <v>0</v>
      </c>
      <c r="L20" s="51"/>
      <c r="M20" s="51">
        <v>0</v>
      </c>
      <c r="N20" s="51"/>
      <c r="O20" s="51">
        <v>0</v>
      </c>
      <c r="P20" s="51"/>
      <c r="Q20" s="51">
        <v>0</v>
      </c>
      <c r="R20" s="51"/>
      <c r="S20" s="51">
        <v>0</v>
      </c>
      <c r="T20" s="51"/>
      <c r="U20" s="51">
        <f aca="true" t="shared" si="11" ref="U20:U83">SUM(O20:S20)</f>
        <v>0</v>
      </c>
      <c r="V20" s="50"/>
      <c r="W20" s="95" t="s">
        <v>21</v>
      </c>
      <c r="X20" s="50"/>
      <c r="Y20" s="47">
        <v>0</v>
      </c>
      <c r="Z20" s="47"/>
      <c r="AA20" s="47">
        <v>0</v>
      </c>
      <c r="AB20" s="47"/>
      <c r="AC20" s="47">
        <v>0</v>
      </c>
      <c r="AD20" s="47"/>
      <c r="AE20" s="52">
        <f aca="true" t="shared" si="12" ref="AE20:AE83">+Y20-AA20-AC20</f>
        <v>0</v>
      </c>
      <c r="AF20" s="52"/>
      <c r="AG20" s="52">
        <v>0</v>
      </c>
      <c r="AH20" s="52"/>
      <c r="AI20" s="47">
        <v>0</v>
      </c>
      <c r="AJ20" s="47"/>
      <c r="AK20" s="47">
        <v>0</v>
      </c>
      <c r="AL20" s="47"/>
      <c r="AM20" s="47">
        <v>0</v>
      </c>
      <c r="AN20" s="47"/>
      <c r="AO20" s="52">
        <f aca="true" t="shared" si="13" ref="AO20:AO83">+AE20+AG20+AI20-AK20+AM20</f>
        <v>0</v>
      </c>
      <c r="AP20" s="52"/>
      <c r="AQ20" s="47">
        <v>0</v>
      </c>
      <c r="AR20" s="47"/>
      <c r="AS20" s="47">
        <v>0</v>
      </c>
      <c r="AT20" s="47"/>
      <c r="AU20" s="47">
        <f aca="true" t="shared" si="14" ref="AU20:AU83">+C20-I20</f>
        <v>0</v>
      </c>
      <c r="AV20" s="50"/>
      <c r="AW20" s="95" t="s">
        <v>21</v>
      </c>
      <c r="AX20" s="50"/>
      <c r="AY20" s="47">
        <v>0</v>
      </c>
      <c r="AZ20" s="47"/>
      <c r="BA20" s="47">
        <v>0</v>
      </c>
      <c r="BB20" s="47"/>
      <c r="BC20" s="47">
        <v>0</v>
      </c>
      <c r="BD20" s="47"/>
      <c r="BE20" s="47">
        <v>0</v>
      </c>
      <c r="BF20" s="47"/>
      <c r="BG20" s="47">
        <f t="shared" si="7"/>
        <v>0</v>
      </c>
      <c r="BH20" s="1"/>
    </row>
    <row r="21" spans="1:60" ht="12.75">
      <c r="A21" s="40" t="s">
        <v>139</v>
      </c>
      <c r="B21" s="50"/>
      <c r="C21" s="51">
        <f t="shared" si="8"/>
        <v>0</v>
      </c>
      <c r="D21" s="51"/>
      <c r="E21" s="51">
        <v>0</v>
      </c>
      <c r="F21" s="51"/>
      <c r="G21" s="51">
        <v>0</v>
      </c>
      <c r="H21" s="51"/>
      <c r="I21" s="51">
        <f t="shared" si="9"/>
        <v>0</v>
      </c>
      <c r="J21" s="51"/>
      <c r="K21" s="51">
        <f t="shared" si="10"/>
        <v>0</v>
      </c>
      <c r="L21" s="51"/>
      <c r="M21" s="51">
        <v>0</v>
      </c>
      <c r="N21" s="51"/>
      <c r="O21" s="51">
        <v>0</v>
      </c>
      <c r="P21" s="51"/>
      <c r="Q21" s="51">
        <v>0</v>
      </c>
      <c r="R21" s="51"/>
      <c r="S21" s="51">
        <v>0</v>
      </c>
      <c r="T21" s="51"/>
      <c r="U21" s="51">
        <f t="shared" si="11"/>
        <v>0</v>
      </c>
      <c r="V21" s="50"/>
      <c r="W21" s="95" t="s">
        <v>139</v>
      </c>
      <c r="X21" s="50"/>
      <c r="Y21" s="47">
        <v>0</v>
      </c>
      <c r="Z21" s="47"/>
      <c r="AA21" s="47">
        <v>0</v>
      </c>
      <c r="AB21" s="47"/>
      <c r="AC21" s="47">
        <v>0</v>
      </c>
      <c r="AD21" s="47"/>
      <c r="AE21" s="52">
        <f t="shared" si="12"/>
        <v>0</v>
      </c>
      <c r="AF21" s="52"/>
      <c r="AG21" s="52">
        <v>0</v>
      </c>
      <c r="AH21" s="52"/>
      <c r="AI21" s="47">
        <v>0</v>
      </c>
      <c r="AJ21" s="47"/>
      <c r="AK21" s="47">
        <v>0</v>
      </c>
      <c r="AL21" s="47"/>
      <c r="AM21" s="47">
        <v>0</v>
      </c>
      <c r="AN21" s="47"/>
      <c r="AO21" s="52">
        <f t="shared" si="13"/>
        <v>0</v>
      </c>
      <c r="AP21" s="52"/>
      <c r="AQ21" s="47">
        <v>0</v>
      </c>
      <c r="AR21" s="47"/>
      <c r="AS21" s="47">
        <v>0</v>
      </c>
      <c r="AT21" s="47"/>
      <c r="AU21" s="47">
        <f t="shared" si="14"/>
        <v>0</v>
      </c>
      <c r="AV21" s="50"/>
      <c r="AW21" s="95" t="s">
        <v>139</v>
      </c>
      <c r="AX21" s="50"/>
      <c r="AY21" s="47">
        <v>0</v>
      </c>
      <c r="AZ21" s="47"/>
      <c r="BA21" s="47">
        <v>0</v>
      </c>
      <c r="BB21" s="47"/>
      <c r="BC21" s="47">
        <v>0</v>
      </c>
      <c r="BD21" s="47"/>
      <c r="BE21" s="47">
        <v>0</v>
      </c>
      <c r="BF21" s="47"/>
      <c r="BG21" s="47">
        <f aca="true" t="shared" si="15" ref="BG21:BG84">SUM(AY21:BE21)</f>
        <v>0</v>
      </c>
      <c r="BH21" s="1"/>
    </row>
    <row r="22" spans="1:60" ht="12.75">
      <c r="A22" s="40" t="s">
        <v>22</v>
      </c>
      <c r="B22" s="50"/>
      <c r="C22" s="51">
        <f t="shared" si="8"/>
        <v>0</v>
      </c>
      <c r="D22" s="51"/>
      <c r="E22" s="51">
        <v>0</v>
      </c>
      <c r="F22" s="51"/>
      <c r="G22" s="51">
        <v>0</v>
      </c>
      <c r="H22" s="51"/>
      <c r="I22" s="51">
        <f t="shared" si="9"/>
        <v>0</v>
      </c>
      <c r="J22" s="51"/>
      <c r="K22" s="51">
        <f t="shared" si="10"/>
        <v>0</v>
      </c>
      <c r="L22" s="51"/>
      <c r="M22" s="51">
        <v>0</v>
      </c>
      <c r="N22" s="51"/>
      <c r="O22" s="51">
        <v>0</v>
      </c>
      <c r="P22" s="51"/>
      <c r="Q22" s="51">
        <v>0</v>
      </c>
      <c r="R22" s="51"/>
      <c r="S22" s="51">
        <v>0</v>
      </c>
      <c r="T22" s="51"/>
      <c r="U22" s="51">
        <f t="shared" si="11"/>
        <v>0</v>
      </c>
      <c r="V22" s="51"/>
      <c r="W22" s="95" t="s">
        <v>22</v>
      </c>
      <c r="X22" s="51"/>
      <c r="Y22" s="47">
        <v>0</v>
      </c>
      <c r="Z22" s="47"/>
      <c r="AA22" s="47">
        <v>0</v>
      </c>
      <c r="AB22" s="47"/>
      <c r="AC22" s="47">
        <v>0</v>
      </c>
      <c r="AD22" s="47"/>
      <c r="AE22" s="52">
        <f t="shared" si="12"/>
        <v>0</v>
      </c>
      <c r="AF22" s="52"/>
      <c r="AG22" s="52">
        <v>0</v>
      </c>
      <c r="AH22" s="52"/>
      <c r="AI22" s="47">
        <v>0</v>
      </c>
      <c r="AJ22" s="47"/>
      <c r="AK22" s="47">
        <v>0</v>
      </c>
      <c r="AL22" s="47"/>
      <c r="AM22" s="47">
        <v>0</v>
      </c>
      <c r="AN22" s="47"/>
      <c r="AO22" s="52">
        <f t="shared" si="13"/>
        <v>0</v>
      </c>
      <c r="AP22" s="52"/>
      <c r="AQ22" s="47">
        <v>0</v>
      </c>
      <c r="AR22" s="47"/>
      <c r="AS22" s="47">
        <v>0</v>
      </c>
      <c r="AT22" s="47"/>
      <c r="AU22" s="47">
        <f t="shared" si="14"/>
        <v>0</v>
      </c>
      <c r="AV22" s="47"/>
      <c r="AW22" s="95" t="s">
        <v>22</v>
      </c>
      <c r="AX22" s="47"/>
      <c r="AY22" s="47">
        <v>0</v>
      </c>
      <c r="AZ22" s="47"/>
      <c r="BA22" s="47">
        <v>0</v>
      </c>
      <c r="BB22" s="47"/>
      <c r="BC22" s="47">
        <v>0</v>
      </c>
      <c r="BD22" s="47"/>
      <c r="BE22" s="47">
        <v>0</v>
      </c>
      <c r="BF22" s="47"/>
      <c r="BG22" s="47">
        <f t="shared" si="15"/>
        <v>0</v>
      </c>
      <c r="BH22" s="1"/>
    </row>
    <row r="23" spans="1:60" ht="12.75" hidden="1">
      <c r="A23" s="40" t="s">
        <v>23</v>
      </c>
      <c r="B23" s="50"/>
      <c r="C23" s="51">
        <f t="shared" si="8"/>
        <v>0</v>
      </c>
      <c r="D23" s="51"/>
      <c r="E23" s="51">
        <v>0</v>
      </c>
      <c r="F23" s="51"/>
      <c r="G23" s="51">
        <v>0</v>
      </c>
      <c r="H23" s="51"/>
      <c r="I23" s="51">
        <f t="shared" si="9"/>
        <v>0</v>
      </c>
      <c r="J23" s="51"/>
      <c r="K23" s="51">
        <f t="shared" si="10"/>
        <v>0</v>
      </c>
      <c r="L23" s="51"/>
      <c r="M23" s="51">
        <v>0</v>
      </c>
      <c r="N23" s="51"/>
      <c r="O23" s="51">
        <v>0</v>
      </c>
      <c r="P23" s="51"/>
      <c r="Q23" s="51">
        <v>0</v>
      </c>
      <c r="R23" s="51"/>
      <c r="S23" s="51">
        <v>0</v>
      </c>
      <c r="T23" s="51"/>
      <c r="U23" s="51">
        <f t="shared" si="11"/>
        <v>0</v>
      </c>
      <c r="V23" s="51"/>
      <c r="W23" s="95" t="s">
        <v>23</v>
      </c>
      <c r="X23" s="51"/>
      <c r="Y23" s="47">
        <v>0</v>
      </c>
      <c r="Z23" s="47"/>
      <c r="AA23" s="47">
        <v>0</v>
      </c>
      <c r="AB23" s="47"/>
      <c r="AC23" s="47">
        <v>0</v>
      </c>
      <c r="AD23" s="47"/>
      <c r="AE23" s="52">
        <f t="shared" si="12"/>
        <v>0</v>
      </c>
      <c r="AF23" s="52"/>
      <c r="AG23" s="52">
        <v>0</v>
      </c>
      <c r="AH23" s="52"/>
      <c r="AI23" s="47">
        <v>0</v>
      </c>
      <c r="AJ23" s="47"/>
      <c r="AK23" s="47">
        <v>0</v>
      </c>
      <c r="AL23" s="47"/>
      <c r="AM23" s="47">
        <v>0</v>
      </c>
      <c r="AN23" s="47"/>
      <c r="AO23" s="52">
        <f t="shared" si="13"/>
        <v>0</v>
      </c>
      <c r="AP23" s="52"/>
      <c r="AQ23" s="47">
        <v>0</v>
      </c>
      <c r="AR23" s="47"/>
      <c r="AS23" s="47">
        <v>0</v>
      </c>
      <c r="AT23" s="47"/>
      <c r="AU23" s="47">
        <f t="shared" si="14"/>
        <v>0</v>
      </c>
      <c r="AV23" s="47"/>
      <c r="AW23" s="95" t="s">
        <v>23</v>
      </c>
      <c r="AX23" s="47"/>
      <c r="AY23" s="47">
        <v>0</v>
      </c>
      <c r="AZ23" s="47"/>
      <c r="BA23" s="47">
        <v>0</v>
      </c>
      <c r="BB23" s="47"/>
      <c r="BC23" s="47">
        <v>0</v>
      </c>
      <c r="BD23" s="47"/>
      <c r="BE23" s="47">
        <v>0</v>
      </c>
      <c r="BF23" s="47"/>
      <c r="BG23" s="47">
        <f t="shared" si="15"/>
        <v>0</v>
      </c>
      <c r="BH23" s="1"/>
    </row>
    <row r="24" spans="1:60" ht="12.75" hidden="1">
      <c r="A24" s="40" t="s">
        <v>24</v>
      </c>
      <c r="B24" s="50"/>
      <c r="C24" s="51">
        <f t="shared" si="8"/>
        <v>0</v>
      </c>
      <c r="D24" s="51"/>
      <c r="E24" s="51">
        <v>0</v>
      </c>
      <c r="F24" s="51"/>
      <c r="G24" s="51">
        <v>0</v>
      </c>
      <c r="H24" s="51"/>
      <c r="I24" s="51">
        <f t="shared" si="9"/>
        <v>0</v>
      </c>
      <c r="J24" s="51"/>
      <c r="K24" s="51">
        <f t="shared" si="10"/>
        <v>0</v>
      </c>
      <c r="L24" s="51"/>
      <c r="M24" s="51">
        <v>0</v>
      </c>
      <c r="N24" s="51"/>
      <c r="O24" s="51">
        <v>0</v>
      </c>
      <c r="P24" s="51"/>
      <c r="Q24" s="51">
        <v>0</v>
      </c>
      <c r="R24" s="51"/>
      <c r="S24" s="51">
        <v>0</v>
      </c>
      <c r="T24" s="51"/>
      <c r="U24" s="51">
        <f t="shared" si="11"/>
        <v>0</v>
      </c>
      <c r="V24" s="51"/>
      <c r="W24" s="95" t="s">
        <v>24</v>
      </c>
      <c r="X24" s="51"/>
      <c r="Y24" s="47">
        <v>0</v>
      </c>
      <c r="Z24" s="47"/>
      <c r="AA24" s="47">
        <v>0</v>
      </c>
      <c r="AB24" s="47"/>
      <c r="AC24" s="47">
        <v>0</v>
      </c>
      <c r="AD24" s="47"/>
      <c r="AE24" s="52">
        <f t="shared" si="12"/>
        <v>0</v>
      </c>
      <c r="AF24" s="52"/>
      <c r="AG24" s="52">
        <v>0</v>
      </c>
      <c r="AH24" s="52"/>
      <c r="AI24" s="47">
        <v>0</v>
      </c>
      <c r="AJ24" s="47"/>
      <c r="AK24" s="47">
        <v>0</v>
      </c>
      <c r="AL24" s="47"/>
      <c r="AM24" s="47">
        <v>0</v>
      </c>
      <c r="AN24" s="47"/>
      <c r="AO24" s="52">
        <f t="shared" si="13"/>
        <v>0</v>
      </c>
      <c r="AP24" s="52"/>
      <c r="AQ24" s="47">
        <v>0</v>
      </c>
      <c r="AR24" s="47"/>
      <c r="AS24" s="47">
        <v>0</v>
      </c>
      <c r="AT24" s="47"/>
      <c r="AU24" s="47">
        <f t="shared" si="14"/>
        <v>0</v>
      </c>
      <c r="AV24" s="47"/>
      <c r="AW24" s="95" t="s">
        <v>24</v>
      </c>
      <c r="AX24" s="47"/>
      <c r="AY24" s="47">
        <v>0</v>
      </c>
      <c r="AZ24" s="47"/>
      <c r="BA24" s="47">
        <v>0</v>
      </c>
      <c r="BB24" s="47"/>
      <c r="BC24" s="47">
        <v>0</v>
      </c>
      <c r="BD24" s="47"/>
      <c r="BE24" s="47">
        <v>0</v>
      </c>
      <c r="BF24" s="47"/>
      <c r="BG24" s="47">
        <f t="shared" si="15"/>
        <v>0</v>
      </c>
      <c r="BH24" s="1"/>
    </row>
    <row r="25" spans="1:60" ht="12.75">
      <c r="A25" s="40" t="s">
        <v>191</v>
      </c>
      <c r="B25" s="50"/>
      <c r="C25" s="51">
        <f t="shared" si="8"/>
        <v>0</v>
      </c>
      <c r="D25" s="51"/>
      <c r="E25" s="51">
        <v>0</v>
      </c>
      <c r="F25" s="51"/>
      <c r="G25" s="51">
        <v>0</v>
      </c>
      <c r="H25" s="51"/>
      <c r="I25" s="51">
        <f t="shared" si="9"/>
        <v>0</v>
      </c>
      <c r="J25" s="51"/>
      <c r="K25" s="51">
        <f t="shared" si="10"/>
        <v>0</v>
      </c>
      <c r="L25" s="51"/>
      <c r="M25" s="51">
        <v>0</v>
      </c>
      <c r="N25" s="51"/>
      <c r="O25" s="51">
        <v>0</v>
      </c>
      <c r="P25" s="51"/>
      <c r="Q25" s="51">
        <v>0</v>
      </c>
      <c r="R25" s="51"/>
      <c r="S25" s="51">
        <v>0</v>
      </c>
      <c r="T25" s="51"/>
      <c r="U25" s="51">
        <f t="shared" si="11"/>
        <v>0</v>
      </c>
      <c r="V25" s="51"/>
      <c r="W25" s="95" t="s">
        <v>191</v>
      </c>
      <c r="X25" s="51"/>
      <c r="Y25" s="47">
        <v>0</v>
      </c>
      <c r="Z25" s="47"/>
      <c r="AA25" s="47">
        <v>0</v>
      </c>
      <c r="AB25" s="47"/>
      <c r="AC25" s="47">
        <v>0</v>
      </c>
      <c r="AD25" s="47"/>
      <c r="AE25" s="52">
        <f t="shared" si="12"/>
        <v>0</v>
      </c>
      <c r="AF25" s="52"/>
      <c r="AG25" s="52">
        <v>0</v>
      </c>
      <c r="AH25" s="52"/>
      <c r="AI25" s="47">
        <v>0</v>
      </c>
      <c r="AJ25" s="47"/>
      <c r="AK25" s="47">
        <v>0</v>
      </c>
      <c r="AL25" s="47"/>
      <c r="AM25" s="47">
        <v>0</v>
      </c>
      <c r="AN25" s="47"/>
      <c r="AO25" s="52">
        <f t="shared" si="13"/>
        <v>0</v>
      </c>
      <c r="AP25" s="52"/>
      <c r="AQ25" s="47">
        <v>0</v>
      </c>
      <c r="AR25" s="47"/>
      <c r="AS25" s="47">
        <v>0</v>
      </c>
      <c r="AT25" s="47"/>
      <c r="AU25" s="47">
        <f t="shared" si="14"/>
        <v>0</v>
      </c>
      <c r="AV25" s="47"/>
      <c r="AW25" s="95" t="s">
        <v>191</v>
      </c>
      <c r="AX25" s="47"/>
      <c r="AY25" s="47">
        <v>0</v>
      </c>
      <c r="AZ25" s="47"/>
      <c r="BA25" s="47">
        <v>0</v>
      </c>
      <c r="BB25" s="47"/>
      <c r="BC25" s="47">
        <v>0</v>
      </c>
      <c r="BD25" s="47"/>
      <c r="BE25" s="47">
        <v>0</v>
      </c>
      <c r="BF25" s="47"/>
      <c r="BG25" s="47">
        <f t="shared" si="15"/>
        <v>0</v>
      </c>
      <c r="BH25" s="1"/>
    </row>
    <row r="26" spans="1:60" ht="12.75">
      <c r="A26" s="40" t="s">
        <v>25</v>
      </c>
      <c r="B26" s="50"/>
      <c r="C26" s="51">
        <f t="shared" si="8"/>
        <v>0</v>
      </c>
      <c r="D26" s="51"/>
      <c r="E26" s="51">
        <v>0</v>
      </c>
      <c r="F26" s="51"/>
      <c r="G26" s="51">
        <v>0</v>
      </c>
      <c r="H26" s="51"/>
      <c r="I26" s="51">
        <f t="shared" si="9"/>
        <v>0</v>
      </c>
      <c r="J26" s="51"/>
      <c r="K26" s="51">
        <f t="shared" si="10"/>
        <v>0</v>
      </c>
      <c r="L26" s="51"/>
      <c r="M26" s="51">
        <v>0</v>
      </c>
      <c r="N26" s="51"/>
      <c r="O26" s="51">
        <v>0</v>
      </c>
      <c r="P26" s="51"/>
      <c r="Q26" s="51">
        <v>0</v>
      </c>
      <c r="R26" s="51"/>
      <c r="S26" s="51">
        <v>0</v>
      </c>
      <c r="T26" s="51"/>
      <c r="U26" s="51">
        <f t="shared" si="11"/>
        <v>0</v>
      </c>
      <c r="V26" s="51"/>
      <c r="W26" s="95" t="s">
        <v>25</v>
      </c>
      <c r="X26" s="51"/>
      <c r="Y26" s="47">
        <v>0</v>
      </c>
      <c r="Z26" s="47"/>
      <c r="AA26" s="47">
        <v>0</v>
      </c>
      <c r="AB26" s="47"/>
      <c r="AC26" s="47">
        <v>0</v>
      </c>
      <c r="AD26" s="47"/>
      <c r="AE26" s="52">
        <f t="shared" si="12"/>
        <v>0</v>
      </c>
      <c r="AF26" s="52"/>
      <c r="AG26" s="52">
        <v>0</v>
      </c>
      <c r="AH26" s="52"/>
      <c r="AI26" s="47">
        <v>0</v>
      </c>
      <c r="AJ26" s="47"/>
      <c r="AK26" s="47">
        <v>0</v>
      </c>
      <c r="AL26" s="47"/>
      <c r="AM26" s="47">
        <v>0</v>
      </c>
      <c r="AN26" s="47"/>
      <c r="AO26" s="52">
        <f t="shared" si="13"/>
        <v>0</v>
      </c>
      <c r="AP26" s="52"/>
      <c r="AQ26" s="47">
        <v>0</v>
      </c>
      <c r="AR26" s="47"/>
      <c r="AS26" s="47">
        <v>0</v>
      </c>
      <c r="AT26" s="47"/>
      <c r="AU26" s="47">
        <f t="shared" si="14"/>
        <v>0</v>
      </c>
      <c r="AV26" s="47"/>
      <c r="AW26" s="95" t="s">
        <v>25</v>
      </c>
      <c r="AX26" s="47"/>
      <c r="AY26" s="47">
        <v>0</v>
      </c>
      <c r="AZ26" s="47"/>
      <c r="BA26" s="47">
        <v>0</v>
      </c>
      <c r="BB26" s="47"/>
      <c r="BC26" s="47">
        <v>0</v>
      </c>
      <c r="BD26" s="47"/>
      <c r="BE26" s="47">
        <v>0</v>
      </c>
      <c r="BF26" s="47"/>
      <c r="BG26" s="47">
        <f t="shared" si="15"/>
        <v>0</v>
      </c>
      <c r="BH26" s="1"/>
    </row>
    <row r="27" spans="1:60" ht="12.75">
      <c r="A27" s="40" t="s">
        <v>26</v>
      </c>
      <c r="B27" s="50"/>
      <c r="C27" s="51">
        <f t="shared" si="8"/>
        <v>0</v>
      </c>
      <c r="D27" s="51"/>
      <c r="E27" s="51">
        <v>0</v>
      </c>
      <c r="F27" s="51"/>
      <c r="G27" s="51">
        <v>0</v>
      </c>
      <c r="H27" s="51"/>
      <c r="I27" s="51">
        <f t="shared" si="9"/>
        <v>0</v>
      </c>
      <c r="J27" s="51"/>
      <c r="K27" s="51">
        <f t="shared" si="10"/>
        <v>0</v>
      </c>
      <c r="L27" s="51"/>
      <c r="M27" s="51">
        <v>0</v>
      </c>
      <c r="N27" s="51"/>
      <c r="O27" s="51">
        <v>0</v>
      </c>
      <c r="P27" s="51"/>
      <c r="Q27" s="51">
        <v>0</v>
      </c>
      <c r="R27" s="51"/>
      <c r="S27" s="51">
        <v>0</v>
      </c>
      <c r="T27" s="51"/>
      <c r="U27" s="51">
        <f t="shared" si="11"/>
        <v>0</v>
      </c>
      <c r="V27" s="50"/>
      <c r="W27" s="95" t="s">
        <v>26</v>
      </c>
      <c r="X27" s="50"/>
      <c r="Y27" s="47">
        <v>0</v>
      </c>
      <c r="Z27" s="47"/>
      <c r="AA27" s="47">
        <v>0</v>
      </c>
      <c r="AB27" s="47"/>
      <c r="AC27" s="47">
        <v>0</v>
      </c>
      <c r="AD27" s="47"/>
      <c r="AE27" s="52">
        <f t="shared" si="12"/>
        <v>0</v>
      </c>
      <c r="AF27" s="52"/>
      <c r="AG27" s="52">
        <v>0</v>
      </c>
      <c r="AH27" s="52"/>
      <c r="AI27" s="47">
        <v>0</v>
      </c>
      <c r="AJ27" s="47"/>
      <c r="AK27" s="47">
        <v>0</v>
      </c>
      <c r="AL27" s="47"/>
      <c r="AM27" s="47">
        <v>0</v>
      </c>
      <c r="AN27" s="47"/>
      <c r="AO27" s="52">
        <f t="shared" si="13"/>
        <v>0</v>
      </c>
      <c r="AP27" s="52"/>
      <c r="AQ27" s="47">
        <v>0</v>
      </c>
      <c r="AR27" s="47"/>
      <c r="AS27" s="47">
        <v>0</v>
      </c>
      <c r="AT27" s="47"/>
      <c r="AU27" s="47">
        <f t="shared" si="14"/>
        <v>0</v>
      </c>
      <c r="AV27" s="50"/>
      <c r="AW27" s="95" t="s">
        <v>26</v>
      </c>
      <c r="AX27" s="50"/>
      <c r="AY27" s="47">
        <v>0</v>
      </c>
      <c r="AZ27" s="47"/>
      <c r="BA27" s="47">
        <v>0</v>
      </c>
      <c r="BB27" s="47"/>
      <c r="BC27" s="47">
        <v>0</v>
      </c>
      <c r="BD27" s="47"/>
      <c r="BE27" s="47">
        <v>0</v>
      </c>
      <c r="BF27" s="47"/>
      <c r="BG27" s="47">
        <f t="shared" si="15"/>
        <v>0</v>
      </c>
      <c r="BH27" s="1"/>
    </row>
    <row r="28" spans="1:60" ht="12.75">
      <c r="A28" s="40" t="s">
        <v>27</v>
      </c>
      <c r="B28" s="50"/>
      <c r="C28" s="51">
        <v>7696391</v>
      </c>
      <c r="D28" s="51"/>
      <c r="E28" s="51">
        <v>6945279</v>
      </c>
      <c r="F28" s="51"/>
      <c r="G28" s="51">
        <v>14641670</v>
      </c>
      <c r="H28" s="51"/>
      <c r="I28" s="51">
        <f t="shared" si="9"/>
        <v>318319</v>
      </c>
      <c r="J28" s="51"/>
      <c r="K28" s="51">
        <f t="shared" si="10"/>
        <v>2480756</v>
      </c>
      <c r="L28" s="51"/>
      <c r="M28" s="51">
        <v>2799075</v>
      </c>
      <c r="N28" s="51"/>
      <c r="O28" s="51">
        <v>2551431</v>
      </c>
      <c r="P28" s="51"/>
      <c r="Q28" s="51">
        <v>1725118</v>
      </c>
      <c r="R28" s="51"/>
      <c r="S28" s="51">
        <v>7566046</v>
      </c>
      <c r="T28" s="51"/>
      <c r="U28" s="51">
        <f t="shared" si="11"/>
        <v>11842595</v>
      </c>
      <c r="V28" s="51"/>
      <c r="W28" s="95" t="s">
        <v>27</v>
      </c>
      <c r="X28" s="51"/>
      <c r="Y28" s="47">
        <v>2441085</v>
      </c>
      <c r="Z28" s="47"/>
      <c r="AA28" s="47">
        <f>1509696-209071</f>
        <v>1300625</v>
      </c>
      <c r="AB28" s="47"/>
      <c r="AC28" s="47">
        <v>209071</v>
      </c>
      <c r="AD28" s="47"/>
      <c r="AE28" s="52">
        <f t="shared" si="12"/>
        <v>931389</v>
      </c>
      <c r="AF28" s="52"/>
      <c r="AG28" s="52">
        <v>92278</v>
      </c>
      <c r="AH28" s="52"/>
      <c r="AI28" s="47">
        <v>0</v>
      </c>
      <c r="AJ28" s="47"/>
      <c r="AK28" s="47">
        <v>0</v>
      </c>
      <c r="AL28" s="47"/>
      <c r="AM28" s="47">
        <v>0</v>
      </c>
      <c r="AN28" s="47"/>
      <c r="AO28" s="52">
        <f t="shared" si="13"/>
        <v>1023667</v>
      </c>
      <c r="AP28" s="52"/>
      <c r="AQ28" s="47">
        <v>0</v>
      </c>
      <c r="AR28" s="47"/>
      <c r="AS28" s="47">
        <v>0</v>
      </c>
      <c r="AT28" s="47"/>
      <c r="AU28" s="47">
        <f t="shared" si="14"/>
        <v>7378072</v>
      </c>
      <c r="AV28" s="47"/>
      <c r="AW28" s="95" t="s">
        <v>27</v>
      </c>
      <c r="AX28" s="47"/>
      <c r="AY28" s="47">
        <v>0</v>
      </c>
      <c r="AZ28" s="47"/>
      <c r="BA28" s="47">
        <v>0</v>
      </c>
      <c r="BB28" s="47"/>
      <c r="BC28" s="47">
        <v>213645</v>
      </c>
      <c r="BD28" s="47"/>
      <c r="BE28" s="47">
        <f>2235056+32055</f>
        <v>2267111</v>
      </c>
      <c r="BF28" s="47"/>
      <c r="BG28" s="47">
        <f t="shared" si="15"/>
        <v>2480756</v>
      </c>
      <c r="BH28" s="1"/>
    </row>
    <row r="29" spans="1:60" ht="12.75">
      <c r="A29" s="40" t="s">
        <v>28</v>
      </c>
      <c r="B29" s="50"/>
      <c r="C29" s="51">
        <f t="shared" si="8"/>
        <v>0</v>
      </c>
      <c r="D29" s="51"/>
      <c r="E29" s="51">
        <v>0</v>
      </c>
      <c r="F29" s="51"/>
      <c r="G29" s="51">
        <v>0</v>
      </c>
      <c r="H29" s="51"/>
      <c r="I29" s="51">
        <f t="shared" si="9"/>
        <v>0</v>
      </c>
      <c r="J29" s="51"/>
      <c r="K29" s="51">
        <f t="shared" si="10"/>
        <v>0</v>
      </c>
      <c r="L29" s="51"/>
      <c r="M29" s="51">
        <v>0</v>
      </c>
      <c r="N29" s="51"/>
      <c r="O29" s="51">
        <v>0</v>
      </c>
      <c r="P29" s="51"/>
      <c r="Q29" s="51">
        <v>0</v>
      </c>
      <c r="R29" s="51"/>
      <c r="S29" s="51">
        <v>0</v>
      </c>
      <c r="T29" s="51"/>
      <c r="U29" s="51">
        <f t="shared" si="11"/>
        <v>0</v>
      </c>
      <c r="V29" s="50"/>
      <c r="W29" s="95" t="s">
        <v>28</v>
      </c>
      <c r="X29" s="50"/>
      <c r="Y29" s="47">
        <v>0</v>
      </c>
      <c r="Z29" s="47"/>
      <c r="AA29" s="47">
        <v>0</v>
      </c>
      <c r="AB29" s="47"/>
      <c r="AC29" s="47">
        <v>0</v>
      </c>
      <c r="AD29" s="47"/>
      <c r="AE29" s="52">
        <f t="shared" si="12"/>
        <v>0</v>
      </c>
      <c r="AF29" s="52"/>
      <c r="AG29" s="52">
        <v>0</v>
      </c>
      <c r="AH29" s="52"/>
      <c r="AI29" s="47">
        <v>0</v>
      </c>
      <c r="AJ29" s="47"/>
      <c r="AK29" s="47">
        <v>0</v>
      </c>
      <c r="AL29" s="47"/>
      <c r="AM29" s="47">
        <v>0</v>
      </c>
      <c r="AN29" s="47"/>
      <c r="AO29" s="52">
        <f t="shared" si="13"/>
        <v>0</v>
      </c>
      <c r="AP29" s="52"/>
      <c r="AQ29" s="47">
        <v>0</v>
      </c>
      <c r="AR29" s="47"/>
      <c r="AS29" s="47">
        <v>0</v>
      </c>
      <c r="AT29" s="47"/>
      <c r="AU29" s="47">
        <f t="shared" si="14"/>
        <v>0</v>
      </c>
      <c r="AV29" s="50"/>
      <c r="AW29" s="95" t="s">
        <v>28</v>
      </c>
      <c r="AX29" s="50"/>
      <c r="AY29" s="47">
        <v>0</v>
      </c>
      <c r="AZ29" s="47"/>
      <c r="BA29" s="47">
        <v>0</v>
      </c>
      <c r="BB29" s="47"/>
      <c r="BC29" s="47">
        <v>0</v>
      </c>
      <c r="BD29" s="47"/>
      <c r="BE29" s="47">
        <v>0</v>
      </c>
      <c r="BF29" s="47"/>
      <c r="BG29" s="47">
        <f t="shared" si="15"/>
        <v>0</v>
      </c>
      <c r="BH29" s="1"/>
    </row>
    <row r="30" spans="1:60" ht="12.75">
      <c r="A30" s="40" t="s">
        <v>29</v>
      </c>
      <c r="B30" s="50"/>
      <c r="C30" s="51">
        <f t="shared" si="8"/>
        <v>8861144</v>
      </c>
      <c r="D30" s="51"/>
      <c r="E30" s="51">
        <v>9636131</v>
      </c>
      <c r="F30" s="51"/>
      <c r="G30" s="51">
        <v>18497275</v>
      </c>
      <c r="H30" s="51"/>
      <c r="I30" s="51">
        <f t="shared" si="9"/>
        <v>11794413</v>
      </c>
      <c r="J30" s="51"/>
      <c r="K30" s="51">
        <f t="shared" si="10"/>
        <v>15426467</v>
      </c>
      <c r="L30" s="51"/>
      <c r="M30" s="51">
        <v>27220880</v>
      </c>
      <c r="N30" s="51"/>
      <c r="O30" s="51">
        <v>3362615</v>
      </c>
      <c r="P30" s="51"/>
      <c r="Q30" s="51">
        <v>0</v>
      </c>
      <c r="R30" s="51"/>
      <c r="S30" s="51">
        <v>-12086220</v>
      </c>
      <c r="T30" s="51"/>
      <c r="U30" s="51">
        <f t="shared" si="11"/>
        <v>-8723605</v>
      </c>
      <c r="V30" s="51"/>
      <c r="W30" s="95" t="s">
        <v>29</v>
      </c>
      <c r="X30" s="51"/>
      <c r="Y30" s="47">
        <v>3059132</v>
      </c>
      <c r="Z30" s="47"/>
      <c r="AA30" s="47">
        <f>5040048-329421</f>
        <v>4710627</v>
      </c>
      <c r="AB30" s="47"/>
      <c r="AC30" s="47">
        <v>392421</v>
      </c>
      <c r="AD30" s="47"/>
      <c r="AE30" s="52">
        <f t="shared" si="12"/>
        <v>-2043916</v>
      </c>
      <c r="AF30" s="52"/>
      <c r="AG30" s="52">
        <v>-235185</v>
      </c>
      <c r="AH30" s="52"/>
      <c r="AI30" s="47">
        <v>0</v>
      </c>
      <c r="AJ30" s="47"/>
      <c r="AK30" s="47">
        <v>-40000</v>
      </c>
      <c r="AL30" s="47"/>
      <c r="AM30" s="47">
        <v>0</v>
      </c>
      <c r="AN30" s="47"/>
      <c r="AO30" s="52">
        <f t="shared" si="13"/>
        <v>-2239101</v>
      </c>
      <c r="AP30" s="52"/>
      <c r="AQ30" s="47">
        <v>0</v>
      </c>
      <c r="AR30" s="47"/>
      <c r="AS30" s="47">
        <v>0</v>
      </c>
      <c r="AT30" s="47"/>
      <c r="AU30" s="47">
        <f t="shared" si="14"/>
        <v>-2933269</v>
      </c>
      <c r="AV30" s="47"/>
      <c r="AW30" s="95" t="s">
        <v>29</v>
      </c>
      <c r="AX30" s="47"/>
      <c r="AY30" s="47">
        <v>5841990</v>
      </c>
      <c r="AZ30" s="47"/>
      <c r="BA30" s="47">
        <v>0</v>
      </c>
      <c r="BB30" s="47"/>
      <c r="BC30" s="47">
        <v>0</v>
      </c>
      <c r="BD30" s="47"/>
      <c r="BE30" s="47">
        <f>129034+9426614+28829</f>
        <v>9584477</v>
      </c>
      <c r="BF30" s="47"/>
      <c r="BG30" s="47">
        <f t="shared" si="15"/>
        <v>15426467</v>
      </c>
      <c r="BH30" s="1"/>
    </row>
    <row r="31" spans="1:60" ht="12.75">
      <c r="A31" s="40" t="s">
        <v>30</v>
      </c>
      <c r="B31" s="50"/>
      <c r="C31" s="51">
        <f t="shared" si="8"/>
        <v>0</v>
      </c>
      <c r="D31" s="51"/>
      <c r="E31" s="51">
        <v>0</v>
      </c>
      <c r="F31" s="51"/>
      <c r="G31" s="51">
        <v>0</v>
      </c>
      <c r="H31" s="51"/>
      <c r="I31" s="51">
        <f t="shared" si="9"/>
        <v>0</v>
      </c>
      <c r="J31" s="51"/>
      <c r="K31" s="51">
        <f t="shared" si="10"/>
        <v>0</v>
      </c>
      <c r="L31" s="51"/>
      <c r="M31" s="51">
        <v>0</v>
      </c>
      <c r="N31" s="51"/>
      <c r="O31" s="51">
        <v>0</v>
      </c>
      <c r="P31" s="51"/>
      <c r="Q31" s="51">
        <v>0</v>
      </c>
      <c r="R31" s="51"/>
      <c r="S31" s="51">
        <v>0</v>
      </c>
      <c r="T31" s="51"/>
      <c r="U31" s="51">
        <f t="shared" si="11"/>
        <v>0</v>
      </c>
      <c r="V31" s="50"/>
      <c r="W31" s="95" t="s">
        <v>30</v>
      </c>
      <c r="X31" s="50"/>
      <c r="Y31" s="47">
        <v>0</v>
      </c>
      <c r="Z31" s="47"/>
      <c r="AA31" s="47">
        <v>0</v>
      </c>
      <c r="AB31" s="47"/>
      <c r="AC31" s="47">
        <v>0</v>
      </c>
      <c r="AD31" s="47"/>
      <c r="AE31" s="52">
        <f t="shared" si="12"/>
        <v>0</v>
      </c>
      <c r="AF31" s="52"/>
      <c r="AG31" s="52">
        <v>0</v>
      </c>
      <c r="AH31" s="52"/>
      <c r="AI31" s="47">
        <v>0</v>
      </c>
      <c r="AJ31" s="47"/>
      <c r="AK31" s="47">
        <v>0</v>
      </c>
      <c r="AL31" s="47"/>
      <c r="AM31" s="47">
        <v>0</v>
      </c>
      <c r="AN31" s="47"/>
      <c r="AO31" s="52">
        <f t="shared" si="13"/>
        <v>0</v>
      </c>
      <c r="AP31" s="52"/>
      <c r="AQ31" s="47">
        <v>0</v>
      </c>
      <c r="AR31" s="47"/>
      <c r="AS31" s="47">
        <v>0</v>
      </c>
      <c r="AT31" s="47"/>
      <c r="AU31" s="47">
        <f t="shared" si="14"/>
        <v>0</v>
      </c>
      <c r="AV31" s="50"/>
      <c r="AW31" s="95" t="s">
        <v>30</v>
      </c>
      <c r="AX31" s="50"/>
      <c r="AY31" s="47">
        <v>0</v>
      </c>
      <c r="AZ31" s="47"/>
      <c r="BA31" s="47">
        <v>0</v>
      </c>
      <c r="BB31" s="47"/>
      <c r="BC31" s="47">
        <v>0</v>
      </c>
      <c r="BD31" s="47"/>
      <c r="BE31" s="47">
        <v>0</v>
      </c>
      <c r="BF31" s="47"/>
      <c r="BG31" s="47">
        <f t="shared" si="15"/>
        <v>0</v>
      </c>
      <c r="BH31" s="1"/>
    </row>
    <row r="32" spans="1:60" ht="12.75" hidden="1">
      <c r="A32" s="40" t="s">
        <v>31</v>
      </c>
      <c r="B32" s="50"/>
      <c r="C32" s="51">
        <f t="shared" si="8"/>
        <v>0</v>
      </c>
      <c r="D32" s="51"/>
      <c r="E32" s="51">
        <v>0</v>
      </c>
      <c r="F32" s="51"/>
      <c r="G32" s="51">
        <v>0</v>
      </c>
      <c r="H32" s="51"/>
      <c r="I32" s="51">
        <f t="shared" si="9"/>
        <v>0</v>
      </c>
      <c r="J32" s="51"/>
      <c r="K32" s="51">
        <f t="shared" si="10"/>
        <v>0</v>
      </c>
      <c r="L32" s="51"/>
      <c r="M32" s="51">
        <v>0</v>
      </c>
      <c r="N32" s="51"/>
      <c r="O32" s="51">
        <v>0</v>
      </c>
      <c r="P32" s="51"/>
      <c r="Q32" s="51">
        <v>0</v>
      </c>
      <c r="R32" s="51"/>
      <c r="S32" s="51">
        <v>0</v>
      </c>
      <c r="T32" s="51"/>
      <c r="U32" s="51">
        <f t="shared" si="11"/>
        <v>0</v>
      </c>
      <c r="V32" s="50"/>
      <c r="W32" s="95" t="s">
        <v>31</v>
      </c>
      <c r="X32" s="50"/>
      <c r="Y32" s="47">
        <v>0</v>
      </c>
      <c r="Z32" s="47"/>
      <c r="AA32" s="47">
        <v>0</v>
      </c>
      <c r="AB32" s="47"/>
      <c r="AC32" s="47">
        <v>0</v>
      </c>
      <c r="AD32" s="47"/>
      <c r="AE32" s="52">
        <f t="shared" si="12"/>
        <v>0</v>
      </c>
      <c r="AF32" s="52"/>
      <c r="AG32" s="52">
        <v>0</v>
      </c>
      <c r="AH32" s="52"/>
      <c r="AI32" s="47">
        <v>0</v>
      </c>
      <c r="AJ32" s="47"/>
      <c r="AK32" s="47">
        <v>0</v>
      </c>
      <c r="AL32" s="47"/>
      <c r="AM32" s="47">
        <v>0</v>
      </c>
      <c r="AN32" s="47"/>
      <c r="AO32" s="52">
        <f t="shared" si="13"/>
        <v>0</v>
      </c>
      <c r="AP32" s="52"/>
      <c r="AQ32" s="47">
        <v>0</v>
      </c>
      <c r="AR32" s="47"/>
      <c r="AS32" s="47">
        <v>0</v>
      </c>
      <c r="AT32" s="47"/>
      <c r="AU32" s="47">
        <f t="shared" si="14"/>
        <v>0</v>
      </c>
      <c r="AV32" s="50"/>
      <c r="AW32" s="95" t="s">
        <v>31</v>
      </c>
      <c r="AX32" s="50"/>
      <c r="AY32" s="47">
        <v>0</v>
      </c>
      <c r="AZ32" s="47"/>
      <c r="BA32" s="47">
        <v>0</v>
      </c>
      <c r="BB32" s="47"/>
      <c r="BC32" s="47">
        <v>0</v>
      </c>
      <c r="BD32" s="47"/>
      <c r="BE32" s="47">
        <v>0</v>
      </c>
      <c r="BF32" s="47"/>
      <c r="BG32" s="47">
        <f t="shared" si="15"/>
        <v>0</v>
      </c>
      <c r="BH32" s="1"/>
    </row>
    <row r="33" spans="1:60" ht="12.75">
      <c r="A33" s="40" t="s">
        <v>32</v>
      </c>
      <c r="B33" s="50"/>
      <c r="C33" s="51">
        <f t="shared" si="8"/>
        <v>0</v>
      </c>
      <c r="D33" s="51"/>
      <c r="E33" s="51">
        <v>0</v>
      </c>
      <c r="F33" s="51"/>
      <c r="G33" s="51">
        <v>0</v>
      </c>
      <c r="H33" s="51"/>
      <c r="I33" s="51">
        <f t="shared" si="9"/>
        <v>0</v>
      </c>
      <c r="J33" s="51"/>
      <c r="K33" s="51">
        <f t="shared" si="10"/>
        <v>0</v>
      </c>
      <c r="L33" s="51"/>
      <c r="M33" s="51">
        <v>0</v>
      </c>
      <c r="N33" s="51"/>
      <c r="O33" s="51">
        <v>0</v>
      </c>
      <c r="P33" s="51"/>
      <c r="Q33" s="51">
        <v>0</v>
      </c>
      <c r="R33" s="51"/>
      <c r="S33" s="51">
        <v>0</v>
      </c>
      <c r="T33" s="51"/>
      <c r="U33" s="51">
        <f t="shared" si="11"/>
        <v>0</v>
      </c>
      <c r="V33" s="50"/>
      <c r="W33" s="95" t="s">
        <v>32</v>
      </c>
      <c r="X33" s="50"/>
      <c r="Y33" s="47">
        <v>0</v>
      </c>
      <c r="Z33" s="47"/>
      <c r="AA33" s="47">
        <v>0</v>
      </c>
      <c r="AB33" s="47"/>
      <c r="AC33" s="47">
        <v>0</v>
      </c>
      <c r="AD33" s="47"/>
      <c r="AE33" s="52">
        <f t="shared" si="12"/>
        <v>0</v>
      </c>
      <c r="AF33" s="52"/>
      <c r="AG33" s="52">
        <v>0</v>
      </c>
      <c r="AH33" s="52"/>
      <c r="AI33" s="47">
        <v>0</v>
      </c>
      <c r="AJ33" s="47"/>
      <c r="AK33" s="47">
        <v>0</v>
      </c>
      <c r="AL33" s="47"/>
      <c r="AM33" s="47">
        <v>0</v>
      </c>
      <c r="AN33" s="47"/>
      <c r="AO33" s="52">
        <f t="shared" si="13"/>
        <v>0</v>
      </c>
      <c r="AP33" s="52"/>
      <c r="AQ33" s="47">
        <v>0</v>
      </c>
      <c r="AR33" s="47"/>
      <c r="AS33" s="47">
        <v>0</v>
      </c>
      <c r="AT33" s="47"/>
      <c r="AU33" s="47">
        <f t="shared" si="14"/>
        <v>0</v>
      </c>
      <c r="AV33" s="50"/>
      <c r="AW33" s="95" t="s">
        <v>32</v>
      </c>
      <c r="AX33" s="50"/>
      <c r="AY33" s="47">
        <v>0</v>
      </c>
      <c r="AZ33" s="47"/>
      <c r="BA33" s="47">
        <v>0</v>
      </c>
      <c r="BB33" s="47"/>
      <c r="BC33" s="47">
        <v>0</v>
      </c>
      <c r="BD33" s="47"/>
      <c r="BE33" s="47">
        <v>0</v>
      </c>
      <c r="BF33" s="47"/>
      <c r="BG33" s="47">
        <f t="shared" si="15"/>
        <v>0</v>
      </c>
      <c r="BH33" s="1"/>
    </row>
    <row r="34" spans="1:60" ht="12.75">
      <c r="A34" s="40" t="s">
        <v>33</v>
      </c>
      <c r="B34" s="50"/>
      <c r="C34" s="51">
        <f t="shared" si="8"/>
        <v>0</v>
      </c>
      <c r="D34" s="51"/>
      <c r="E34" s="51">
        <v>0</v>
      </c>
      <c r="F34" s="51"/>
      <c r="G34" s="51">
        <v>0</v>
      </c>
      <c r="H34" s="51"/>
      <c r="I34" s="51">
        <f t="shared" si="9"/>
        <v>0</v>
      </c>
      <c r="J34" s="51"/>
      <c r="K34" s="51">
        <f t="shared" si="10"/>
        <v>0</v>
      </c>
      <c r="L34" s="51"/>
      <c r="M34" s="51">
        <v>0</v>
      </c>
      <c r="N34" s="51"/>
      <c r="O34" s="51">
        <v>0</v>
      </c>
      <c r="P34" s="51"/>
      <c r="Q34" s="51">
        <v>0</v>
      </c>
      <c r="R34" s="51"/>
      <c r="S34" s="51">
        <v>0</v>
      </c>
      <c r="T34" s="51"/>
      <c r="U34" s="51">
        <f t="shared" si="11"/>
        <v>0</v>
      </c>
      <c r="V34" s="51"/>
      <c r="W34" s="95" t="s">
        <v>33</v>
      </c>
      <c r="X34" s="51"/>
      <c r="Y34" s="47">
        <v>0</v>
      </c>
      <c r="Z34" s="47"/>
      <c r="AA34" s="47">
        <v>0</v>
      </c>
      <c r="AB34" s="47"/>
      <c r="AC34" s="47">
        <v>0</v>
      </c>
      <c r="AD34" s="47"/>
      <c r="AE34" s="52">
        <f t="shared" si="12"/>
        <v>0</v>
      </c>
      <c r="AF34" s="52"/>
      <c r="AG34" s="52">
        <v>0</v>
      </c>
      <c r="AH34" s="52"/>
      <c r="AI34" s="47">
        <v>0</v>
      </c>
      <c r="AJ34" s="47"/>
      <c r="AK34" s="47">
        <v>0</v>
      </c>
      <c r="AL34" s="47"/>
      <c r="AM34" s="47">
        <v>0</v>
      </c>
      <c r="AN34" s="47"/>
      <c r="AO34" s="52">
        <f t="shared" si="13"/>
        <v>0</v>
      </c>
      <c r="AP34" s="52"/>
      <c r="AQ34" s="47">
        <v>0</v>
      </c>
      <c r="AR34" s="47"/>
      <c r="AS34" s="47">
        <v>0</v>
      </c>
      <c r="AT34" s="47"/>
      <c r="AU34" s="47">
        <f t="shared" si="14"/>
        <v>0</v>
      </c>
      <c r="AV34" s="47"/>
      <c r="AW34" s="95" t="s">
        <v>33</v>
      </c>
      <c r="AX34" s="47"/>
      <c r="AY34" s="47">
        <v>0</v>
      </c>
      <c r="AZ34" s="47"/>
      <c r="BA34" s="47">
        <v>0</v>
      </c>
      <c r="BB34" s="47"/>
      <c r="BC34" s="47">
        <v>0</v>
      </c>
      <c r="BD34" s="47"/>
      <c r="BE34" s="47">
        <v>0</v>
      </c>
      <c r="BF34" s="47"/>
      <c r="BG34" s="47">
        <f t="shared" si="15"/>
        <v>0</v>
      </c>
      <c r="BH34" s="1"/>
    </row>
    <row r="35" spans="1:60" ht="12.75">
      <c r="A35" s="40" t="s">
        <v>34</v>
      </c>
      <c r="B35" s="50"/>
      <c r="C35" s="51">
        <f t="shared" si="8"/>
        <v>0</v>
      </c>
      <c r="D35" s="51"/>
      <c r="E35" s="51">
        <v>0</v>
      </c>
      <c r="F35" s="51"/>
      <c r="G35" s="51">
        <v>0</v>
      </c>
      <c r="H35" s="51"/>
      <c r="I35" s="51">
        <f t="shared" si="9"/>
        <v>0</v>
      </c>
      <c r="J35" s="51"/>
      <c r="K35" s="51">
        <f t="shared" si="10"/>
        <v>0</v>
      </c>
      <c r="L35" s="51"/>
      <c r="M35" s="51">
        <v>0</v>
      </c>
      <c r="N35" s="51"/>
      <c r="O35" s="51">
        <v>0</v>
      </c>
      <c r="P35" s="51"/>
      <c r="Q35" s="51">
        <v>0</v>
      </c>
      <c r="R35" s="51"/>
      <c r="S35" s="51">
        <v>0</v>
      </c>
      <c r="T35" s="51"/>
      <c r="U35" s="51">
        <f t="shared" si="11"/>
        <v>0</v>
      </c>
      <c r="V35" s="51"/>
      <c r="W35" s="95" t="s">
        <v>34</v>
      </c>
      <c r="X35" s="51"/>
      <c r="Y35" s="47">
        <v>0</v>
      </c>
      <c r="Z35" s="47"/>
      <c r="AA35" s="47">
        <v>0</v>
      </c>
      <c r="AB35" s="47"/>
      <c r="AC35" s="47">
        <v>0</v>
      </c>
      <c r="AD35" s="47"/>
      <c r="AE35" s="52">
        <f t="shared" si="12"/>
        <v>0</v>
      </c>
      <c r="AF35" s="52"/>
      <c r="AG35" s="52">
        <v>0</v>
      </c>
      <c r="AH35" s="52"/>
      <c r="AI35" s="47">
        <v>0</v>
      </c>
      <c r="AJ35" s="47"/>
      <c r="AK35" s="47">
        <v>0</v>
      </c>
      <c r="AL35" s="47"/>
      <c r="AM35" s="47">
        <v>0</v>
      </c>
      <c r="AN35" s="47"/>
      <c r="AO35" s="52">
        <f t="shared" si="13"/>
        <v>0</v>
      </c>
      <c r="AP35" s="52"/>
      <c r="AQ35" s="47">
        <v>0</v>
      </c>
      <c r="AR35" s="47"/>
      <c r="AS35" s="47">
        <v>0</v>
      </c>
      <c r="AT35" s="47"/>
      <c r="AU35" s="47">
        <f t="shared" si="14"/>
        <v>0</v>
      </c>
      <c r="AV35" s="47"/>
      <c r="AW35" s="95" t="s">
        <v>34</v>
      </c>
      <c r="AX35" s="47"/>
      <c r="AY35" s="47">
        <v>0</v>
      </c>
      <c r="AZ35" s="47"/>
      <c r="BA35" s="47">
        <v>0</v>
      </c>
      <c r="BB35" s="47"/>
      <c r="BC35" s="47">
        <v>0</v>
      </c>
      <c r="BD35" s="47"/>
      <c r="BE35" s="47">
        <v>0</v>
      </c>
      <c r="BF35" s="47"/>
      <c r="BG35" s="47">
        <f t="shared" si="15"/>
        <v>0</v>
      </c>
      <c r="BH35" s="1"/>
    </row>
    <row r="36" spans="1:60" ht="12.75">
      <c r="A36" s="40" t="s">
        <v>35</v>
      </c>
      <c r="B36" s="50"/>
      <c r="C36" s="51">
        <f t="shared" si="8"/>
        <v>0</v>
      </c>
      <c r="D36" s="51"/>
      <c r="E36" s="51">
        <v>0</v>
      </c>
      <c r="F36" s="51"/>
      <c r="G36" s="51">
        <v>0</v>
      </c>
      <c r="H36" s="51"/>
      <c r="I36" s="51">
        <f t="shared" si="9"/>
        <v>0</v>
      </c>
      <c r="J36" s="51"/>
      <c r="K36" s="51">
        <f t="shared" si="10"/>
        <v>0</v>
      </c>
      <c r="L36" s="51"/>
      <c r="M36" s="51">
        <v>0</v>
      </c>
      <c r="N36" s="51"/>
      <c r="O36" s="51">
        <v>0</v>
      </c>
      <c r="P36" s="51"/>
      <c r="Q36" s="51">
        <v>0</v>
      </c>
      <c r="R36" s="51"/>
      <c r="S36" s="51">
        <v>0</v>
      </c>
      <c r="T36" s="51"/>
      <c r="U36" s="51">
        <f t="shared" si="11"/>
        <v>0</v>
      </c>
      <c r="V36" s="50"/>
      <c r="W36" s="95" t="s">
        <v>35</v>
      </c>
      <c r="X36" s="50"/>
      <c r="Y36" s="47">
        <v>0</v>
      </c>
      <c r="Z36" s="47"/>
      <c r="AA36" s="47">
        <v>0</v>
      </c>
      <c r="AB36" s="47"/>
      <c r="AC36" s="47">
        <v>0</v>
      </c>
      <c r="AD36" s="47"/>
      <c r="AE36" s="52">
        <f t="shared" si="12"/>
        <v>0</v>
      </c>
      <c r="AF36" s="52"/>
      <c r="AG36" s="52">
        <v>0</v>
      </c>
      <c r="AH36" s="52"/>
      <c r="AI36" s="47">
        <v>0</v>
      </c>
      <c r="AJ36" s="47"/>
      <c r="AK36" s="47">
        <v>0</v>
      </c>
      <c r="AL36" s="47"/>
      <c r="AM36" s="47">
        <v>0</v>
      </c>
      <c r="AN36" s="47"/>
      <c r="AO36" s="52">
        <f t="shared" si="13"/>
        <v>0</v>
      </c>
      <c r="AP36" s="52"/>
      <c r="AQ36" s="47">
        <v>0</v>
      </c>
      <c r="AR36" s="47"/>
      <c r="AS36" s="47">
        <v>0</v>
      </c>
      <c r="AT36" s="47"/>
      <c r="AU36" s="47">
        <f t="shared" si="14"/>
        <v>0</v>
      </c>
      <c r="AV36" s="50"/>
      <c r="AW36" s="95" t="s">
        <v>35</v>
      </c>
      <c r="AX36" s="50"/>
      <c r="AY36" s="47">
        <v>0</v>
      </c>
      <c r="AZ36" s="47"/>
      <c r="BA36" s="47">
        <v>0</v>
      </c>
      <c r="BB36" s="47"/>
      <c r="BC36" s="47">
        <v>0</v>
      </c>
      <c r="BD36" s="47"/>
      <c r="BE36" s="47">
        <v>0</v>
      </c>
      <c r="BF36" s="47"/>
      <c r="BG36" s="47">
        <f t="shared" si="15"/>
        <v>0</v>
      </c>
      <c r="BH36" s="1"/>
    </row>
    <row r="37" spans="1:60" ht="12.75">
      <c r="A37" s="40" t="s">
        <v>140</v>
      </c>
      <c r="B37" s="50"/>
      <c r="C37" s="51">
        <f t="shared" si="8"/>
        <v>0</v>
      </c>
      <c r="D37" s="51"/>
      <c r="E37" s="51">
        <v>0</v>
      </c>
      <c r="F37" s="51"/>
      <c r="G37" s="51">
        <v>0</v>
      </c>
      <c r="H37" s="51"/>
      <c r="I37" s="51">
        <f t="shared" si="9"/>
        <v>0</v>
      </c>
      <c r="J37" s="51"/>
      <c r="K37" s="51">
        <f t="shared" si="10"/>
        <v>0</v>
      </c>
      <c r="L37" s="51"/>
      <c r="M37" s="51">
        <v>0</v>
      </c>
      <c r="N37" s="51"/>
      <c r="O37" s="51">
        <v>0</v>
      </c>
      <c r="P37" s="51"/>
      <c r="Q37" s="51">
        <v>0</v>
      </c>
      <c r="R37" s="51"/>
      <c r="S37" s="51">
        <v>0</v>
      </c>
      <c r="T37" s="51"/>
      <c r="U37" s="51">
        <f t="shared" si="11"/>
        <v>0</v>
      </c>
      <c r="V37" s="50"/>
      <c r="W37" s="95" t="s">
        <v>140</v>
      </c>
      <c r="X37" s="50"/>
      <c r="Y37" s="47">
        <v>0</v>
      </c>
      <c r="Z37" s="47"/>
      <c r="AA37" s="47">
        <v>0</v>
      </c>
      <c r="AB37" s="47"/>
      <c r="AC37" s="47">
        <v>0</v>
      </c>
      <c r="AD37" s="47"/>
      <c r="AE37" s="52">
        <f t="shared" si="12"/>
        <v>0</v>
      </c>
      <c r="AF37" s="52"/>
      <c r="AG37" s="52">
        <v>0</v>
      </c>
      <c r="AH37" s="52"/>
      <c r="AI37" s="47">
        <v>0</v>
      </c>
      <c r="AJ37" s="47"/>
      <c r="AK37" s="47">
        <v>0</v>
      </c>
      <c r="AL37" s="47"/>
      <c r="AM37" s="47">
        <v>0</v>
      </c>
      <c r="AN37" s="47"/>
      <c r="AO37" s="52">
        <f t="shared" si="13"/>
        <v>0</v>
      </c>
      <c r="AP37" s="52"/>
      <c r="AQ37" s="47">
        <v>0</v>
      </c>
      <c r="AR37" s="47"/>
      <c r="AS37" s="47">
        <v>0</v>
      </c>
      <c r="AT37" s="47"/>
      <c r="AU37" s="47">
        <f t="shared" si="14"/>
        <v>0</v>
      </c>
      <c r="AV37" s="50"/>
      <c r="AW37" s="95" t="s">
        <v>140</v>
      </c>
      <c r="AX37" s="50"/>
      <c r="AY37" s="47">
        <v>0</v>
      </c>
      <c r="AZ37" s="47"/>
      <c r="BA37" s="47">
        <v>0</v>
      </c>
      <c r="BB37" s="47"/>
      <c r="BC37" s="47">
        <v>0</v>
      </c>
      <c r="BD37" s="47"/>
      <c r="BE37" s="47">
        <v>0</v>
      </c>
      <c r="BF37" s="47"/>
      <c r="BG37" s="47">
        <f t="shared" si="15"/>
        <v>0</v>
      </c>
      <c r="BH37" s="1"/>
    </row>
    <row r="38" spans="1:60" ht="12.75">
      <c r="A38" s="40" t="s">
        <v>36</v>
      </c>
      <c r="B38" s="50"/>
      <c r="C38" s="51">
        <f t="shared" si="8"/>
        <v>0</v>
      </c>
      <c r="D38" s="51"/>
      <c r="E38" s="51">
        <v>0</v>
      </c>
      <c r="F38" s="51"/>
      <c r="G38" s="51">
        <v>0</v>
      </c>
      <c r="H38" s="51"/>
      <c r="I38" s="51">
        <f t="shared" si="9"/>
        <v>0</v>
      </c>
      <c r="J38" s="51"/>
      <c r="K38" s="51">
        <f t="shared" si="10"/>
        <v>0</v>
      </c>
      <c r="L38" s="51"/>
      <c r="M38" s="51">
        <v>0</v>
      </c>
      <c r="N38" s="51"/>
      <c r="O38" s="51">
        <v>0</v>
      </c>
      <c r="P38" s="51"/>
      <c r="Q38" s="51">
        <v>0</v>
      </c>
      <c r="R38" s="51"/>
      <c r="S38" s="51">
        <v>0</v>
      </c>
      <c r="T38" s="51"/>
      <c r="U38" s="51">
        <f t="shared" si="11"/>
        <v>0</v>
      </c>
      <c r="V38" s="50"/>
      <c r="W38" s="95" t="s">
        <v>36</v>
      </c>
      <c r="X38" s="50"/>
      <c r="Y38" s="47">
        <v>0</v>
      </c>
      <c r="Z38" s="47"/>
      <c r="AA38" s="47">
        <v>0</v>
      </c>
      <c r="AB38" s="47"/>
      <c r="AC38" s="47">
        <v>0</v>
      </c>
      <c r="AD38" s="47"/>
      <c r="AE38" s="52">
        <f t="shared" si="12"/>
        <v>0</v>
      </c>
      <c r="AF38" s="52"/>
      <c r="AG38" s="52">
        <v>0</v>
      </c>
      <c r="AH38" s="52"/>
      <c r="AI38" s="47">
        <v>0</v>
      </c>
      <c r="AJ38" s="47"/>
      <c r="AK38" s="47">
        <v>0</v>
      </c>
      <c r="AL38" s="47"/>
      <c r="AM38" s="47">
        <v>0</v>
      </c>
      <c r="AN38" s="47"/>
      <c r="AO38" s="52">
        <f t="shared" si="13"/>
        <v>0</v>
      </c>
      <c r="AP38" s="52"/>
      <c r="AQ38" s="47">
        <v>0</v>
      </c>
      <c r="AR38" s="47"/>
      <c r="AS38" s="47">
        <v>0</v>
      </c>
      <c r="AT38" s="47"/>
      <c r="AU38" s="47">
        <f t="shared" si="14"/>
        <v>0</v>
      </c>
      <c r="AV38" s="50"/>
      <c r="AW38" s="95" t="s">
        <v>36</v>
      </c>
      <c r="AX38" s="50"/>
      <c r="AY38" s="47">
        <v>0</v>
      </c>
      <c r="AZ38" s="47"/>
      <c r="BA38" s="47">
        <v>0</v>
      </c>
      <c r="BB38" s="47"/>
      <c r="BC38" s="47">
        <v>0</v>
      </c>
      <c r="BD38" s="47"/>
      <c r="BE38" s="47">
        <v>0</v>
      </c>
      <c r="BF38" s="47"/>
      <c r="BG38" s="47">
        <f t="shared" si="15"/>
        <v>0</v>
      </c>
      <c r="BH38" s="1"/>
    </row>
    <row r="39" spans="1:60" ht="12.75">
      <c r="A39" s="40" t="s">
        <v>37</v>
      </c>
      <c r="B39" s="50"/>
      <c r="C39" s="51">
        <f t="shared" si="8"/>
        <v>0</v>
      </c>
      <c r="D39" s="51"/>
      <c r="E39" s="51">
        <v>0</v>
      </c>
      <c r="F39" s="51"/>
      <c r="G39" s="51">
        <v>0</v>
      </c>
      <c r="H39" s="51"/>
      <c r="I39" s="51">
        <f t="shared" si="9"/>
        <v>0</v>
      </c>
      <c r="J39" s="51"/>
      <c r="K39" s="51">
        <f t="shared" si="10"/>
        <v>0</v>
      </c>
      <c r="L39" s="51"/>
      <c r="M39" s="51">
        <v>0</v>
      </c>
      <c r="N39" s="51"/>
      <c r="O39" s="51">
        <v>0</v>
      </c>
      <c r="P39" s="51"/>
      <c r="Q39" s="51">
        <v>0</v>
      </c>
      <c r="R39" s="51"/>
      <c r="S39" s="51">
        <v>0</v>
      </c>
      <c r="T39" s="51"/>
      <c r="U39" s="51">
        <f t="shared" si="11"/>
        <v>0</v>
      </c>
      <c r="V39" s="50"/>
      <c r="W39" s="95" t="s">
        <v>37</v>
      </c>
      <c r="X39" s="50"/>
      <c r="Y39" s="47">
        <v>0</v>
      </c>
      <c r="Z39" s="47"/>
      <c r="AA39" s="47">
        <v>0</v>
      </c>
      <c r="AB39" s="47"/>
      <c r="AC39" s="47">
        <v>0</v>
      </c>
      <c r="AD39" s="47"/>
      <c r="AE39" s="52">
        <f t="shared" si="12"/>
        <v>0</v>
      </c>
      <c r="AF39" s="52"/>
      <c r="AG39" s="52">
        <v>0</v>
      </c>
      <c r="AH39" s="52"/>
      <c r="AI39" s="47">
        <v>0</v>
      </c>
      <c r="AJ39" s="47"/>
      <c r="AK39" s="47">
        <v>0</v>
      </c>
      <c r="AL39" s="47"/>
      <c r="AM39" s="47">
        <v>0</v>
      </c>
      <c r="AN39" s="47"/>
      <c r="AO39" s="52">
        <f t="shared" si="13"/>
        <v>0</v>
      </c>
      <c r="AP39" s="52"/>
      <c r="AQ39" s="47">
        <v>0</v>
      </c>
      <c r="AR39" s="47"/>
      <c r="AS39" s="47">
        <v>0</v>
      </c>
      <c r="AT39" s="47"/>
      <c r="AU39" s="47">
        <f t="shared" si="14"/>
        <v>0</v>
      </c>
      <c r="AV39" s="50"/>
      <c r="AW39" s="95" t="s">
        <v>37</v>
      </c>
      <c r="AX39" s="50"/>
      <c r="AY39" s="47">
        <v>0</v>
      </c>
      <c r="AZ39" s="47"/>
      <c r="BA39" s="47">
        <v>0</v>
      </c>
      <c r="BB39" s="47"/>
      <c r="BC39" s="47">
        <v>0</v>
      </c>
      <c r="BD39" s="47"/>
      <c r="BE39" s="47">
        <v>0</v>
      </c>
      <c r="BF39" s="47"/>
      <c r="BG39" s="47">
        <f t="shared" si="15"/>
        <v>0</v>
      </c>
      <c r="BH39" s="1"/>
    </row>
    <row r="40" spans="1:60" ht="12.75">
      <c r="A40" s="40" t="s">
        <v>38</v>
      </c>
      <c r="B40" s="50"/>
      <c r="C40" s="51">
        <f t="shared" si="8"/>
        <v>1927912</v>
      </c>
      <c r="D40" s="51"/>
      <c r="E40" s="51">
        <v>5194103</v>
      </c>
      <c r="F40" s="51"/>
      <c r="G40" s="51">
        <v>7122015</v>
      </c>
      <c r="H40" s="51"/>
      <c r="I40" s="51">
        <f t="shared" si="9"/>
        <v>176762</v>
      </c>
      <c r="J40" s="51"/>
      <c r="K40" s="51">
        <f t="shared" si="10"/>
        <v>1610288</v>
      </c>
      <c r="L40" s="51"/>
      <c r="M40" s="51">
        <v>1787050</v>
      </c>
      <c r="N40" s="51"/>
      <c r="O40" s="51">
        <v>1343525</v>
      </c>
      <c r="P40" s="51"/>
      <c r="Q40" s="51">
        <v>0</v>
      </c>
      <c r="R40" s="51"/>
      <c r="S40" s="51">
        <v>3991440</v>
      </c>
      <c r="T40" s="51"/>
      <c r="U40" s="51">
        <f t="shared" si="11"/>
        <v>5334965</v>
      </c>
      <c r="V40" s="51"/>
      <c r="W40" s="95" t="s">
        <v>38</v>
      </c>
      <c r="X40" s="51"/>
      <c r="Y40" s="47">
        <v>2718965</v>
      </c>
      <c r="Z40" s="47"/>
      <c r="AA40" s="47">
        <f>2266411-219955</f>
        <v>2046456</v>
      </c>
      <c r="AB40" s="47"/>
      <c r="AC40" s="47">
        <v>219955</v>
      </c>
      <c r="AD40" s="47"/>
      <c r="AE40" s="52">
        <f t="shared" si="12"/>
        <v>452554</v>
      </c>
      <c r="AF40" s="52"/>
      <c r="AG40" s="52">
        <v>67450</v>
      </c>
      <c r="AH40" s="52"/>
      <c r="AI40" s="47">
        <v>0</v>
      </c>
      <c r="AJ40" s="47"/>
      <c r="AK40" s="47">
        <v>0</v>
      </c>
      <c r="AL40" s="47"/>
      <c r="AM40" s="47">
        <v>0</v>
      </c>
      <c r="AN40" s="47"/>
      <c r="AO40" s="52">
        <f t="shared" si="13"/>
        <v>520004</v>
      </c>
      <c r="AP40" s="52"/>
      <c r="AQ40" s="47">
        <v>0</v>
      </c>
      <c r="AR40" s="47"/>
      <c r="AS40" s="47">
        <v>0</v>
      </c>
      <c r="AT40" s="47"/>
      <c r="AU40" s="47">
        <f t="shared" si="14"/>
        <v>1751150</v>
      </c>
      <c r="AV40" s="47"/>
      <c r="AW40" s="95" t="s">
        <v>38</v>
      </c>
      <c r="AX40" s="47"/>
      <c r="AY40" s="47">
        <v>205000</v>
      </c>
      <c r="AZ40" s="47"/>
      <c r="BA40" s="47">
        <v>0</v>
      </c>
      <c r="BB40" s="47"/>
      <c r="BC40" s="47">
        <v>0</v>
      </c>
      <c r="BD40" s="47"/>
      <c r="BE40" s="47">
        <f>1298981+106307</f>
        <v>1405288</v>
      </c>
      <c r="BF40" s="47"/>
      <c r="BG40" s="47">
        <f t="shared" si="15"/>
        <v>1610288</v>
      </c>
      <c r="BH40" s="1"/>
    </row>
    <row r="41" spans="1:60" ht="12.75" hidden="1">
      <c r="A41" s="40" t="s">
        <v>177</v>
      </c>
      <c r="B41" s="50"/>
      <c r="C41" s="51">
        <f t="shared" si="8"/>
        <v>0</v>
      </c>
      <c r="D41" s="51"/>
      <c r="E41" s="51">
        <v>0</v>
      </c>
      <c r="F41" s="51"/>
      <c r="G41" s="51">
        <v>0</v>
      </c>
      <c r="H41" s="51"/>
      <c r="I41" s="51">
        <f t="shared" si="9"/>
        <v>0</v>
      </c>
      <c r="J41" s="51"/>
      <c r="K41" s="51">
        <f t="shared" si="10"/>
        <v>0</v>
      </c>
      <c r="L41" s="51"/>
      <c r="M41" s="51">
        <v>0</v>
      </c>
      <c r="N41" s="51"/>
      <c r="O41" s="51">
        <v>0</v>
      </c>
      <c r="P41" s="51"/>
      <c r="Q41" s="51">
        <v>0</v>
      </c>
      <c r="R41" s="51"/>
      <c r="S41" s="51">
        <v>0</v>
      </c>
      <c r="T41" s="51"/>
      <c r="U41" s="51">
        <f t="shared" si="11"/>
        <v>0</v>
      </c>
      <c r="V41" s="50"/>
      <c r="W41" s="95" t="s">
        <v>177</v>
      </c>
      <c r="X41" s="50"/>
      <c r="Y41" s="47">
        <v>0</v>
      </c>
      <c r="Z41" s="47"/>
      <c r="AA41" s="47">
        <v>0</v>
      </c>
      <c r="AB41" s="47"/>
      <c r="AC41" s="47">
        <v>0</v>
      </c>
      <c r="AD41" s="47"/>
      <c r="AE41" s="52">
        <f t="shared" si="12"/>
        <v>0</v>
      </c>
      <c r="AF41" s="52"/>
      <c r="AG41" s="52">
        <v>0</v>
      </c>
      <c r="AH41" s="52"/>
      <c r="AI41" s="47">
        <v>0</v>
      </c>
      <c r="AJ41" s="47"/>
      <c r="AK41" s="47">
        <v>0</v>
      </c>
      <c r="AL41" s="47"/>
      <c r="AM41" s="47">
        <v>0</v>
      </c>
      <c r="AN41" s="47"/>
      <c r="AO41" s="52">
        <f t="shared" si="13"/>
        <v>0</v>
      </c>
      <c r="AP41" s="52"/>
      <c r="AQ41" s="47">
        <v>0</v>
      </c>
      <c r="AR41" s="47"/>
      <c r="AS41" s="47">
        <v>0</v>
      </c>
      <c r="AT41" s="47"/>
      <c r="AU41" s="47">
        <f t="shared" si="14"/>
        <v>0</v>
      </c>
      <c r="AV41" s="50"/>
      <c r="AW41" s="95" t="s">
        <v>177</v>
      </c>
      <c r="AX41" s="50"/>
      <c r="AY41" s="47">
        <v>0</v>
      </c>
      <c r="AZ41" s="47"/>
      <c r="BA41" s="47">
        <v>0</v>
      </c>
      <c r="BB41" s="47"/>
      <c r="BC41" s="47">
        <v>0</v>
      </c>
      <c r="BD41" s="47"/>
      <c r="BE41" s="47">
        <v>0</v>
      </c>
      <c r="BF41" s="47"/>
      <c r="BG41" s="47">
        <f t="shared" si="15"/>
        <v>0</v>
      </c>
      <c r="BH41" s="1"/>
    </row>
    <row r="42" spans="1:60" ht="12.75" hidden="1">
      <c r="A42" s="40" t="s">
        <v>39</v>
      </c>
      <c r="B42" s="50"/>
      <c r="C42" s="51">
        <f t="shared" si="8"/>
        <v>0</v>
      </c>
      <c r="D42" s="51"/>
      <c r="E42" s="51">
        <v>0</v>
      </c>
      <c r="F42" s="51"/>
      <c r="G42" s="51">
        <v>0</v>
      </c>
      <c r="H42" s="51"/>
      <c r="I42" s="51">
        <f t="shared" si="9"/>
        <v>0</v>
      </c>
      <c r="J42" s="51"/>
      <c r="K42" s="51">
        <f t="shared" si="10"/>
        <v>0</v>
      </c>
      <c r="L42" s="51"/>
      <c r="M42" s="51">
        <v>0</v>
      </c>
      <c r="N42" s="51"/>
      <c r="O42" s="51">
        <v>0</v>
      </c>
      <c r="P42" s="51"/>
      <c r="Q42" s="51">
        <v>0</v>
      </c>
      <c r="R42" s="51"/>
      <c r="S42" s="51">
        <v>0</v>
      </c>
      <c r="T42" s="51"/>
      <c r="U42" s="51">
        <f t="shared" si="11"/>
        <v>0</v>
      </c>
      <c r="V42" s="50"/>
      <c r="W42" s="95" t="s">
        <v>39</v>
      </c>
      <c r="X42" s="50"/>
      <c r="Y42" s="47">
        <v>0</v>
      </c>
      <c r="Z42" s="47"/>
      <c r="AA42" s="47">
        <v>0</v>
      </c>
      <c r="AB42" s="47"/>
      <c r="AC42" s="47">
        <v>0</v>
      </c>
      <c r="AD42" s="47"/>
      <c r="AE42" s="52">
        <f t="shared" si="12"/>
        <v>0</v>
      </c>
      <c r="AF42" s="52"/>
      <c r="AG42" s="52">
        <v>0</v>
      </c>
      <c r="AH42" s="52"/>
      <c r="AI42" s="47">
        <v>0</v>
      </c>
      <c r="AJ42" s="47"/>
      <c r="AK42" s="47">
        <v>0</v>
      </c>
      <c r="AL42" s="47"/>
      <c r="AM42" s="47">
        <v>0</v>
      </c>
      <c r="AN42" s="47"/>
      <c r="AO42" s="52">
        <f t="shared" si="13"/>
        <v>0</v>
      </c>
      <c r="AP42" s="52"/>
      <c r="AQ42" s="47">
        <v>0</v>
      </c>
      <c r="AR42" s="47"/>
      <c r="AS42" s="47">
        <v>0</v>
      </c>
      <c r="AT42" s="47"/>
      <c r="AU42" s="47">
        <f t="shared" si="14"/>
        <v>0</v>
      </c>
      <c r="AV42" s="50"/>
      <c r="AW42" s="95" t="s">
        <v>39</v>
      </c>
      <c r="AX42" s="50"/>
      <c r="AY42" s="47">
        <v>0</v>
      </c>
      <c r="AZ42" s="47"/>
      <c r="BA42" s="47">
        <v>0</v>
      </c>
      <c r="BB42" s="47"/>
      <c r="BC42" s="47">
        <v>0</v>
      </c>
      <c r="BD42" s="47"/>
      <c r="BE42" s="47">
        <v>0</v>
      </c>
      <c r="BF42" s="47"/>
      <c r="BG42" s="47">
        <f t="shared" si="15"/>
        <v>0</v>
      </c>
      <c r="BH42" s="1"/>
    </row>
    <row r="43" spans="1:60" ht="12.75">
      <c r="A43" s="40" t="s">
        <v>40</v>
      </c>
      <c r="B43" s="50"/>
      <c r="C43" s="51">
        <f t="shared" si="8"/>
        <v>1493309</v>
      </c>
      <c r="D43" s="51"/>
      <c r="E43" s="51">
        <v>506067</v>
      </c>
      <c r="F43" s="51"/>
      <c r="G43" s="51">
        <v>1999376</v>
      </c>
      <c r="H43" s="51"/>
      <c r="I43" s="51">
        <f t="shared" si="9"/>
        <v>604831</v>
      </c>
      <c r="J43" s="51"/>
      <c r="K43" s="51">
        <f t="shared" si="10"/>
        <v>1834700</v>
      </c>
      <c r="L43" s="51"/>
      <c r="M43" s="51">
        <v>2439531</v>
      </c>
      <c r="N43" s="51"/>
      <c r="O43" s="51">
        <v>0</v>
      </c>
      <c r="P43" s="51"/>
      <c r="Q43" s="51">
        <v>0</v>
      </c>
      <c r="R43" s="51"/>
      <c r="S43" s="51">
        <v>-440155</v>
      </c>
      <c r="T43" s="51"/>
      <c r="U43" s="51">
        <f t="shared" si="11"/>
        <v>-440155</v>
      </c>
      <c r="V43" s="51"/>
      <c r="W43" s="95" t="s">
        <v>40</v>
      </c>
      <c r="X43" s="51"/>
      <c r="Y43" s="47">
        <v>1011585</v>
      </c>
      <c r="Z43" s="47"/>
      <c r="AA43" s="47">
        <f>827963-46467</f>
        <v>781496</v>
      </c>
      <c r="AB43" s="47"/>
      <c r="AC43" s="47">
        <v>46467</v>
      </c>
      <c r="AD43" s="47"/>
      <c r="AE43" s="52">
        <f t="shared" si="12"/>
        <v>183622</v>
      </c>
      <c r="AF43" s="52"/>
      <c r="AG43" s="52">
        <v>553</v>
      </c>
      <c r="AH43" s="52"/>
      <c r="AI43" s="47">
        <v>30000</v>
      </c>
      <c r="AJ43" s="47"/>
      <c r="AK43" s="47">
        <v>0</v>
      </c>
      <c r="AL43" s="47"/>
      <c r="AM43" s="47">
        <v>0</v>
      </c>
      <c r="AN43" s="47"/>
      <c r="AO43" s="52">
        <f t="shared" si="13"/>
        <v>214175</v>
      </c>
      <c r="AP43" s="52"/>
      <c r="AQ43" s="47">
        <v>0</v>
      </c>
      <c r="AR43" s="47"/>
      <c r="AS43" s="47">
        <v>0</v>
      </c>
      <c r="AT43" s="47"/>
      <c r="AU43" s="47">
        <f t="shared" si="14"/>
        <v>888478</v>
      </c>
      <c r="AV43" s="47"/>
      <c r="AW43" s="95" t="s">
        <v>40</v>
      </c>
      <c r="AX43" s="47"/>
      <c r="AY43" s="47">
        <v>0</v>
      </c>
      <c r="AZ43" s="47"/>
      <c r="BA43" s="47">
        <v>0</v>
      </c>
      <c r="BB43" s="47"/>
      <c r="BC43" s="47">
        <v>0</v>
      </c>
      <c r="BD43" s="47"/>
      <c r="BE43" s="47">
        <f>1834700</f>
        <v>1834700</v>
      </c>
      <c r="BF43" s="47"/>
      <c r="BG43" s="47">
        <f t="shared" si="15"/>
        <v>1834700</v>
      </c>
      <c r="BH43" s="1"/>
    </row>
    <row r="44" spans="1:60" ht="12.75" hidden="1">
      <c r="A44" s="40" t="s">
        <v>41</v>
      </c>
      <c r="B44" s="50"/>
      <c r="C44" s="51">
        <f t="shared" si="8"/>
        <v>0</v>
      </c>
      <c r="D44" s="51"/>
      <c r="E44" s="51">
        <v>0</v>
      </c>
      <c r="F44" s="51"/>
      <c r="G44" s="51">
        <v>0</v>
      </c>
      <c r="H44" s="51"/>
      <c r="I44" s="51">
        <f t="shared" si="9"/>
        <v>0</v>
      </c>
      <c r="J44" s="51"/>
      <c r="K44" s="51">
        <f t="shared" si="10"/>
        <v>0</v>
      </c>
      <c r="L44" s="51"/>
      <c r="M44" s="51">
        <v>0</v>
      </c>
      <c r="N44" s="51"/>
      <c r="O44" s="51">
        <v>0</v>
      </c>
      <c r="P44" s="51"/>
      <c r="Q44" s="51">
        <v>0</v>
      </c>
      <c r="R44" s="51"/>
      <c r="S44" s="51">
        <v>0</v>
      </c>
      <c r="T44" s="51"/>
      <c r="U44" s="51">
        <f t="shared" si="11"/>
        <v>0</v>
      </c>
      <c r="V44" s="50"/>
      <c r="W44" s="95" t="s">
        <v>41</v>
      </c>
      <c r="X44" s="50"/>
      <c r="Y44" s="47">
        <v>0</v>
      </c>
      <c r="Z44" s="47"/>
      <c r="AA44" s="47">
        <v>0</v>
      </c>
      <c r="AB44" s="47"/>
      <c r="AC44" s="47">
        <v>0</v>
      </c>
      <c r="AD44" s="47"/>
      <c r="AE44" s="52">
        <f t="shared" si="12"/>
        <v>0</v>
      </c>
      <c r="AF44" s="52"/>
      <c r="AG44" s="52">
        <v>0</v>
      </c>
      <c r="AH44" s="52"/>
      <c r="AI44" s="47">
        <v>0</v>
      </c>
      <c r="AJ44" s="47"/>
      <c r="AK44" s="47">
        <v>0</v>
      </c>
      <c r="AL44" s="47"/>
      <c r="AM44" s="47">
        <v>0</v>
      </c>
      <c r="AN44" s="47"/>
      <c r="AO44" s="52">
        <f t="shared" si="13"/>
        <v>0</v>
      </c>
      <c r="AP44" s="52"/>
      <c r="AQ44" s="47">
        <v>0</v>
      </c>
      <c r="AR44" s="47"/>
      <c r="AS44" s="47">
        <v>0</v>
      </c>
      <c r="AT44" s="47"/>
      <c r="AU44" s="47">
        <f t="shared" si="14"/>
        <v>0</v>
      </c>
      <c r="AV44" s="50"/>
      <c r="AW44" s="95" t="s">
        <v>41</v>
      </c>
      <c r="AX44" s="50"/>
      <c r="AY44" s="47">
        <v>0</v>
      </c>
      <c r="AZ44" s="47"/>
      <c r="BA44" s="47">
        <v>0</v>
      </c>
      <c r="BB44" s="47"/>
      <c r="BC44" s="47">
        <v>0</v>
      </c>
      <c r="BD44" s="47"/>
      <c r="BE44" s="47">
        <v>0</v>
      </c>
      <c r="BF44" s="47"/>
      <c r="BG44" s="47">
        <f t="shared" si="15"/>
        <v>0</v>
      </c>
      <c r="BH44" s="1"/>
    </row>
    <row r="45" spans="1:60" ht="12.75">
      <c r="A45" s="40" t="s">
        <v>42</v>
      </c>
      <c r="B45" s="50"/>
      <c r="C45" s="51">
        <f t="shared" si="8"/>
        <v>0</v>
      </c>
      <c r="D45" s="51"/>
      <c r="E45" s="51">
        <v>0</v>
      </c>
      <c r="F45" s="51"/>
      <c r="G45" s="51">
        <v>0</v>
      </c>
      <c r="H45" s="51"/>
      <c r="I45" s="51">
        <f t="shared" si="9"/>
        <v>0</v>
      </c>
      <c r="J45" s="51"/>
      <c r="K45" s="51">
        <f t="shared" si="10"/>
        <v>0</v>
      </c>
      <c r="L45" s="51"/>
      <c r="M45" s="51">
        <v>0</v>
      </c>
      <c r="N45" s="51"/>
      <c r="O45" s="51">
        <v>0</v>
      </c>
      <c r="P45" s="51"/>
      <c r="Q45" s="51">
        <v>0</v>
      </c>
      <c r="R45" s="51"/>
      <c r="S45" s="51">
        <v>0</v>
      </c>
      <c r="T45" s="51"/>
      <c r="U45" s="51">
        <f t="shared" si="11"/>
        <v>0</v>
      </c>
      <c r="V45" s="51"/>
      <c r="W45" s="95" t="s">
        <v>42</v>
      </c>
      <c r="X45" s="51"/>
      <c r="Y45" s="47">
        <v>0</v>
      </c>
      <c r="Z45" s="47"/>
      <c r="AA45" s="47">
        <v>0</v>
      </c>
      <c r="AB45" s="47"/>
      <c r="AC45" s="47">
        <v>0</v>
      </c>
      <c r="AD45" s="47"/>
      <c r="AE45" s="52">
        <f t="shared" si="12"/>
        <v>0</v>
      </c>
      <c r="AF45" s="52"/>
      <c r="AG45" s="52">
        <v>0</v>
      </c>
      <c r="AH45" s="52"/>
      <c r="AI45" s="47">
        <v>0</v>
      </c>
      <c r="AJ45" s="47"/>
      <c r="AK45" s="47">
        <v>0</v>
      </c>
      <c r="AL45" s="47"/>
      <c r="AM45" s="47">
        <v>0</v>
      </c>
      <c r="AN45" s="47"/>
      <c r="AO45" s="52">
        <f t="shared" si="13"/>
        <v>0</v>
      </c>
      <c r="AP45" s="52"/>
      <c r="AQ45" s="47">
        <v>0</v>
      </c>
      <c r="AR45" s="47"/>
      <c r="AS45" s="47">
        <v>0</v>
      </c>
      <c r="AT45" s="47"/>
      <c r="AU45" s="47">
        <f t="shared" si="14"/>
        <v>0</v>
      </c>
      <c r="AV45" s="47"/>
      <c r="AW45" s="95" t="s">
        <v>42</v>
      </c>
      <c r="AX45" s="47"/>
      <c r="AY45" s="47">
        <v>0</v>
      </c>
      <c r="AZ45" s="47"/>
      <c r="BA45" s="47">
        <v>0</v>
      </c>
      <c r="BB45" s="47"/>
      <c r="BC45" s="47">
        <v>0</v>
      </c>
      <c r="BD45" s="47"/>
      <c r="BE45" s="47">
        <v>0</v>
      </c>
      <c r="BF45" s="47"/>
      <c r="BG45" s="47">
        <f t="shared" si="15"/>
        <v>0</v>
      </c>
      <c r="BH45" s="1"/>
    </row>
    <row r="46" spans="1:60" ht="12.75">
      <c r="A46" s="40" t="s">
        <v>43</v>
      </c>
      <c r="B46" s="50"/>
      <c r="C46" s="51">
        <f t="shared" si="8"/>
        <v>0</v>
      </c>
      <c r="D46" s="51"/>
      <c r="E46" s="51">
        <v>0</v>
      </c>
      <c r="F46" s="51"/>
      <c r="G46" s="51">
        <v>0</v>
      </c>
      <c r="H46" s="51"/>
      <c r="I46" s="51">
        <f t="shared" si="9"/>
        <v>0</v>
      </c>
      <c r="J46" s="51"/>
      <c r="K46" s="51">
        <f t="shared" si="10"/>
        <v>0</v>
      </c>
      <c r="L46" s="51"/>
      <c r="M46" s="51">
        <v>0</v>
      </c>
      <c r="N46" s="51"/>
      <c r="O46" s="51">
        <v>0</v>
      </c>
      <c r="P46" s="51"/>
      <c r="Q46" s="51">
        <v>0</v>
      </c>
      <c r="R46" s="51"/>
      <c r="S46" s="51">
        <v>0</v>
      </c>
      <c r="T46" s="51"/>
      <c r="U46" s="51">
        <f t="shared" si="11"/>
        <v>0</v>
      </c>
      <c r="V46" s="51"/>
      <c r="W46" s="95" t="s">
        <v>43</v>
      </c>
      <c r="X46" s="51"/>
      <c r="Y46" s="47">
        <v>0</v>
      </c>
      <c r="Z46" s="47"/>
      <c r="AA46" s="47">
        <v>0</v>
      </c>
      <c r="AB46" s="47"/>
      <c r="AC46" s="47">
        <v>0</v>
      </c>
      <c r="AD46" s="47"/>
      <c r="AE46" s="52">
        <f t="shared" si="12"/>
        <v>0</v>
      </c>
      <c r="AF46" s="52"/>
      <c r="AG46" s="52">
        <v>0</v>
      </c>
      <c r="AH46" s="52"/>
      <c r="AI46" s="47">
        <v>0</v>
      </c>
      <c r="AJ46" s="47"/>
      <c r="AK46" s="47">
        <v>0</v>
      </c>
      <c r="AL46" s="47"/>
      <c r="AM46" s="47">
        <v>0</v>
      </c>
      <c r="AN46" s="47"/>
      <c r="AO46" s="52">
        <f t="shared" si="13"/>
        <v>0</v>
      </c>
      <c r="AP46" s="52"/>
      <c r="AQ46" s="47">
        <v>0</v>
      </c>
      <c r="AR46" s="47"/>
      <c r="AS46" s="47">
        <v>0</v>
      </c>
      <c r="AT46" s="47"/>
      <c r="AU46" s="47">
        <f t="shared" si="14"/>
        <v>0</v>
      </c>
      <c r="AV46" s="47"/>
      <c r="AW46" s="95" t="s">
        <v>43</v>
      </c>
      <c r="AX46" s="47"/>
      <c r="AY46" s="47">
        <v>0</v>
      </c>
      <c r="AZ46" s="47"/>
      <c r="BA46" s="47">
        <v>0</v>
      </c>
      <c r="BB46" s="47"/>
      <c r="BC46" s="47">
        <v>0</v>
      </c>
      <c r="BD46" s="47"/>
      <c r="BE46" s="47">
        <v>0</v>
      </c>
      <c r="BF46" s="47"/>
      <c r="BG46" s="47">
        <f t="shared" si="15"/>
        <v>0</v>
      </c>
      <c r="BH46" s="1"/>
    </row>
    <row r="47" spans="1:60" ht="12.75">
      <c r="A47" s="40" t="s">
        <v>44</v>
      </c>
      <c r="B47" s="50"/>
      <c r="C47" s="51">
        <f t="shared" si="8"/>
        <v>607629</v>
      </c>
      <c r="D47" s="51"/>
      <c r="E47" s="51">
        <v>3264145</v>
      </c>
      <c r="F47" s="51"/>
      <c r="G47" s="51">
        <v>3871774</v>
      </c>
      <c r="H47" s="51"/>
      <c r="I47" s="51">
        <f t="shared" si="9"/>
        <v>465351</v>
      </c>
      <c r="J47" s="51"/>
      <c r="K47" s="51">
        <f t="shared" si="10"/>
        <v>4299297</v>
      </c>
      <c r="L47" s="51"/>
      <c r="M47" s="51">
        <v>4764648</v>
      </c>
      <c r="N47" s="51"/>
      <c r="O47" s="51">
        <v>1593809</v>
      </c>
      <c r="P47" s="51"/>
      <c r="Q47" s="51">
        <v>0</v>
      </c>
      <c r="R47" s="51"/>
      <c r="S47" s="51">
        <v>-2486683</v>
      </c>
      <c r="T47" s="51"/>
      <c r="U47" s="51">
        <f t="shared" si="11"/>
        <v>-892874</v>
      </c>
      <c r="V47" s="51"/>
      <c r="W47" s="95" t="s">
        <v>44</v>
      </c>
      <c r="X47" s="51"/>
      <c r="Y47" s="47">
        <v>2283191</v>
      </c>
      <c r="Z47" s="47"/>
      <c r="AA47" s="47">
        <f>2605687-184108</f>
        <v>2421579</v>
      </c>
      <c r="AB47" s="47"/>
      <c r="AC47" s="47">
        <v>184108</v>
      </c>
      <c r="AD47" s="47"/>
      <c r="AE47" s="52">
        <f t="shared" si="12"/>
        <v>-322496</v>
      </c>
      <c r="AF47" s="52"/>
      <c r="AG47" s="52">
        <v>-223919</v>
      </c>
      <c r="AH47" s="52"/>
      <c r="AI47" s="47">
        <v>336000</v>
      </c>
      <c r="AJ47" s="47"/>
      <c r="AK47" s="47">
        <v>86780</v>
      </c>
      <c r="AL47" s="47"/>
      <c r="AM47" s="47">
        <v>0</v>
      </c>
      <c r="AN47" s="47"/>
      <c r="AO47" s="52">
        <f t="shared" si="13"/>
        <v>-297195</v>
      </c>
      <c r="AP47" s="52"/>
      <c r="AQ47" s="47">
        <v>0</v>
      </c>
      <c r="AR47" s="47"/>
      <c r="AS47" s="47">
        <v>0</v>
      </c>
      <c r="AT47" s="47"/>
      <c r="AU47" s="47">
        <f t="shared" si="14"/>
        <v>142278</v>
      </c>
      <c r="AV47" s="47"/>
      <c r="AW47" s="95" t="s">
        <v>44</v>
      </c>
      <c r="AX47" s="47"/>
      <c r="AY47" s="47">
        <v>1328741</v>
      </c>
      <c r="AZ47" s="47"/>
      <c r="BA47" s="47">
        <v>0</v>
      </c>
      <c r="BB47" s="47"/>
      <c r="BC47" s="47">
        <v>0</v>
      </c>
      <c r="BD47" s="47"/>
      <c r="BE47" s="47">
        <f>2896808+73748</f>
        <v>2970556</v>
      </c>
      <c r="BF47" s="47"/>
      <c r="BG47" s="47">
        <f t="shared" si="15"/>
        <v>4299297</v>
      </c>
      <c r="BH47" s="1"/>
    </row>
    <row r="48" spans="1:60" ht="12.75" hidden="1">
      <c r="A48" s="40" t="s">
        <v>45</v>
      </c>
      <c r="B48" s="50"/>
      <c r="C48" s="51">
        <f t="shared" si="8"/>
        <v>0</v>
      </c>
      <c r="D48" s="51"/>
      <c r="E48" s="51">
        <v>0</v>
      </c>
      <c r="F48" s="51"/>
      <c r="G48" s="51">
        <v>0</v>
      </c>
      <c r="H48" s="51"/>
      <c r="I48" s="51">
        <f t="shared" si="9"/>
        <v>0</v>
      </c>
      <c r="J48" s="51"/>
      <c r="K48" s="51">
        <f t="shared" si="10"/>
        <v>0</v>
      </c>
      <c r="L48" s="51"/>
      <c r="M48" s="51">
        <v>0</v>
      </c>
      <c r="N48" s="51"/>
      <c r="O48" s="51">
        <v>0</v>
      </c>
      <c r="P48" s="51"/>
      <c r="Q48" s="51">
        <v>0</v>
      </c>
      <c r="R48" s="51"/>
      <c r="S48" s="51">
        <v>0</v>
      </c>
      <c r="T48" s="51"/>
      <c r="U48" s="51">
        <f t="shared" si="11"/>
        <v>0</v>
      </c>
      <c r="V48" s="50"/>
      <c r="W48" s="95" t="s">
        <v>45</v>
      </c>
      <c r="X48" s="50"/>
      <c r="Y48" s="47">
        <v>0</v>
      </c>
      <c r="Z48" s="47"/>
      <c r="AA48" s="47">
        <v>0</v>
      </c>
      <c r="AB48" s="47"/>
      <c r="AC48" s="47">
        <v>0</v>
      </c>
      <c r="AD48" s="47"/>
      <c r="AE48" s="52">
        <f t="shared" si="12"/>
        <v>0</v>
      </c>
      <c r="AF48" s="52"/>
      <c r="AG48" s="52">
        <v>0</v>
      </c>
      <c r="AH48" s="52"/>
      <c r="AI48" s="47">
        <v>0</v>
      </c>
      <c r="AJ48" s="47"/>
      <c r="AK48" s="47">
        <v>0</v>
      </c>
      <c r="AL48" s="47"/>
      <c r="AM48" s="47">
        <v>0</v>
      </c>
      <c r="AN48" s="47"/>
      <c r="AO48" s="52">
        <f t="shared" si="13"/>
        <v>0</v>
      </c>
      <c r="AP48" s="52"/>
      <c r="AQ48" s="47">
        <v>0</v>
      </c>
      <c r="AR48" s="47"/>
      <c r="AS48" s="47">
        <v>0</v>
      </c>
      <c r="AT48" s="47"/>
      <c r="AU48" s="47">
        <f t="shared" si="14"/>
        <v>0</v>
      </c>
      <c r="AV48" s="50"/>
      <c r="AW48" s="95" t="s">
        <v>45</v>
      </c>
      <c r="AX48" s="50"/>
      <c r="AY48" s="47">
        <v>0</v>
      </c>
      <c r="AZ48" s="47"/>
      <c r="BA48" s="47">
        <v>0</v>
      </c>
      <c r="BB48" s="47"/>
      <c r="BC48" s="47">
        <v>0</v>
      </c>
      <c r="BD48" s="47"/>
      <c r="BE48" s="47">
        <v>0</v>
      </c>
      <c r="BF48" s="47"/>
      <c r="BG48" s="47">
        <f t="shared" si="15"/>
        <v>0</v>
      </c>
      <c r="BH48" s="1"/>
    </row>
    <row r="49" spans="1:60" ht="12.75">
      <c r="A49" s="40" t="s">
        <v>46</v>
      </c>
      <c r="B49" s="50"/>
      <c r="C49" s="51">
        <f t="shared" si="8"/>
        <v>0</v>
      </c>
      <c r="D49" s="51"/>
      <c r="E49" s="51">
        <v>0</v>
      </c>
      <c r="F49" s="51"/>
      <c r="G49" s="51">
        <v>0</v>
      </c>
      <c r="H49" s="51"/>
      <c r="I49" s="51">
        <f t="shared" si="9"/>
        <v>0</v>
      </c>
      <c r="J49" s="51"/>
      <c r="K49" s="51">
        <f t="shared" si="10"/>
        <v>0</v>
      </c>
      <c r="L49" s="51"/>
      <c r="M49" s="51">
        <v>0</v>
      </c>
      <c r="N49" s="51"/>
      <c r="O49" s="51">
        <v>0</v>
      </c>
      <c r="P49" s="51"/>
      <c r="Q49" s="51">
        <v>0</v>
      </c>
      <c r="R49" s="51"/>
      <c r="S49" s="51">
        <v>0</v>
      </c>
      <c r="T49" s="51"/>
      <c r="U49" s="51">
        <f t="shared" si="11"/>
        <v>0</v>
      </c>
      <c r="V49" s="50"/>
      <c r="W49" s="95" t="s">
        <v>46</v>
      </c>
      <c r="X49" s="50"/>
      <c r="Y49" s="47">
        <v>0</v>
      </c>
      <c r="Z49" s="47"/>
      <c r="AA49" s="47">
        <v>0</v>
      </c>
      <c r="AB49" s="47"/>
      <c r="AC49" s="47">
        <v>0</v>
      </c>
      <c r="AD49" s="47"/>
      <c r="AE49" s="52">
        <f t="shared" si="12"/>
        <v>0</v>
      </c>
      <c r="AF49" s="52"/>
      <c r="AG49" s="52">
        <v>0</v>
      </c>
      <c r="AH49" s="52"/>
      <c r="AI49" s="47">
        <v>0</v>
      </c>
      <c r="AJ49" s="47"/>
      <c r="AK49" s="47">
        <v>0</v>
      </c>
      <c r="AL49" s="47"/>
      <c r="AM49" s="47">
        <v>0</v>
      </c>
      <c r="AN49" s="47"/>
      <c r="AO49" s="52">
        <f t="shared" si="13"/>
        <v>0</v>
      </c>
      <c r="AP49" s="52"/>
      <c r="AQ49" s="47">
        <v>0</v>
      </c>
      <c r="AR49" s="47"/>
      <c r="AS49" s="47">
        <v>0</v>
      </c>
      <c r="AT49" s="47"/>
      <c r="AU49" s="47">
        <f t="shared" si="14"/>
        <v>0</v>
      </c>
      <c r="AV49" s="50"/>
      <c r="AW49" s="95" t="s">
        <v>46</v>
      </c>
      <c r="AX49" s="50"/>
      <c r="AY49" s="47">
        <v>0</v>
      </c>
      <c r="AZ49" s="47"/>
      <c r="BA49" s="47">
        <v>0</v>
      </c>
      <c r="BB49" s="47"/>
      <c r="BC49" s="47">
        <v>0</v>
      </c>
      <c r="BD49" s="47"/>
      <c r="BE49" s="47">
        <v>0</v>
      </c>
      <c r="BF49" s="47"/>
      <c r="BG49" s="47">
        <f t="shared" si="15"/>
        <v>0</v>
      </c>
      <c r="BH49" s="1"/>
    </row>
    <row r="50" spans="1:60" ht="12.75">
      <c r="A50" s="40" t="s">
        <v>47</v>
      </c>
      <c r="B50" s="50"/>
      <c r="C50" s="51">
        <f t="shared" si="8"/>
        <v>62714</v>
      </c>
      <c r="D50" s="51"/>
      <c r="E50" s="51">
        <v>143164</v>
      </c>
      <c r="F50" s="51"/>
      <c r="G50" s="51">
        <v>205878</v>
      </c>
      <c r="H50" s="51"/>
      <c r="I50" s="51">
        <f t="shared" si="9"/>
        <v>83300</v>
      </c>
      <c r="J50" s="51"/>
      <c r="K50" s="51">
        <f t="shared" si="10"/>
        <v>1857945</v>
      </c>
      <c r="L50" s="51"/>
      <c r="M50" s="51">
        <v>1941245</v>
      </c>
      <c r="N50" s="51"/>
      <c r="O50" s="51">
        <v>143164</v>
      </c>
      <c r="P50" s="51"/>
      <c r="Q50" s="51">
        <v>0</v>
      </c>
      <c r="R50" s="51"/>
      <c r="S50" s="51">
        <v>-1878531</v>
      </c>
      <c r="T50" s="51"/>
      <c r="U50" s="51">
        <f t="shared" si="11"/>
        <v>-1735367</v>
      </c>
      <c r="V50" s="51"/>
      <c r="W50" s="95" t="s">
        <v>47</v>
      </c>
      <c r="X50" s="51"/>
      <c r="Y50" s="47">
        <v>0</v>
      </c>
      <c r="Z50" s="47"/>
      <c r="AA50" s="47">
        <v>-250562</v>
      </c>
      <c r="AB50" s="47"/>
      <c r="AC50" s="47">
        <v>0</v>
      </c>
      <c r="AD50" s="47"/>
      <c r="AE50" s="52">
        <f t="shared" si="12"/>
        <v>250562</v>
      </c>
      <c r="AF50" s="52"/>
      <c r="AG50" s="52">
        <v>0</v>
      </c>
      <c r="AH50" s="52"/>
      <c r="AI50" s="47">
        <v>168150</v>
      </c>
      <c r="AJ50" s="47"/>
      <c r="AK50" s="47">
        <v>0</v>
      </c>
      <c r="AL50" s="47"/>
      <c r="AM50" s="47">
        <v>0</v>
      </c>
      <c r="AN50" s="47"/>
      <c r="AO50" s="52">
        <f t="shared" si="13"/>
        <v>418712</v>
      </c>
      <c r="AP50" s="52"/>
      <c r="AQ50" s="47">
        <v>0</v>
      </c>
      <c r="AR50" s="47"/>
      <c r="AS50" s="47">
        <v>0</v>
      </c>
      <c r="AT50" s="47"/>
      <c r="AU50" s="47">
        <f t="shared" si="14"/>
        <v>-20586</v>
      </c>
      <c r="AV50" s="47"/>
      <c r="AW50" s="95" t="s">
        <v>47</v>
      </c>
      <c r="AX50" s="47"/>
      <c r="AY50" s="47">
        <v>0</v>
      </c>
      <c r="AZ50" s="47"/>
      <c r="BA50" s="47">
        <v>0</v>
      </c>
      <c r="BB50" s="47"/>
      <c r="BC50" s="47">
        <v>0</v>
      </c>
      <c r="BD50" s="47"/>
      <c r="BE50" s="47">
        <v>1857945</v>
      </c>
      <c r="BF50" s="47"/>
      <c r="BG50" s="47">
        <f t="shared" si="15"/>
        <v>1857945</v>
      </c>
      <c r="BH50" s="1"/>
    </row>
    <row r="51" spans="1:60" ht="12.75">
      <c r="A51" s="40" t="s">
        <v>48</v>
      </c>
      <c r="B51" s="50"/>
      <c r="C51" s="51">
        <f t="shared" si="8"/>
        <v>12859081</v>
      </c>
      <c r="D51" s="51"/>
      <c r="E51" s="51">
        <v>16825750</v>
      </c>
      <c r="F51" s="51"/>
      <c r="G51" s="51">
        <v>29684831</v>
      </c>
      <c r="H51" s="51"/>
      <c r="I51" s="51">
        <f t="shared" si="9"/>
        <v>2733710</v>
      </c>
      <c r="J51" s="51"/>
      <c r="K51" s="51">
        <f t="shared" si="10"/>
        <v>12895490</v>
      </c>
      <c r="L51" s="51"/>
      <c r="M51" s="51">
        <v>15629200</v>
      </c>
      <c r="N51" s="51"/>
      <c r="O51" s="51">
        <v>1692145</v>
      </c>
      <c r="P51" s="51"/>
      <c r="Q51" s="51">
        <v>0</v>
      </c>
      <c r="R51" s="51"/>
      <c r="S51" s="51">
        <v>12363486</v>
      </c>
      <c r="T51" s="51"/>
      <c r="U51" s="51">
        <f t="shared" si="11"/>
        <v>14055631</v>
      </c>
      <c r="V51" s="50"/>
      <c r="W51" s="95" t="s">
        <v>48</v>
      </c>
      <c r="X51" s="50"/>
      <c r="Y51" s="47">
        <v>5833417</v>
      </c>
      <c r="Z51" s="47"/>
      <c r="AA51" s="47">
        <f>6969768-421745</f>
        <v>6548023</v>
      </c>
      <c r="AB51" s="47"/>
      <c r="AC51" s="47">
        <v>421745</v>
      </c>
      <c r="AD51" s="47"/>
      <c r="AE51" s="52">
        <f t="shared" si="12"/>
        <v>-1136351</v>
      </c>
      <c r="AF51" s="52"/>
      <c r="AG51" s="52">
        <v>15736</v>
      </c>
      <c r="AH51" s="52"/>
      <c r="AI51" s="47">
        <v>0</v>
      </c>
      <c r="AJ51" s="47"/>
      <c r="AK51" s="47">
        <v>0</v>
      </c>
      <c r="AL51" s="47"/>
      <c r="AM51" s="47">
        <v>714561</v>
      </c>
      <c r="AN51" s="47"/>
      <c r="AO51" s="52">
        <f t="shared" si="13"/>
        <v>-406054</v>
      </c>
      <c r="AP51" s="52"/>
      <c r="AQ51" s="47">
        <v>0</v>
      </c>
      <c r="AR51" s="47"/>
      <c r="AS51" s="47">
        <v>0</v>
      </c>
      <c r="AT51" s="47"/>
      <c r="AU51" s="47">
        <f t="shared" si="14"/>
        <v>10125371</v>
      </c>
      <c r="AV51" s="50"/>
      <c r="AW51" s="95" t="s">
        <v>48</v>
      </c>
      <c r="AX51" s="50"/>
      <c r="AY51" s="47">
        <v>0</v>
      </c>
      <c r="AZ51" s="47"/>
      <c r="BA51" s="47">
        <v>0</v>
      </c>
      <c r="BB51" s="47"/>
      <c r="BC51" s="47">
        <v>0</v>
      </c>
      <c r="BD51" s="47"/>
      <c r="BE51" s="47">
        <f>81885+12813605</f>
        <v>12895490</v>
      </c>
      <c r="BF51" s="47"/>
      <c r="BG51" s="47">
        <f t="shared" si="15"/>
        <v>12895490</v>
      </c>
      <c r="BH51" s="1"/>
    </row>
    <row r="52" spans="1:60" ht="12.75" hidden="1">
      <c r="A52" s="40" t="s">
        <v>247</v>
      </c>
      <c r="B52" s="50"/>
      <c r="C52" s="51">
        <f t="shared" si="8"/>
        <v>0</v>
      </c>
      <c r="D52" s="51"/>
      <c r="E52" s="51">
        <v>0</v>
      </c>
      <c r="F52" s="51"/>
      <c r="G52" s="51">
        <v>0</v>
      </c>
      <c r="H52" s="51"/>
      <c r="I52" s="51">
        <f t="shared" si="9"/>
        <v>0</v>
      </c>
      <c r="J52" s="51"/>
      <c r="K52" s="51">
        <f t="shared" si="10"/>
        <v>0</v>
      </c>
      <c r="L52" s="51"/>
      <c r="M52" s="51">
        <v>0</v>
      </c>
      <c r="N52" s="51"/>
      <c r="O52" s="51">
        <v>0</v>
      </c>
      <c r="P52" s="51"/>
      <c r="Q52" s="51">
        <v>0</v>
      </c>
      <c r="R52" s="51"/>
      <c r="S52" s="51">
        <v>0</v>
      </c>
      <c r="T52" s="51"/>
      <c r="U52" s="51">
        <f t="shared" si="11"/>
        <v>0</v>
      </c>
      <c r="V52" s="50"/>
      <c r="W52" s="95" t="s">
        <v>179</v>
      </c>
      <c r="X52" s="50"/>
      <c r="Y52" s="47">
        <v>0</v>
      </c>
      <c r="Z52" s="47"/>
      <c r="AA52" s="47">
        <v>0</v>
      </c>
      <c r="AB52" s="47"/>
      <c r="AC52" s="47">
        <v>0</v>
      </c>
      <c r="AD52" s="47"/>
      <c r="AE52" s="52">
        <f t="shared" si="12"/>
        <v>0</v>
      </c>
      <c r="AF52" s="52"/>
      <c r="AG52" s="52">
        <v>0</v>
      </c>
      <c r="AH52" s="52"/>
      <c r="AI52" s="47">
        <v>0</v>
      </c>
      <c r="AJ52" s="47"/>
      <c r="AK52" s="47">
        <v>0</v>
      </c>
      <c r="AL52" s="47"/>
      <c r="AM52" s="47">
        <v>0</v>
      </c>
      <c r="AN52" s="47"/>
      <c r="AO52" s="52">
        <f t="shared" si="13"/>
        <v>0</v>
      </c>
      <c r="AP52" s="52"/>
      <c r="AQ52" s="47">
        <v>0</v>
      </c>
      <c r="AR52" s="47"/>
      <c r="AS52" s="47">
        <v>0</v>
      </c>
      <c r="AT52" s="47"/>
      <c r="AU52" s="47">
        <f t="shared" si="14"/>
        <v>0</v>
      </c>
      <c r="AV52" s="50"/>
      <c r="AW52" s="95" t="s">
        <v>179</v>
      </c>
      <c r="AX52" s="50"/>
      <c r="AY52" s="47">
        <v>0</v>
      </c>
      <c r="AZ52" s="47"/>
      <c r="BA52" s="47">
        <v>0</v>
      </c>
      <c r="BB52" s="47"/>
      <c r="BC52" s="47">
        <v>0</v>
      </c>
      <c r="BD52" s="47"/>
      <c r="BE52" s="47">
        <v>0</v>
      </c>
      <c r="BF52" s="47"/>
      <c r="BG52" s="47">
        <f t="shared" si="15"/>
        <v>0</v>
      </c>
      <c r="BH52" s="1"/>
    </row>
    <row r="53" spans="1:60" ht="12.75">
      <c r="A53" s="40" t="s">
        <v>49</v>
      </c>
      <c r="B53" s="50"/>
      <c r="C53" s="51">
        <f t="shared" si="8"/>
        <v>0</v>
      </c>
      <c r="D53" s="51"/>
      <c r="E53" s="51">
        <v>0</v>
      </c>
      <c r="F53" s="51"/>
      <c r="G53" s="51">
        <v>0</v>
      </c>
      <c r="H53" s="51"/>
      <c r="I53" s="51">
        <f t="shared" si="9"/>
        <v>0</v>
      </c>
      <c r="J53" s="51"/>
      <c r="K53" s="51">
        <f t="shared" si="10"/>
        <v>0</v>
      </c>
      <c r="L53" s="51"/>
      <c r="M53" s="51">
        <v>0</v>
      </c>
      <c r="N53" s="51"/>
      <c r="O53" s="51">
        <v>0</v>
      </c>
      <c r="P53" s="51"/>
      <c r="Q53" s="51">
        <v>0</v>
      </c>
      <c r="R53" s="51"/>
      <c r="S53" s="51">
        <v>0</v>
      </c>
      <c r="T53" s="51"/>
      <c r="U53" s="51">
        <f t="shared" si="11"/>
        <v>0</v>
      </c>
      <c r="V53" s="50"/>
      <c r="W53" s="95" t="s">
        <v>49</v>
      </c>
      <c r="X53" s="50"/>
      <c r="Y53" s="47">
        <v>0</v>
      </c>
      <c r="Z53" s="47"/>
      <c r="AA53" s="47">
        <v>0</v>
      </c>
      <c r="AB53" s="47"/>
      <c r="AC53" s="47">
        <v>0</v>
      </c>
      <c r="AD53" s="47"/>
      <c r="AE53" s="52">
        <f t="shared" si="12"/>
        <v>0</v>
      </c>
      <c r="AF53" s="52"/>
      <c r="AG53" s="52">
        <v>0</v>
      </c>
      <c r="AH53" s="52"/>
      <c r="AI53" s="47">
        <v>0</v>
      </c>
      <c r="AJ53" s="47"/>
      <c r="AK53" s="47">
        <v>0</v>
      </c>
      <c r="AL53" s="47"/>
      <c r="AM53" s="47">
        <v>0</v>
      </c>
      <c r="AN53" s="47"/>
      <c r="AO53" s="52">
        <f t="shared" si="13"/>
        <v>0</v>
      </c>
      <c r="AP53" s="52"/>
      <c r="AQ53" s="47">
        <v>0</v>
      </c>
      <c r="AR53" s="47"/>
      <c r="AS53" s="47">
        <v>0</v>
      </c>
      <c r="AT53" s="47"/>
      <c r="AU53" s="47">
        <f t="shared" si="14"/>
        <v>0</v>
      </c>
      <c r="AV53" s="50"/>
      <c r="AW53" s="95" t="s">
        <v>49</v>
      </c>
      <c r="AX53" s="50"/>
      <c r="AY53" s="47">
        <v>0</v>
      </c>
      <c r="AZ53" s="47"/>
      <c r="BA53" s="47">
        <v>0</v>
      </c>
      <c r="BB53" s="47"/>
      <c r="BC53" s="47">
        <v>0</v>
      </c>
      <c r="BD53" s="47"/>
      <c r="BE53" s="47">
        <v>0</v>
      </c>
      <c r="BF53" s="47"/>
      <c r="BG53" s="47">
        <f t="shared" si="15"/>
        <v>0</v>
      </c>
      <c r="BH53" s="1"/>
    </row>
    <row r="54" spans="1:60" ht="12.75">
      <c r="A54" s="40" t="s">
        <v>50</v>
      </c>
      <c r="B54" s="50"/>
      <c r="C54" s="51">
        <f t="shared" si="8"/>
        <v>0</v>
      </c>
      <c r="D54" s="51"/>
      <c r="E54" s="51">
        <v>0</v>
      </c>
      <c r="F54" s="51"/>
      <c r="G54" s="51">
        <v>0</v>
      </c>
      <c r="H54" s="51"/>
      <c r="I54" s="51">
        <f t="shared" si="9"/>
        <v>0</v>
      </c>
      <c r="J54" s="51"/>
      <c r="K54" s="51">
        <f t="shared" si="10"/>
        <v>0</v>
      </c>
      <c r="L54" s="51"/>
      <c r="M54" s="51">
        <v>0</v>
      </c>
      <c r="N54" s="51"/>
      <c r="O54" s="51">
        <v>0</v>
      </c>
      <c r="P54" s="51"/>
      <c r="Q54" s="51">
        <v>0</v>
      </c>
      <c r="R54" s="51"/>
      <c r="S54" s="51">
        <v>0</v>
      </c>
      <c r="T54" s="51"/>
      <c r="U54" s="51">
        <f t="shared" si="11"/>
        <v>0</v>
      </c>
      <c r="V54" s="50"/>
      <c r="W54" s="95" t="s">
        <v>50</v>
      </c>
      <c r="X54" s="50"/>
      <c r="Y54" s="47">
        <v>0</v>
      </c>
      <c r="Z54" s="47"/>
      <c r="AA54" s="47">
        <v>0</v>
      </c>
      <c r="AB54" s="47"/>
      <c r="AC54" s="47">
        <v>0</v>
      </c>
      <c r="AD54" s="47"/>
      <c r="AE54" s="52">
        <f t="shared" si="12"/>
        <v>0</v>
      </c>
      <c r="AF54" s="52"/>
      <c r="AG54" s="52">
        <v>0</v>
      </c>
      <c r="AH54" s="52"/>
      <c r="AI54" s="47">
        <v>0</v>
      </c>
      <c r="AJ54" s="47"/>
      <c r="AK54" s="47">
        <v>0</v>
      </c>
      <c r="AL54" s="47"/>
      <c r="AM54" s="47">
        <v>0</v>
      </c>
      <c r="AN54" s="47"/>
      <c r="AO54" s="52">
        <f t="shared" si="13"/>
        <v>0</v>
      </c>
      <c r="AP54" s="52"/>
      <c r="AQ54" s="47">
        <v>0</v>
      </c>
      <c r="AR54" s="47"/>
      <c r="AS54" s="47">
        <v>0</v>
      </c>
      <c r="AT54" s="47"/>
      <c r="AU54" s="47">
        <f t="shared" si="14"/>
        <v>0</v>
      </c>
      <c r="AV54" s="50"/>
      <c r="AW54" s="95" t="s">
        <v>50</v>
      </c>
      <c r="AX54" s="50"/>
      <c r="AY54" s="47">
        <v>0</v>
      </c>
      <c r="AZ54" s="47"/>
      <c r="BA54" s="47">
        <v>0</v>
      </c>
      <c r="BB54" s="47"/>
      <c r="BC54" s="47">
        <v>0</v>
      </c>
      <c r="BD54" s="47"/>
      <c r="BE54" s="47">
        <v>0</v>
      </c>
      <c r="BF54" s="47"/>
      <c r="BG54" s="47">
        <f t="shared" si="15"/>
        <v>0</v>
      </c>
      <c r="BH54" s="1"/>
    </row>
    <row r="55" spans="1:60" ht="12.75">
      <c r="A55" s="40" t="s">
        <v>51</v>
      </c>
      <c r="B55" s="50"/>
      <c r="C55" s="51">
        <f t="shared" si="8"/>
        <v>0</v>
      </c>
      <c r="D55" s="51"/>
      <c r="E55" s="51">
        <v>0</v>
      </c>
      <c r="F55" s="51"/>
      <c r="G55" s="51">
        <v>0</v>
      </c>
      <c r="H55" s="51"/>
      <c r="I55" s="51">
        <f t="shared" si="9"/>
        <v>0</v>
      </c>
      <c r="J55" s="51"/>
      <c r="K55" s="51">
        <f t="shared" si="10"/>
        <v>0</v>
      </c>
      <c r="L55" s="51"/>
      <c r="M55" s="51">
        <v>0</v>
      </c>
      <c r="N55" s="51"/>
      <c r="O55" s="51">
        <v>0</v>
      </c>
      <c r="P55" s="51"/>
      <c r="Q55" s="51">
        <v>0</v>
      </c>
      <c r="R55" s="51"/>
      <c r="S55" s="51">
        <v>0</v>
      </c>
      <c r="T55" s="51"/>
      <c r="U55" s="51">
        <f t="shared" si="11"/>
        <v>0</v>
      </c>
      <c r="V55" s="51"/>
      <c r="W55" s="95" t="s">
        <v>51</v>
      </c>
      <c r="X55" s="51"/>
      <c r="Y55" s="47">
        <v>0</v>
      </c>
      <c r="Z55" s="47"/>
      <c r="AA55" s="47">
        <v>0</v>
      </c>
      <c r="AB55" s="47"/>
      <c r="AC55" s="47">
        <v>0</v>
      </c>
      <c r="AD55" s="47"/>
      <c r="AE55" s="52">
        <f t="shared" si="12"/>
        <v>0</v>
      </c>
      <c r="AF55" s="52"/>
      <c r="AG55" s="52">
        <v>0</v>
      </c>
      <c r="AH55" s="52"/>
      <c r="AI55" s="47">
        <v>0</v>
      </c>
      <c r="AJ55" s="47"/>
      <c r="AK55" s="47">
        <v>0</v>
      </c>
      <c r="AL55" s="47"/>
      <c r="AM55" s="47">
        <v>0</v>
      </c>
      <c r="AN55" s="47"/>
      <c r="AO55" s="52">
        <f t="shared" si="13"/>
        <v>0</v>
      </c>
      <c r="AP55" s="52"/>
      <c r="AQ55" s="47">
        <v>0</v>
      </c>
      <c r="AR55" s="47"/>
      <c r="AS55" s="47">
        <v>0</v>
      </c>
      <c r="AT55" s="47"/>
      <c r="AU55" s="47">
        <f t="shared" si="14"/>
        <v>0</v>
      </c>
      <c r="AV55" s="47"/>
      <c r="AW55" s="95" t="s">
        <v>51</v>
      </c>
      <c r="AX55" s="47"/>
      <c r="AY55" s="47">
        <v>0</v>
      </c>
      <c r="AZ55" s="47"/>
      <c r="BA55" s="47">
        <v>0</v>
      </c>
      <c r="BB55" s="47"/>
      <c r="BC55" s="47">
        <v>0</v>
      </c>
      <c r="BD55" s="47"/>
      <c r="BE55" s="47">
        <v>0</v>
      </c>
      <c r="BF55" s="47"/>
      <c r="BG55" s="47">
        <f t="shared" si="15"/>
        <v>0</v>
      </c>
      <c r="BH55" s="1"/>
    </row>
    <row r="56" spans="1:60" ht="12.75">
      <c r="A56" s="40" t="s">
        <v>142</v>
      </c>
      <c r="B56" s="50"/>
      <c r="C56" s="51">
        <f t="shared" si="8"/>
        <v>0</v>
      </c>
      <c r="D56" s="51"/>
      <c r="E56" s="51">
        <v>0</v>
      </c>
      <c r="F56" s="51"/>
      <c r="G56" s="51">
        <v>0</v>
      </c>
      <c r="H56" s="51"/>
      <c r="I56" s="51">
        <f t="shared" si="9"/>
        <v>0</v>
      </c>
      <c r="J56" s="51"/>
      <c r="K56" s="51">
        <f t="shared" si="10"/>
        <v>0</v>
      </c>
      <c r="L56" s="51"/>
      <c r="M56" s="51">
        <v>0</v>
      </c>
      <c r="N56" s="51"/>
      <c r="O56" s="51">
        <v>0</v>
      </c>
      <c r="P56" s="51"/>
      <c r="Q56" s="51">
        <v>0</v>
      </c>
      <c r="R56" s="51"/>
      <c r="S56" s="51">
        <v>0</v>
      </c>
      <c r="T56" s="51"/>
      <c r="U56" s="51">
        <f t="shared" si="11"/>
        <v>0</v>
      </c>
      <c r="V56" s="51"/>
      <c r="W56" s="95" t="s">
        <v>142</v>
      </c>
      <c r="X56" s="51"/>
      <c r="Y56" s="47">
        <v>0</v>
      </c>
      <c r="Z56" s="47"/>
      <c r="AA56" s="47">
        <v>0</v>
      </c>
      <c r="AB56" s="47"/>
      <c r="AC56" s="47">
        <v>0</v>
      </c>
      <c r="AD56" s="47"/>
      <c r="AE56" s="52">
        <f t="shared" si="12"/>
        <v>0</v>
      </c>
      <c r="AF56" s="52"/>
      <c r="AG56" s="52">
        <v>0</v>
      </c>
      <c r="AH56" s="52"/>
      <c r="AI56" s="47">
        <v>0</v>
      </c>
      <c r="AJ56" s="47"/>
      <c r="AK56" s="47">
        <v>0</v>
      </c>
      <c r="AL56" s="47"/>
      <c r="AM56" s="47">
        <v>0</v>
      </c>
      <c r="AN56" s="47"/>
      <c r="AO56" s="52">
        <f t="shared" si="13"/>
        <v>0</v>
      </c>
      <c r="AP56" s="52"/>
      <c r="AQ56" s="47">
        <v>0</v>
      </c>
      <c r="AR56" s="47"/>
      <c r="AS56" s="47">
        <v>0</v>
      </c>
      <c r="AT56" s="47"/>
      <c r="AU56" s="47">
        <f t="shared" si="14"/>
        <v>0</v>
      </c>
      <c r="AV56" s="47"/>
      <c r="AW56" s="95" t="s">
        <v>142</v>
      </c>
      <c r="AX56" s="47"/>
      <c r="AY56" s="47">
        <v>0</v>
      </c>
      <c r="AZ56" s="47"/>
      <c r="BA56" s="47">
        <v>0</v>
      </c>
      <c r="BB56" s="47"/>
      <c r="BC56" s="47">
        <v>0</v>
      </c>
      <c r="BD56" s="47"/>
      <c r="BE56" s="47">
        <v>0</v>
      </c>
      <c r="BF56" s="47"/>
      <c r="BG56" s="47">
        <f t="shared" si="15"/>
        <v>0</v>
      </c>
      <c r="BH56" s="1"/>
    </row>
    <row r="57" spans="1:60" ht="12.75" hidden="1">
      <c r="A57" s="40" t="s">
        <v>52</v>
      </c>
      <c r="B57" s="50"/>
      <c r="C57" s="51">
        <f t="shared" si="8"/>
        <v>0</v>
      </c>
      <c r="D57" s="51"/>
      <c r="E57" s="51">
        <v>0</v>
      </c>
      <c r="F57" s="51"/>
      <c r="G57" s="51">
        <v>0</v>
      </c>
      <c r="H57" s="51"/>
      <c r="I57" s="51">
        <f t="shared" si="9"/>
        <v>0</v>
      </c>
      <c r="J57" s="51"/>
      <c r="K57" s="51">
        <f t="shared" si="10"/>
        <v>0</v>
      </c>
      <c r="L57" s="51"/>
      <c r="M57" s="51">
        <v>0</v>
      </c>
      <c r="N57" s="51"/>
      <c r="O57" s="51">
        <v>0</v>
      </c>
      <c r="P57" s="51"/>
      <c r="Q57" s="51">
        <v>0</v>
      </c>
      <c r="R57" s="51"/>
      <c r="S57" s="51">
        <v>0</v>
      </c>
      <c r="T57" s="51"/>
      <c r="U57" s="51">
        <f t="shared" si="11"/>
        <v>0</v>
      </c>
      <c r="V57" s="50"/>
      <c r="W57" s="95" t="s">
        <v>52</v>
      </c>
      <c r="X57" s="50"/>
      <c r="Y57" s="47">
        <v>0</v>
      </c>
      <c r="Z57" s="47"/>
      <c r="AA57" s="47">
        <v>0</v>
      </c>
      <c r="AB57" s="47"/>
      <c r="AC57" s="47">
        <v>0</v>
      </c>
      <c r="AD57" s="47"/>
      <c r="AE57" s="52">
        <f t="shared" si="12"/>
        <v>0</v>
      </c>
      <c r="AF57" s="52"/>
      <c r="AG57" s="52">
        <v>0</v>
      </c>
      <c r="AH57" s="52"/>
      <c r="AI57" s="47">
        <v>0</v>
      </c>
      <c r="AJ57" s="47"/>
      <c r="AK57" s="47">
        <v>0</v>
      </c>
      <c r="AL57" s="47"/>
      <c r="AM57" s="47">
        <v>0</v>
      </c>
      <c r="AN57" s="47"/>
      <c r="AO57" s="52">
        <f t="shared" si="13"/>
        <v>0</v>
      </c>
      <c r="AP57" s="52"/>
      <c r="AQ57" s="47">
        <v>0</v>
      </c>
      <c r="AR57" s="47"/>
      <c r="AS57" s="47">
        <v>0</v>
      </c>
      <c r="AT57" s="47"/>
      <c r="AU57" s="47">
        <f t="shared" si="14"/>
        <v>0</v>
      </c>
      <c r="AV57" s="50"/>
      <c r="AW57" s="95" t="s">
        <v>52</v>
      </c>
      <c r="AX57" s="50"/>
      <c r="AY57" s="47">
        <v>0</v>
      </c>
      <c r="AZ57" s="47"/>
      <c r="BA57" s="47">
        <v>0</v>
      </c>
      <c r="BB57" s="47"/>
      <c r="BC57" s="47">
        <v>0</v>
      </c>
      <c r="BD57" s="47"/>
      <c r="BE57" s="47">
        <v>0</v>
      </c>
      <c r="BF57" s="47"/>
      <c r="BG57" s="47">
        <f t="shared" si="15"/>
        <v>0</v>
      </c>
      <c r="BH57" s="1"/>
    </row>
    <row r="58" spans="1:60" ht="12.75">
      <c r="A58" s="40" t="s">
        <v>53</v>
      </c>
      <c r="B58" s="50"/>
      <c r="C58" s="51">
        <f t="shared" si="8"/>
        <v>0</v>
      </c>
      <c r="D58" s="51"/>
      <c r="E58" s="51">
        <v>0</v>
      </c>
      <c r="F58" s="51"/>
      <c r="G58" s="51">
        <v>0</v>
      </c>
      <c r="H58" s="51"/>
      <c r="I58" s="51">
        <f t="shared" si="9"/>
        <v>0</v>
      </c>
      <c r="J58" s="51"/>
      <c r="K58" s="51">
        <f t="shared" si="10"/>
        <v>0</v>
      </c>
      <c r="L58" s="51"/>
      <c r="M58" s="51">
        <v>0</v>
      </c>
      <c r="N58" s="51"/>
      <c r="O58" s="51">
        <v>0</v>
      </c>
      <c r="P58" s="51"/>
      <c r="Q58" s="51">
        <v>0</v>
      </c>
      <c r="R58" s="51"/>
      <c r="S58" s="51">
        <v>0</v>
      </c>
      <c r="T58" s="51"/>
      <c r="U58" s="51">
        <f t="shared" si="11"/>
        <v>0</v>
      </c>
      <c r="V58" s="51"/>
      <c r="W58" s="95" t="s">
        <v>53</v>
      </c>
      <c r="X58" s="51"/>
      <c r="Y58" s="47">
        <v>0</v>
      </c>
      <c r="Z58" s="47"/>
      <c r="AA58" s="47">
        <v>0</v>
      </c>
      <c r="AB58" s="47"/>
      <c r="AC58" s="47">
        <v>0</v>
      </c>
      <c r="AD58" s="47"/>
      <c r="AE58" s="52">
        <f t="shared" si="12"/>
        <v>0</v>
      </c>
      <c r="AF58" s="52"/>
      <c r="AG58" s="52">
        <v>0</v>
      </c>
      <c r="AH58" s="52"/>
      <c r="AI58" s="47">
        <v>0</v>
      </c>
      <c r="AJ58" s="47"/>
      <c r="AK58" s="47">
        <v>0</v>
      </c>
      <c r="AL58" s="47"/>
      <c r="AM58" s="47">
        <v>0</v>
      </c>
      <c r="AN58" s="47"/>
      <c r="AO58" s="52">
        <f t="shared" si="13"/>
        <v>0</v>
      </c>
      <c r="AP58" s="52"/>
      <c r="AQ58" s="47">
        <v>0</v>
      </c>
      <c r="AR58" s="47"/>
      <c r="AS58" s="47">
        <v>0</v>
      </c>
      <c r="AT58" s="47"/>
      <c r="AU58" s="47">
        <f t="shared" si="14"/>
        <v>0</v>
      </c>
      <c r="AV58" s="47"/>
      <c r="AW58" s="95" t="s">
        <v>53</v>
      </c>
      <c r="AX58" s="47"/>
      <c r="AY58" s="47">
        <v>0</v>
      </c>
      <c r="AZ58" s="47"/>
      <c r="BA58" s="47">
        <v>0</v>
      </c>
      <c r="BB58" s="47"/>
      <c r="BC58" s="47">
        <v>0</v>
      </c>
      <c r="BD58" s="47"/>
      <c r="BE58" s="47">
        <v>0</v>
      </c>
      <c r="BF58" s="47"/>
      <c r="BG58" s="47">
        <f t="shared" si="15"/>
        <v>0</v>
      </c>
      <c r="BH58" s="1"/>
    </row>
    <row r="59" spans="1:60" ht="12.75">
      <c r="A59" s="40" t="s">
        <v>54</v>
      </c>
      <c r="B59" s="50"/>
      <c r="C59" s="51">
        <f t="shared" si="8"/>
        <v>0</v>
      </c>
      <c r="D59" s="51"/>
      <c r="E59" s="51">
        <v>0</v>
      </c>
      <c r="F59" s="51"/>
      <c r="G59" s="51">
        <v>0</v>
      </c>
      <c r="H59" s="51"/>
      <c r="I59" s="51">
        <f t="shared" si="9"/>
        <v>0</v>
      </c>
      <c r="J59" s="51"/>
      <c r="K59" s="51">
        <f t="shared" si="10"/>
        <v>0</v>
      </c>
      <c r="L59" s="51"/>
      <c r="M59" s="51">
        <v>0</v>
      </c>
      <c r="N59" s="51"/>
      <c r="O59" s="51">
        <v>0</v>
      </c>
      <c r="P59" s="51"/>
      <c r="Q59" s="51">
        <v>0</v>
      </c>
      <c r="R59" s="51"/>
      <c r="S59" s="51">
        <v>0</v>
      </c>
      <c r="T59" s="51"/>
      <c r="U59" s="51">
        <f t="shared" si="11"/>
        <v>0</v>
      </c>
      <c r="V59" s="51"/>
      <c r="W59" s="95" t="s">
        <v>54</v>
      </c>
      <c r="X59" s="51"/>
      <c r="Y59" s="47">
        <v>0</v>
      </c>
      <c r="Z59" s="47"/>
      <c r="AA59" s="47">
        <v>0</v>
      </c>
      <c r="AB59" s="47"/>
      <c r="AC59" s="47">
        <v>0</v>
      </c>
      <c r="AD59" s="47"/>
      <c r="AE59" s="52">
        <f t="shared" si="12"/>
        <v>0</v>
      </c>
      <c r="AF59" s="52"/>
      <c r="AG59" s="52">
        <v>0</v>
      </c>
      <c r="AH59" s="52"/>
      <c r="AI59" s="47">
        <v>0</v>
      </c>
      <c r="AJ59" s="47"/>
      <c r="AK59" s="47">
        <v>0</v>
      </c>
      <c r="AL59" s="47"/>
      <c r="AM59" s="47">
        <v>0</v>
      </c>
      <c r="AN59" s="47"/>
      <c r="AO59" s="52">
        <f t="shared" si="13"/>
        <v>0</v>
      </c>
      <c r="AP59" s="52"/>
      <c r="AQ59" s="47">
        <v>0</v>
      </c>
      <c r="AR59" s="47"/>
      <c r="AS59" s="47">
        <v>0</v>
      </c>
      <c r="AT59" s="47"/>
      <c r="AU59" s="47">
        <f t="shared" si="14"/>
        <v>0</v>
      </c>
      <c r="AV59" s="47"/>
      <c r="AW59" s="95" t="s">
        <v>54</v>
      </c>
      <c r="AX59" s="47"/>
      <c r="AY59" s="47">
        <v>0</v>
      </c>
      <c r="AZ59" s="47"/>
      <c r="BA59" s="47">
        <v>0</v>
      </c>
      <c r="BB59" s="47"/>
      <c r="BC59" s="47">
        <v>0</v>
      </c>
      <c r="BD59" s="47"/>
      <c r="BE59" s="47">
        <v>0</v>
      </c>
      <c r="BF59" s="47"/>
      <c r="BG59" s="47">
        <f t="shared" si="15"/>
        <v>0</v>
      </c>
      <c r="BH59" s="1"/>
    </row>
    <row r="60" spans="1:60" ht="12.75">
      <c r="A60" s="40" t="s">
        <v>55</v>
      </c>
      <c r="B60" s="50"/>
      <c r="C60" s="51">
        <f t="shared" si="8"/>
        <v>2725951</v>
      </c>
      <c r="D60" s="51"/>
      <c r="E60" s="51">
        <v>10871056</v>
      </c>
      <c r="F60" s="51"/>
      <c r="G60" s="51">
        <v>13597007</v>
      </c>
      <c r="H60" s="51"/>
      <c r="I60" s="51">
        <f t="shared" si="9"/>
        <v>888205</v>
      </c>
      <c r="J60" s="51"/>
      <c r="K60" s="51">
        <f t="shared" si="10"/>
        <v>6855361</v>
      </c>
      <c r="L60" s="51"/>
      <c r="M60" s="51">
        <v>7743566</v>
      </c>
      <c r="N60" s="51"/>
      <c r="O60" s="51">
        <v>4026735</v>
      </c>
      <c r="P60" s="51"/>
      <c r="Q60" s="51">
        <v>0</v>
      </c>
      <c r="R60" s="51"/>
      <c r="S60" s="51">
        <v>1826706</v>
      </c>
      <c r="T60" s="51"/>
      <c r="U60" s="51">
        <f t="shared" si="11"/>
        <v>5853441</v>
      </c>
      <c r="V60" s="51"/>
      <c r="W60" s="95" t="s">
        <v>55</v>
      </c>
      <c r="X60" s="51"/>
      <c r="Y60" s="47">
        <v>6494298</v>
      </c>
      <c r="Z60" s="47"/>
      <c r="AA60" s="47">
        <f>6032603-353350</f>
        <v>5679253</v>
      </c>
      <c r="AB60" s="47"/>
      <c r="AC60" s="47">
        <v>353350</v>
      </c>
      <c r="AD60" s="47"/>
      <c r="AE60" s="52">
        <f t="shared" si="12"/>
        <v>461695</v>
      </c>
      <c r="AF60" s="52"/>
      <c r="AG60" s="52">
        <v>-264755</v>
      </c>
      <c r="AH60" s="52"/>
      <c r="AI60" s="47">
        <v>4000</v>
      </c>
      <c r="AJ60" s="47"/>
      <c r="AK60" s="47">
        <v>0</v>
      </c>
      <c r="AL60" s="47"/>
      <c r="AM60" s="47">
        <v>0</v>
      </c>
      <c r="AN60" s="47"/>
      <c r="AO60" s="52">
        <f t="shared" si="13"/>
        <v>200940</v>
      </c>
      <c r="AP60" s="52"/>
      <c r="AQ60" s="47">
        <v>0</v>
      </c>
      <c r="AR60" s="47"/>
      <c r="AS60" s="47">
        <v>0</v>
      </c>
      <c r="AT60" s="47"/>
      <c r="AU60" s="47">
        <f t="shared" si="14"/>
        <v>1837746</v>
      </c>
      <c r="AV60" s="47"/>
      <c r="AW60" s="95" t="s">
        <v>55</v>
      </c>
      <c r="AX60" s="47"/>
      <c r="AY60" s="47">
        <v>0</v>
      </c>
      <c r="AZ60" s="47"/>
      <c r="BA60" s="47">
        <v>0</v>
      </c>
      <c r="BB60" s="47"/>
      <c r="BC60" s="47">
        <v>6844321</v>
      </c>
      <c r="BD60" s="47"/>
      <c r="BE60" s="47">
        <v>11040</v>
      </c>
      <c r="BF60" s="47"/>
      <c r="BG60" s="47">
        <f t="shared" si="15"/>
        <v>6855361</v>
      </c>
      <c r="BH60" s="1"/>
    </row>
    <row r="61" spans="1:60" ht="12.75" hidden="1">
      <c r="A61" s="28" t="s">
        <v>180</v>
      </c>
      <c r="B61" s="50"/>
      <c r="C61" s="51">
        <f t="shared" si="8"/>
        <v>0</v>
      </c>
      <c r="D61" s="51"/>
      <c r="E61" s="51">
        <v>0</v>
      </c>
      <c r="F61" s="51"/>
      <c r="G61" s="51">
        <v>0</v>
      </c>
      <c r="H61" s="51"/>
      <c r="I61" s="51">
        <f t="shared" si="9"/>
        <v>0</v>
      </c>
      <c r="J61" s="51"/>
      <c r="K61" s="51">
        <f t="shared" si="10"/>
        <v>0</v>
      </c>
      <c r="L61" s="51"/>
      <c r="M61" s="51">
        <v>0</v>
      </c>
      <c r="N61" s="51"/>
      <c r="O61" s="51">
        <v>0</v>
      </c>
      <c r="P61" s="51"/>
      <c r="Q61" s="51">
        <v>0</v>
      </c>
      <c r="R61" s="51"/>
      <c r="S61" s="51">
        <v>0</v>
      </c>
      <c r="T61" s="51"/>
      <c r="U61" s="51">
        <f t="shared" si="11"/>
        <v>0</v>
      </c>
      <c r="V61" s="50"/>
      <c r="W61" s="19" t="s">
        <v>180</v>
      </c>
      <c r="X61" s="50"/>
      <c r="Y61" s="47">
        <v>0</v>
      </c>
      <c r="Z61" s="47"/>
      <c r="AA61" s="47">
        <v>0</v>
      </c>
      <c r="AB61" s="47"/>
      <c r="AC61" s="47">
        <v>0</v>
      </c>
      <c r="AD61" s="47"/>
      <c r="AE61" s="52">
        <f t="shared" si="12"/>
        <v>0</v>
      </c>
      <c r="AF61" s="52"/>
      <c r="AG61" s="52">
        <v>0</v>
      </c>
      <c r="AH61" s="52"/>
      <c r="AI61" s="47">
        <v>0</v>
      </c>
      <c r="AJ61" s="47"/>
      <c r="AK61" s="47">
        <v>0</v>
      </c>
      <c r="AL61" s="47"/>
      <c r="AM61" s="47">
        <v>0</v>
      </c>
      <c r="AN61" s="47"/>
      <c r="AO61" s="52">
        <f t="shared" si="13"/>
        <v>0</v>
      </c>
      <c r="AP61" s="52"/>
      <c r="AQ61" s="47">
        <v>0</v>
      </c>
      <c r="AR61" s="47"/>
      <c r="AS61" s="47">
        <v>0</v>
      </c>
      <c r="AT61" s="47"/>
      <c r="AU61" s="47">
        <f t="shared" si="14"/>
        <v>0</v>
      </c>
      <c r="AV61" s="50"/>
      <c r="AW61" s="19" t="s">
        <v>180</v>
      </c>
      <c r="AX61" s="50"/>
      <c r="AY61" s="47">
        <v>0</v>
      </c>
      <c r="AZ61" s="47"/>
      <c r="BA61" s="47">
        <v>0</v>
      </c>
      <c r="BB61" s="47"/>
      <c r="BC61" s="47">
        <v>0</v>
      </c>
      <c r="BD61" s="47"/>
      <c r="BE61" s="47">
        <v>0</v>
      </c>
      <c r="BF61" s="47"/>
      <c r="BG61" s="47">
        <f t="shared" si="15"/>
        <v>0</v>
      </c>
      <c r="BH61" s="1"/>
    </row>
    <row r="62" spans="1:60" ht="12.75" hidden="1">
      <c r="A62" s="40" t="s">
        <v>56</v>
      </c>
      <c r="B62" s="50"/>
      <c r="C62" s="51">
        <f t="shared" si="8"/>
        <v>0</v>
      </c>
      <c r="D62" s="51"/>
      <c r="E62" s="51">
        <v>0</v>
      </c>
      <c r="F62" s="51"/>
      <c r="G62" s="51">
        <v>0</v>
      </c>
      <c r="H62" s="51"/>
      <c r="I62" s="51">
        <f t="shared" si="9"/>
        <v>0</v>
      </c>
      <c r="J62" s="51"/>
      <c r="K62" s="51">
        <f t="shared" si="10"/>
        <v>0</v>
      </c>
      <c r="L62" s="51"/>
      <c r="M62" s="51">
        <v>0</v>
      </c>
      <c r="N62" s="51"/>
      <c r="O62" s="51">
        <v>0</v>
      </c>
      <c r="P62" s="51"/>
      <c r="Q62" s="51">
        <v>0</v>
      </c>
      <c r="R62" s="51"/>
      <c r="S62" s="51">
        <v>0</v>
      </c>
      <c r="T62" s="51"/>
      <c r="U62" s="51">
        <f t="shared" si="11"/>
        <v>0</v>
      </c>
      <c r="V62" s="50"/>
      <c r="W62" s="95" t="s">
        <v>56</v>
      </c>
      <c r="X62" s="50"/>
      <c r="Y62" s="47">
        <v>0</v>
      </c>
      <c r="Z62" s="47"/>
      <c r="AA62" s="47">
        <v>0</v>
      </c>
      <c r="AB62" s="47"/>
      <c r="AC62" s="47">
        <v>0</v>
      </c>
      <c r="AD62" s="47"/>
      <c r="AE62" s="52">
        <f t="shared" si="12"/>
        <v>0</v>
      </c>
      <c r="AF62" s="52"/>
      <c r="AG62" s="52">
        <v>0</v>
      </c>
      <c r="AH62" s="52"/>
      <c r="AI62" s="47">
        <v>0</v>
      </c>
      <c r="AJ62" s="47"/>
      <c r="AK62" s="47">
        <v>0</v>
      </c>
      <c r="AL62" s="47"/>
      <c r="AM62" s="47">
        <v>0</v>
      </c>
      <c r="AN62" s="47"/>
      <c r="AO62" s="52">
        <f t="shared" si="13"/>
        <v>0</v>
      </c>
      <c r="AP62" s="52"/>
      <c r="AQ62" s="47">
        <v>0</v>
      </c>
      <c r="AR62" s="47"/>
      <c r="AS62" s="47">
        <v>0</v>
      </c>
      <c r="AT62" s="47"/>
      <c r="AU62" s="47">
        <f t="shared" si="14"/>
        <v>0</v>
      </c>
      <c r="AV62" s="50"/>
      <c r="AW62" s="95" t="s">
        <v>56</v>
      </c>
      <c r="AX62" s="50"/>
      <c r="AY62" s="47">
        <v>0</v>
      </c>
      <c r="AZ62" s="47"/>
      <c r="BA62" s="47">
        <v>0</v>
      </c>
      <c r="BB62" s="47"/>
      <c r="BC62" s="47">
        <v>0</v>
      </c>
      <c r="BD62" s="47"/>
      <c r="BE62" s="47">
        <v>0</v>
      </c>
      <c r="BF62" s="47"/>
      <c r="BG62" s="47">
        <f t="shared" si="15"/>
        <v>0</v>
      </c>
      <c r="BH62" s="1"/>
    </row>
    <row r="63" spans="1:60" ht="12.75">
      <c r="A63" s="40" t="s">
        <v>57</v>
      </c>
      <c r="B63" s="50"/>
      <c r="C63" s="51">
        <f t="shared" si="8"/>
        <v>496004</v>
      </c>
      <c r="D63" s="51"/>
      <c r="E63" s="51">
        <v>3325488</v>
      </c>
      <c r="F63" s="51"/>
      <c r="G63" s="51">
        <v>3821492</v>
      </c>
      <c r="H63" s="51"/>
      <c r="I63" s="51">
        <f t="shared" si="9"/>
        <v>501006</v>
      </c>
      <c r="J63" s="51"/>
      <c r="K63" s="51">
        <f t="shared" si="10"/>
        <v>1358913</v>
      </c>
      <c r="L63" s="51"/>
      <c r="M63" s="51">
        <v>1859919</v>
      </c>
      <c r="N63" s="51"/>
      <c r="O63" s="51">
        <v>1870488</v>
      </c>
      <c r="P63" s="51"/>
      <c r="Q63" s="51">
        <v>0</v>
      </c>
      <c r="R63" s="51"/>
      <c r="S63" s="51">
        <v>91085</v>
      </c>
      <c r="T63" s="51"/>
      <c r="U63" s="51">
        <f t="shared" si="11"/>
        <v>1961573</v>
      </c>
      <c r="V63" s="51"/>
      <c r="W63" s="95" t="s">
        <v>57</v>
      </c>
      <c r="X63" s="51"/>
      <c r="Y63" s="47">
        <v>4721980</v>
      </c>
      <c r="Z63" s="47"/>
      <c r="AA63" s="47">
        <f>4524467-128756</f>
        <v>4395711</v>
      </c>
      <c r="AB63" s="47"/>
      <c r="AC63" s="47">
        <v>128756</v>
      </c>
      <c r="AD63" s="47"/>
      <c r="AE63" s="52">
        <f t="shared" si="12"/>
        <v>197513</v>
      </c>
      <c r="AF63" s="52"/>
      <c r="AG63" s="52">
        <v>-182537</v>
      </c>
      <c r="AH63" s="52"/>
      <c r="AI63" s="47">
        <v>0</v>
      </c>
      <c r="AJ63" s="47"/>
      <c r="AK63" s="47">
        <v>0</v>
      </c>
      <c r="AL63" s="47"/>
      <c r="AM63" s="47">
        <v>0</v>
      </c>
      <c r="AN63" s="47"/>
      <c r="AO63" s="52">
        <f t="shared" si="13"/>
        <v>14976</v>
      </c>
      <c r="AP63" s="52"/>
      <c r="AQ63" s="47">
        <v>0</v>
      </c>
      <c r="AR63" s="47"/>
      <c r="AS63" s="47">
        <v>0</v>
      </c>
      <c r="AT63" s="47"/>
      <c r="AU63" s="47">
        <f t="shared" si="14"/>
        <v>-5002</v>
      </c>
      <c r="AV63" s="47"/>
      <c r="AW63" s="95" t="s">
        <v>57</v>
      </c>
      <c r="AX63" s="47"/>
      <c r="AY63" s="47">
        <v>1305000</v>
      </c>
      <c r="AZ63" s="47"/>
      <c r="BA63" s="47">
        <v>0</v>
      </c>
      <c r="BB63" s="47"/>
      <c r="BC63" s="47">
        <v>0</v>
      </c>
      <c r="BD63" s="47"/>
      <c r="BE63" s="47">
        <f>30314+23599</f>
        <v>53913</v>
      </c>
      <c r="BF63" s="47"/>
      <c r="BG63" s="47">
        <f t="shared" si="15"/>
        <v>1358913</v>
      </c>
      <c r="BH63" s="1"/>
    </row>
    <row r="64" spans="1:60" ht="12.75">
      <c r="A64" s="40" t="s">
        <v>58</v>
      </c>
      <c r="B64" s="50"/>
      <c r="C64" s="51">
        <f t="shared" si="8"/>
        <v>0</v>
      </c>
      <c r="D64" s="51"/>
      <c r="E64" s="51">
        <v>0</v>
      </c>
      <c r="F64" s="51"/>
      <c r="G64" s="51">
        <v>0</v>
      </c>
      <c r="H64" s="51"/>
      <c r="I64" s="51">
        <f t="shared" si="9"/>
        <v>0</v>
      </c>
      <c r="J64" s="51"/>
      <c r="K64" s="51">
        <f t="shared" si="10"/>
        <v>0</v>
      </c>
      <c r="L64" s="51"/>
      <c r="M64" s="51">
        <v>0</v>
      </c>
      <c r="N64" s="51"/>
      <c r="O64" s="51">
        <v>0</v>
      </c>
      <c r="P64" s="51"/>
      <c r="Q64" s="51">
        <v>0</v>
      </c>
      <c r="R64" s="51"/>
      <c r="S64" s="51">
        <v>0</v>
      </c>
      <c r="T64" s="51"/>
      <c r="U64" s="51">
        <f t="shared" si="11"/>
        <v>0</v>
      </c>
      <c r="V64" s="51"/>
      <c r="W64" s="95" t="s">
        <v>58</v>
      </c>
      <c r="X64" s="51"/>
      <c r="Y64" s="47">
        <v>0</v>
      </c>
      <c r="Z64" s="47"/>
      <c r="AA64" s="47">
        <v>0</v>
      </c>
      <c r="AB64" s="47"/>
      <c r="AC64" s="47">
        <v>0</v>
      </c>
      <c r="AD64" s="47"/>
      <c r="AE64" s="52">
        <f t="shared" si="12"/>
        <v>0</v>
      </c>
      <c r="AF64" s="52"/>
      <c r="AG64" s="52">
        <v>0</v>
      </c>
      <c r="AH64" s="52"/>
      <c r="AI64" s="47">
        <v>0</v>
      </c>
      <c r="AJ64" s="47"/>
      <c r="AK64" s="47">
        <v>0</v>
      </c>
      <c r="AL64" s="47"/>
      <c r="AM64" s="47">
        <v>0</v>
      </c>
      <c r="AN64" s="47"/>
      <c r="AO64" s="52">
        <f t="shared" si="13"/>
        <v>0</v>
      </c>
      <c r="AP64" s="52"/>
      <c r="AQ64" s="47">
        <v>0</v>
      </c>
      <c r="AR64" s="47"/>
      <c r="AS64" s="47">
        <v>0</v>
      </c>
      <c r="AT64" s="47"/>
      <c r="AU64" s="47">
        <f t="shared" si="14"/>
        <v>0</v>
      </c>
      <c r="AV64" s="47"/>
      <c r="AW64" s="95" t="s">
        <v>58</v>
      </c>
      <c r="AX64" s="47"/>
      <c r="AY64" s="47">
        <v>0</v>
      </c>
      <c r="AZ64" s="47"/>
      <c r="BA64" s="47">
        <v>0</v>
      </c>
      <c r="BB64" s="47"/>
      <c r="BC64" s="47">
        <v>0</v>
      </c>
      <c r="BD64" s="47"/>
      <c r="BE64" s="47">
        <v>0</v>
      </c>
      <c r="BF64" s="47"/>
      <c r="BG64" s="47">
        <f t="shared" si="15"/>
        <v>0</v>
      </c>
      <c r="BH64" s="1"/>
    </row>
    <row r="65" spans="1:60" ht="12.75">
      <c r="A65" s="40" t="s">
        <v>59</v>
      </c>
      <c r="B65" s="50"/>
      <c r="C65" s="51">
        <f t="shared" si="8"/>
        <v>46374460</v>
      </c>
      <c r="D65" s="51"/>
      <c r="E65" s="51">
        <v>40367417</v>
      </c>
      <c r="F65" s="51"/>
      <c r="G65" s="51">
        <v>86741877</v>
      </c>
      <c r="H65" s="51"/>
      <c r="I65" s="51">
        <f t="shared" si="9"/>
        <v>6259939</v>
      </c>
      <c r="J65" s="51"/>
      <c r="K65" s="51">
        <f t="shared" si="10"/>
        <v>32432446</v>
      </c>
      <c r="L65" s="51"/>
      <c r="M65" s="51">
        <v>38692385</v>
      </c>
      <c r="N65" s="51"/>
      <c r="O65" s="51">
        <v>5127226</v>
      </c>
      <c r="P65" s="51"/>
      <c r="Q65" s="51">
        <f>19151772+2590268</f>
        <v>21742040</v>
      </c>
      <c r="R65" s="51"/>
      <c r="S65" s="51">
        <v>21180226</v>
      </c>
      <c r="T65" s="51"/>
      <c r="U65" s="51">
        <f t="shared" si="11"/>
        <v>48049492</v>
      </c>
      <c r="V65" s="51"/>
      <c r="W65" s="95" t="s">
        <v>59</v>
      </c>
      <c r="X65" s="51"/>
      <c r="Y65" s="47">
        <v>24613666</v>
      </c>
      <c r="Z65" s="47"/>
      <c r="AA65" s="47">
        <f>16562547-1881751</f>
        <v>14680796</v>
      </c>
      <c r="AB65" s="47"/>
      <c r="AC65" s="47">
        <v>1881751</v>
      </c>
      <c r="AD65" s="47"/>
      <c r="AE65" s="52">
        <f t="shared" si="12"/>
        <v>8051119</v>
      </c>
      <c r="AF65" s="52"/>
      <c r="AG65" s="52">
        <v>-2414725</v>
      </c>
      <c r="AH65" s="52"/>
      <c r="AI65" s="47">
        <v>1510458</v>
      </c>
      <c r="AJ65" s="47"/>
      <c r="AK65" s="47">
        <v>0</v>
      </c>
      <c r="AL65" s="47"/>
      <c r="AM65" s="47">
        <v>0</v>
      </c>
      <c r="AN65" s="47"/>
      <c r="AO65" s="52">
        <f t="shared" si="13"/>
        <v>7146852</v>
      </c>
      <c r="AP65" s="52"/>
      <c r="AQ65" s="47">
        <v>0</v>
      </c>
      <c r="AR65" s="47"/>
      <c r="AS65" s="47">
        <v>0</v>
      </c>
      <c r="AT65" s="47"/>
      <c r="AU65" s="47">
        <f t="shared" si="14"/>
        <v>40114521</v>
      </c>
      <c r="AV65" s="47"/>
      <c r="AW65" s="95" t="s">
        <v>59</v>
      </c>
      <c r="AX65" s="47"/>
      <c r="AY65" s="47">
        <v>0</v>
      </c>
      <c r="AZ65" s="47"/>
      <c r="BA65" s="47">
        <v>32770000</v>
      </c>
      <c r="BB65" s="47"/>
      <c r="BC65" s="47">
        <v>0</v>
      </c>
      <c r="BD65" s="47"/>
      <c r="BE65" s="47">
        <f>858000-1989832+5110+267483+521685</f>
        <v>-337554</v>
      </c>
      <c r="BF65" s="47"/>
      <c r="BG65" s="47">
        <f t="shared" si="15"/>
        <v>32432446</v>
      </c>
      <c r="BH65" s="1"/>
    </row>
    <row r="66" spans="1:60" ht="12.75" hidden="1">
      <c r="A66" s="40" t="s">
        <v>60</v>
      </c>
      <c r="B66" s="50"/>
      <c r="C66" s="51">
        <f t="shared" si="8"/>
        <v>0</v>
      </c>
      <c r="D66" s="51"/>
      <c r="E66" s="51">
        <v>0</v>
      </c>
      <c r="F66" s="51"/>
      <c r="G66" s="51">
        <v>0</v>
      </c>
      <c r="H66" s="51"/>
      <c r="I66" s="51">
        <f t="shared" si="9"/>
        <v>0</v>
      </c>
      <c r="J66" s="51"/>
      <c r="K66" s="51">
        <f t="shared" si="10"/>
        <v>0</v>
      </c>
      <c r="L66" s="51"/>
      <c r="M66" s="51">
        <v>0</v>
      </c>
      <c r="N66" s="51"/>
      <c r="O66" s="51">
        <v>0</v>
      </c>
      <c r="P66" s="51"/>
      <c r="Q66" s="51">
        <v>0</v>
      </c>
      <c r="R66" s="51"/>
      <c r="S66" s="51">
        <v>0</v>
      </c>
      <c r="T66" s="51"/>
      <c r="U66" s="51">
        <f t="shared" si="11"/>
        <v>0</v>
      </c>
      <c r="V66" s="51"/>
      <c r="W66" s="95" t="s">
        <v>60</v>
      </c>
      <c r="X66" s="51"/>
      <c r="Y66" s="47">
        <v>0</v>
      </c>
      <c r="Z66" s="47"/>
      <c r="AA66" s="47">
        <v>0</v>
      </c>
      <c r="AB66" s="47"/>
      <c r="AC66" s="47">
        <v>0</v>
      </c>
      <c r="AD66" s="47"/>
      <c r="AE66" s="52">
        <f t="shared" si="12"/>
        <v>0</v>
      </c>
      <c r="AF66" s="52"/>
      <c r="AG66" s="52">
        <v>0</v>
      </c>
      <c r="AH66" s="52"/>
      <c r="AI66" s="47">
        <v>0</v>
      </c>
      <c r="AJ66" s="47"/>
      <c r="AK66" s="47">
        <v>0</v>
      </c>
      <c r="AL66" s="47"/>
      <c r="AM66" s="47">
        <v>0</v>
      </c>
      <c r="AN66" s="47"/>
      <c r="AO66" s="52">
        <f t="shared" si="13"/>
        <v>0</v>
      </c>
      <c r="AP66" s="52"/>
      <c r="AQ66" s="47">
        <v>0</v>
      </c>
      <c r="AR66" s="47"/>
      <c r="AS66" s="47">
        <v>0</v>
      </c>
      <c r="AT66" s="47"/>
      <c r="AU66" s="47">
        <f t="shared" si="14"/>
        <v>0</v>
      </c>
      <c r="AV66" s="47"/>
      <c r="AW66" s="95" t="s">
        <v>60</v>
      </c>
      <c r="AX66" s="47"/>
      <c r="AY66" s="47">
        <v>0</v>
      </c>
      <c r="AZ66" s="47"/>
      <c r="BA66" s="47">
        <v>0</v>
      </c>
      <c r="BB66" s="47"/>
      <c r="BC66" s="47">
        <v>0</v>
      </c>
      <c r="BD66" s="47"/>
      <c r="BE66" s="47">
        <v>0</v>
      </c>
      <c r="BF66" s="47"/>
      <c r="BG66" s="47">
        <f t="shared" si="15"/>
        <v>0</v>
      </c>
      <c r="BH66" s="1"/>
    </row>
    <row r="67" spans="1:60" ht="12.75">
      <c r="A67" s="40" t="s">
        <v>98</v>
      </c>
      <c r="B67" s="50"/>
      <c r="C67" s="51">
        <f t="shared" si="8"/>
        <v>0</v>
      </c>
      <c r="D67" s="51"/>
      <c r="E67" s="51">
        <v>0</v>
      </c>
      <c r="F67" s="51"/>
      <c r="G67" s="51">
        <v>0</v>
      </c>
      <c r="H67" s="51"/>
      <c r="I67" s="51">
        <f t="shared" si="9"/>
        <v>0</v>
      </c>
      <c r="J67" s="51"/>
      <c r="K67" s="51">
        <f t="shared" si="10"/>
        <v>0</v>
      </c>
      <c r="L67" s="51"/>
      <c r="M67" s="51">
        <v>0</v>
      </c>
      <c r="N67" s="51"/>
      <c r="O67" s="51">
        <v>0</v>
      </c>
      <c r="P67" s="51"/>
      <c r="Q67" s="51">
        <v>0</v>
      </c>
      <c r="R67" s="51"/>
      <c r="S67" s="51">
        <v>0</v>
      </c>
      <c r="T67" s="51"/>
      <c r="U67" s="51">
        <f t="shared" si="11"/>
        <v>0</v>
      </c>
      <c r="V67" s="51"/>
      <c r="W67" s="95" t="s">
        <v>98</v>
      </c>
      <c r="X67" s="51"/>
      <c r="Y67" s="47">
        <v>0</v>
      </c>
      <c r="Z67" s="47"/>
      <c r="AA67" s="47">
        <v>0</v>
      </c>
      <c r="AB67" s="47"/>
      <c r="AC67" s="47">
        <v>0</v>
      </c>
      <c r="AD67" s="47"/>
      <c r="AE67" s="52">
        <f t="shared" si="12"/>
        <v>0</v>
      </c>
      <c r="AF67" s="52"/>
      <c r="AG67" s="52">
        <v>0</v>
      </c>
      <c r="AH67" s="52"/>
      <c r="AI67" s="47">
        <v>0</v>
      </c>
      <c r="AJ67" s="47"/>
      <c r="AK67" s="47">
        <v>0</v>
      </c>
      <c r="AL67" s="47"/>
      <c r="AM67" s="47">
        <v>0</v>
      </c>
      <c r="AN67" s="47"/>
      <c r="AO67" s="52">
        <f t="shared" si="13"/>
        <v>0</v>
      </c>
      <c r="AP67" s="52"/>
      <c r="AQ67" s="47">
        <v>0</v>
      </c>
      <c r="AR67" s="47"/>
      <c r="AS67" s="47">
        <v>0</v>
      </c>
      <c r="AT67" s="47"/>
      <c r="AU67" s="47">
        <f t="shared" si="14"/>
        <v>0</v>
      </c>
      <c r="AV67" s="47"/>
      <c r="AW67" s="95" t="s">
        <v>98</v>
      </c>
      <c r="AX67" s="47"/>
      <c r="AY67" s="47">
        <v>0</v>
      </c>
      <c r="AZ67" s="47"/>
      <c r="BA67" s="47">
        <v>0</v>
      </c>
      <c r="BB67" s="47"/>
      <c r="BC67" s="47">
        <v>0</v>
      </c>
      <c r="BD67" s="47"/>
      <c r="BE67" s="47">
        <v>0</v>
      </c>
      <c r="BF67" s="47"/>
      <c r="BG67" s="47">
        <f t="shared" si="15"/>
        <v>0</v>
      </c>
      <c r="BH67" s="1"/>
    </row>
    <row r="68" spans="1:60" ht="12.75">
      <c r="A68" s="40" t="s">
        <v>62</v>
      </c>
      <c r="B68" s="50"/>
      <c r="C68" s="51">
        <f t="shared" si="8"/>
        <v>0</v>
      </c>
      <c r="D68" s="51"/>
      <c r="E68" s="51">
        <v>0</v>
      </c>
      <c r="F68" s="51"/>
      <c r="G68" s="51">
        <v>0</v>
      </c>
      <c r="H68" s="51"/>
      <c r="I68" s="51">
        <f t="shared" si="9"/>
        <v>0</v>
      </c>
      <c r="J68" s="51"/>
      <c r="K68" s="51">
        <f t="shared" si="10"/>
        <v>0</v>
      </c>
      <c r="L68" s="51"/>
      <c r="M68" s="51">
        <v>0</v>
      </c>
      <c r="N68" s="51"/>
      <c r="O68" s="51">
        <v>0</v>
      </c>
      <c r="P68" s="51"/>
      <c r="Q68" s="51">
        <v>0</v>
      </c>
      <c r="R68" s="51"/>
      <c r="S68" s="51">
        <v>0</v>
      </c>
      <c r="T68" s="51"/>
      <c r="U68" s="51">
        <f t="shared" si="11"/>
        <v>0</v>
      </c>
      <c r="V68" s="50"/>
      <c r="W68" s="95" t="s">
        <v>62</v>
      </c>
      <c r="X68" s="50"/>
      <c r="Y68" s="47">
        <v>0</v>
      </c>
      <c r="Z68" s="47"/>
      <c r="AA68" s="47">
        <v>0</v>
      </c>
      <c r="AB68" s="47"/>
      <c r="AC68" s="47">
        <v>0</v>
      </c>
      <c r="AD68" s="47"/>
      <c r="AE68" s="52">
        <f t="shared" si="12"/>
        <v>0</v>
      </c>
      <c r="AF68" s="52"/>
      <c r="AG68" s="52">
        <v>0</v>
      </c>
      <c r="AH68" s="52"/>
      <c r="AI68" s="47">
        <v>0</v>
      </c>
      <c r="AJ68" s="47"/>
      <c r="AK68" s="47">
        <v>0</v>
      </c>
      <c r="AL68" s="47"/>
      <c r="AM68" s="47">
        <v>0</v>
      </c>
      <c r="AN68" s="47"/>
      <c r="AO68" s="52">
        <f t="shared" si="13"/>
        <v>0</v>
      </c>
      <c r="AP68" s="52"/>
      <c r="AQ68" s="47">
        <v>0</v>
      </c>
      <c r="AR68" s="47"/>
      <c r="AS68" s="47">
        <v>0</v>
      </c>
      <c r="AT68" s="47"/>
      <c r="AU68" s="47">
        <f t="shared" si="14"/>
        <v>0</v>
      </c>
      <c r="AV68" s="50"/>
      <c r="AW68" s="95" t="s">
        <v>62</v>
      </c>
      <c r="AX68" s="50"/>
      <c r="AY68" s="47">
        <v>0</v>
      </c>
      <c r="AZ68" s="47"/>
      <c r="BA68" s="47">
        <v>0</v>
      </c>
      <c r="BB68" s="47"/>
      <c r="BC68" s="47">
        <v>0</v>
      </c>
      <c r="BD68" s="47"/>
      <c r="BE68" s="47">
        <v>0</v>
      </c>
      <c r="BF68" s="47"/>
      <c r="BG68" s="47">
        <f t="shared" si="15"/>
        <v>0</v>
      </c>
      <c r="BH68" s="1"/>
    </row>
    <row r="69" spans="1:60" ht="12.75">
      <c r="A69" s="40" t="s">
        <v>63</v>
      </c>
      <c r="B69" s="50"/>
      <c r="C69" s="51">
        <f t="shared" si="8"/>
        <v>0</v>
      </c>
      <c r="D69" s="51"/>
      <c r="E69" s="51">
        <v>0</v>
      </c>
      <c r="F69" s="51"/>
      <c r="G69" s="51">
        <v>0</v>
      </c>
      <c r="H69" s="51"/>
      <c r="I69" s="51">
        <f t="shared" si="9"/>
        <v>0</v>
      </c>
      <c r="J69" s="51"/>
      <c r="K69" s="51">
        <f t="shared" si="10"/>
        <v>0</v>
      </c>
      <c r="L69" s="51"/>
      <c r="M69" s="51">
        <v>0</v>
      </c>
      <c r="N69" s="51"/>
      <c r="O69" s="51">
        <v>0</v>
      </c>
      <c r="P69" s="51"/>
      <c r="Q69" s="51">
        <v>0</v>
      </c>
      <c r="R69" s="51"/>
      <c r="S69" s="51">
        <v>0</v>
      </c>
      <c r="T69" s="51"/>
      <c r="U69" s="51">
        <f t="shared" si="11"/>
        <v>0</v>
      </c>
      <c r="V69" s="50"/>
      <c r="W69" s="95" t="s">
        <v>63</v>
      </c>
      <c r="X69" s="50"/>
      <c r="Y69" s="47">
        <v>0</v>
      </c>
      <c r="Z69" s="47"/>
      <c r="AA69" s="47">
        <v>0</v>
      </c>
      <c r="AB69" s="47"/>
      <c r="AC69" s="47">
        <v>0</v>
      </c>
      <c r="AD69" s="47"/>
      <c r="AE69" s="52">
        <f t="shared" si="12"/>
        <v>0</v>
      </c>
      <c r="AF69" s="52"/>
      <c r="AG69" s="52">
        <v>0</v>
      </c>
      <c r="AH69" s="52"/>
      <c r="AI69" s="47">
        <v>0</v>
      </c>
      <c r="AJ69" s="47"/>
      <c r="AK69" s="47">
        <v>0</v>
      </c>
      <c r="AL69" s="47"/>
      <c r="AM69" s="47">
        <v>0</v>
      </c>
      <c r="AN69" s="47"/>
      <c r="AO69" s="52">
        <f t="shared" si="13"/>
        <v>0</v>
      </c>
      <c r="AP69" s="52"/>
      <c r="AQ69" s="47">
        <v>0</v>
      </c>
      <c r="AR69" s="47"/>
      <c r="AS69" s="47">
        <v>0</v>
      </c>
      <c r="AT69" s="47"/>
      <c r="AU69" s="47">
        <f t="shared" si="14"/>
        <v>0</v>
      </c>
      <c r="AV69" s="50"/>
      <c r="AW69" s="95" t="s">
        <v>63</v>
      </c>
      <c r="AX69" s="50"/>
      <c r="AY69" s="47">
        <v>0</v>
      </c>
      <c r="AZ69" s="47"/>
      <c r="BA69" s="47">
        <v>0</v>
      </c>
      <c r="BB69" s="47"/>
      <c r="BC69" s="47">
        <v>0</v>
      </c>
      <c r="BD69" s="47"/>
      <c r="BE69" s="47">
        <v>0</v>
      </c>
      <c r="BF69" s="47"/>
      <c r="BG69" s="47">
        <f t="shared" si="15"/>
        <v>0</v>
      </c>
      <c r="BH69" s="1"/>
    </row>
    <row r="70" spans="1:60" ht="12.75">
      <c r="A70" s="40" t="s">
        <v>64</v>
      </c>
      <c r="B70" s="50"/>
      <c r="C70" s="51">
        <f t="shared" si="8"/>
        <v>0</v>
      </c>
      <c r="D70" s="51"/>
      <c r="E70" s="51">
        <v>0</v>
      </c>
      <c r="F70" s="51"/>
      <c r="G70" s="51">
        <v>0</v>
      </c>
      <c r="H70" s="51"/>
      <c r="I70" s="51">
        <f t="shared" si="9"/>
        <v>0</v>
      </c>
      <c r="J70" s="51"/>
      <c r="K70" s="51">
        <f t="shared" si="10"/>
        <v>0</v>
      </c>
      <c r="L70" s="51"/>
      <c r="M70" s="51">
        <v>0</v>
      </c>
      <c r="N70" s="51"/>
      <c r="O70" s="51">
        <v>0</v>
      </c>
      <c r="P70" s="51"/>
      <c r="Q70" s="51">
        <v>0</v>
      </c>
      <c r="R70" s="51"/>
      <c r="S70" s="51">
        <v>0</v>
      </c>
      <c r="T70" s="51"/>
      <c r="U70" s="51">
        <f t="shared" si="11"/>
        <v>0</v>
      </c>
      <c r="V70" s="50"/>
      <c r="W70" s="95" t="s">
        <v>64</v>
      </c>
      <c r="X70" s="50"/>
      <c r="Y70" s="47">
        <v>0</v>
      </c>
      <c r="Z70" s="47"/>
      <c r="AA70" s="47">
        <v>0</v>
      </c>
      <c r="AB70" s="47"/>
      <c r="AC70" s="47">
        <v>0</v>
      </c>
      <c r="AD70" s="47"/>
      <c r="AE70" s="52">
        <f t="shared" si="12"/>
        <v>0</v>
      </c>
      <c r="AF70" s="52"/>
      <c r="AG70" s="52">
        <v>0</v>
      </c>
      <c r="AH70" s="52"/>
      <c r="AI70" s="47">
        <v>0</v>
      </c>
      <c r="AJ70" s="47"/>
      <c r="AK70" s="47">
        <v>0</v>
      </c>
      <c r="AL70" s="47"/>
      <c r="AM70" s="47">
        <v>0</v>
      </c>
      <c r="AN70" s="47"/>
      <c r="AO70" s="52">
        <f t="shared" si="13"/>
        <v>0</v>
      </c>
      <c r="AP70" s="52"/>
      <c r="AQ70" s="47">
        <v>0</v>
      </c>
      <c r="AR70" s="47"/>
      <c r="AS70" s="47">
        <v>0</v>
      </c>
      <c r="AT70" s="47"/>
      <c r="AU70" s="47">
        <f t="shared" si="14"/>
        <v>0</v>
      </c>
      <c r="AV70" s="50"/>
      <c r="AW70" s="95" t="s">
        <v>64</v>
      </c>
      <c r="AX70" s="50"/>
      <c r="AY70" s="47">
        <v>0</v>
      </c>
      <c r="AZ70" s="47"/>
      <c r="BA70" s="47">
        <v>0</v>
      </c>
      <c r="BB70" s="47"/>
      <c r="BC70" s="47">
        <v>0</v>
      </c>
      <c r="BD70" s="47"/>
      <c r="BE70" s="47">
        <v>0</v>
      </c>
      <c r="BF70" s="47"/>
      <c r="BG70" s="47">
        <f t="shared" si="15"/>
        <v>0</v>
      </c>
      <c r="BH70" s="1"/>
    </row>
    <row r="71" spans="1:60" ht="12.75" hidden="1">
      <c r="A71" s="40" t="s">
        <v>137</v>
      </c>
      <c r="B71" s="50"/>
      <c r="C71" s="51">
        <f t="shared" si="8"/>
        <v>0</v>
      </c>
      <c r="D71" s="51"/>
      <c r="E71" s="51">
        <v>0</v>
      </c>
      <c r="F71" s="51"/>
      <c r="G71" s="51">
        <v>0</v>
      </c>
      <c r="H71" s="51"/>
      <c r="I71" s="51">
        <f t="shared" si="9"/>
        <v>0</v>
      </c>
      <c r="J71" s="51"/>
      <c r="K71" s="51">
        <f t="shared" si="10"/>
        <v>0</v>
      </c>
      <c r="L71" s="51"/>
      <c r="M71" s="51">
        <v>0</v>
      </c>
      <c r="N71" s="51"/>
      <c r="O71" s="51">
        <v>0</v>
      </c>
      <c r="P71" s="51"/>
      <c r="Q71" s="51">
        <v>0</v>
      </c>
      <c r="R71" s="51"/>
      <c r="S71" s="51">
        <v>0</v>
      </c>
      <c r="T71" s="51"/>
      <c r="U71" s="51">
        <f t="shared" si="11"/>
        <v>0</v>
      </c>
      <c r="V71" s="50"/>
      <c r="W71" s="95" t="s">
        <v>137</v>
      </c>
      <c r="X71" s="50"/>
      <c r="Y71" s="47">
        <v>0</v>
      </c>
      <c r="Z71" s="47"/>
      <c r="AA71" s="47">
        <v>0</v>
      </c>
      <c r="AB71" s="47"/>
      <c r="AC71" s="47">
        <v>0</v>
      </c>
      <c r="AD71" s="47"/>
      <c r="AE71" s="52">
        <f t="shared" si="12"/>
        <v>0</v>
      </c>
      <c r="AF71" s="52"/>
      <c r="AG71" s="52">
        <v>0</v>
      </c>
      <c r="AH71" s="52"/>
      <c r="AI71" s="47">
        <v>0</v>
      </c>
      <c r="AJ71" s="47"/>
      <c r="AK71" s="47">
        <v>0</v>
      </c>
      <c r="AL71" s="47"/>
      <c r="AM71" s="47">
        <v>0</v>
      </c>
      <c r="AN71" s="47"/>
      <c r="AO71" s="52">
        <f t="shared" si="13"/>
        <v>0</v>
      </c>
      <c r="AP71" s="52"/>
      <c r="AQ71" s="47">
        <v>0</v>
      </c>
      <c r="AR71" s="47"/>
      <c r="AS71" s="47">
        <v>0</v>
      </c>
      <c r="AT71" s="47"/>
      <c r="AU71" s="47">
        <f t="shared" si="14"/>
        <v>0</v>
      </c>
      <c r="AV71" s="50"/>
      <c r="AW71" s="95" t="s">
        <v>137</v>
      </c>
      <c r="AX71" s="50"/>
      <c r="AY71" s="47">
        <v>0</v>
      </c>
      <c r="AZ71" s="47"/>
      <c r="BA71" s="47">
        <v>0</v>
      </c>
      <c r="BB71" s="47"/>
      <c r="BC71" s="47">
        <v>0</v>
      </c>
      <c r="BD71" s="47"/>
      <c r="BE71" s="47">
        <v>0</v>
      </c>
      <c r="BF71" s="47"/>
      <c r="BG71" s="47">
        <f t="shared" si="15"/>
        <v>0</v>
      </c>
      <c r="BH71" s="1"/>
    </row>
    <row r="72" spans="1:60" ht="12.75" hidden="1">
      <c r="A72" s="40" t="s">
        <v>65</v>
      </c>
      <c r="B72" s="50"/>
      <c r="C72" s="51">
        <f t="shared" si="8"/>
        <v>0</v>
      </c>
      <c r="D72" s="51"/>
      <c r="E72" s="51">
        <v>0</v>
      </c>
      <c r="F72" s="51"/>
      <c r="G72" s="51">
        <v>0</v>
      </c>
      <c r="H72" s="51"/>
      <c r="I72" s="51">
        <f t="shared" si="9"/>
        <v>0</v>
      </c>
      <c r="J72" s="51"/>
      <c r="K72" s="51">
        <f t="shared" si="10"/>
        <v>0</v>
      </c>
      <c r="L72" s="51"/>
      <c r="M72" s="51">
        <v>0</v>
      </c>
      <c r="N72" s="51"/>
      <c r="O72" s="51">
        <v>0</v>
      </c>
      <c r="P72" s="51"/>
      <c r="Q72" s="51">
        <v>0</v>
      </c>
      <c r="R72" s="51"/>
      <c r="S72" s="51">
        <v>0</v>
      </c>
      <c r="T72" s="51"/>
      <c r="U72" s="51">
        <f t="shared" si="11"/>
        <v>0</v>
      </c>
      <c r="V72" s="50"/>
      <c r="W72" s="95" t="s">
        <v>65</v>
      </c>
      <c r="X72" s="50"/>
      <c r="Y72" s="47">
        <v>0</v>
      </c>
      <c r="Z72" s="47"/>
      <c r="AA72" s="47">
        <v>0</v>
      </c>
      <c r="AB72" s="47"/>
      <c r="AC72" s="47">
        <v>0</v>
      </c>
      <c r="AD72" s="47"/>
      <c r="AE72" s="52">
        <f t="shared" si="12"/>
        <v>0</v>
      </c>
      <c r="AF72" s="52"/>
      <c r="AG72" s="52">
        <v>0</v>
      </c>
      <c r="AH72" s="52"/>
      <c r="AI72" s="47">
        <v>0</v>
      </c>
      <c r="AJ72" s="47"/>
      <c r="AK72" s="47">
        <v>0</v>
      </c>
      <c r="AL72" s="47"/>
      <c r="AM72" s="47">
        <v>0</v>
      </c>
      <c r="AN72" s="47"/>
      <c r="AO72" s="52">
        <f t="shared" si="13"/>
        <v>0</v>
      </c>
      <c r="AP72" s="52"/>
      <c r="AQ72" s="47">
        <v>0</v>
      </c>
      <c r="AR72" s="47"/>
      <c r="AS72" s="47">
        <v>0</v>
      </c>
      <c r="AT72" s="47"/>
      <c r="AU72" s="47">
        <f t="shared" si="14"/>
        <v>0</v>
      </c>
      <c r="AV72" s="50"/>
      <c r="AW72" s="95" t="s">
        <v>65</v>
      </c>
      <c r="AX72" s="50"/>
      <c r="AY72" s="47">
        <v>0</v>
      </c>
      <c r="AZ72" s="47"/>
      <c r="BA72" s="47">
        <v>0</v>
      </c>
      <c r="BB72" s="47"/>
      <c r="BC72" s="47">
        <v>0</v>
      </c>
      <c r="BD72" s="47"/>
      <c r="BE72" s="47">
        <v>0</v>
      </c>
      <c r="BF72" s="47"/>
      <c r="BG72" s="47">
        <f t="shared" si="15"/>
        <v>0</v>
      </c>
      <c r="BH72" s="1"/>
    </row>
    <row r="73" spans="1:60" ht="12.75">
      <c r="A73" s="40" t="s">
        <v>66</v>
      </c>
      <c r="B73" s="50"/>
      <c r="C73" s="51">
        <f t="shared" si="8"/>
        <v>0</v>
      </c>
      <c r="D73" s="51"/>
      <c r="E73" s="51">
        <v>0</v>
      </c>
      <c r="F73" s="51"/>
      <c r="G73" s="51">
        <v>0</v>
      </c>
      <c r="H73" s="51"/>
      <c r="I73" s="51">
        <f t="shared" si="9"/>
        <v>0</v>
      </c>
      <c r="J73" s="51"/>
      <c r="K73" s="51">
        <f t="shared" si="10"/>
        <v>0</v>
      </c>
      <c r="L73" s="51"/>
      <c r="M73" s="51">
        <v>0</v>
      </c>
      <c r="N73" s="51"/>
      <c r="O73" s="51">
        <v>0</v>
      </c>
      <c r="P73" s="51"/>
      <c r="Q73" s="51">
        <v>0</v>
      </c>
      <c r="R73" s="51"/>
      <c r="S73" s="51">
        <v>0</v>
      </c>
      <c r="T73" s="51"/>
      <c r="U73" s="51">
        <f t="shared" si="11"/>
        <v>0</v>
      </c>
      <c r="V73" s="50"/>
      <c r="W73" s="95" t="s">
        <v>66</v>
      </c>
      <c r="X73" s="50"/>
      <c r="Y73" s="47">
        <v>0</v>
      </c>
      <c r="Z73" s="47"/>
      <c r="AA73" s="47">
        <v>0</v>
      </c>
      <c r="AB73" s="47"/>
      <c r="AC73" s="47">
        <v>0</v>
      </c>
      <c r="AD73" s="47"/>
      <c r="AE73" s="52">
        <f t="shared" si="12"/>
        <v>0</v>
      </c>
      <c r="AF73" s="52"/>
      <c r="AG73" s="52">
        <v>0</v>
      </c>
      <c r="AH73" s="52"/>
      <c r="AI73" s="47">
        <v>0</v>
      </c>
      <c r="AJ73" s="47"/>
      <c r="AK73" s="47">
        <v>0</v>
      </c>
      <c r="AL73" s="47"/>
      <c r="AM73" s="47">
        <v>0</v>
      </c>
      <c r="AN73" s="47"/>
      <c r="AO73" s="52">
        <f t="shared" si="13"/>
        <v>0</v>
      </c>
      <c r="AP73" s="52"/>
      <c r="AQ73" s="47">
        <v>0</v>
      </c>
      <c r="AR73" s="47"/>
      <c r="AS73" s="47">
        <v>0</v>
      </c>
      <c r="AT73" s="47"/>
      <c r="AU73" s="47">
        <f t="shared" si="14"/>
        <v>0</v>
      </c>
      <c r="AV73" s="50"/>
      <c r="AW73" s="95" t="s">
        <v>66</v>
      </c>
      <c r="AX73" s="50"/>
      <c r="AY73" s="47">
        <v>0</v>
      </c>
      <c r="AZ73" s="47"/>
      <c r="BA73" s="47">
        <v>0</v>
      </c>
      <c r="BB73" s="47"/>
      <c r="BC73" s="47">
        <v>0</v>
      </c>
      <c r="BD73" s="47"/>
      <c r="BE73" s="47">
        <v>0</v>
      </c>
      <c r="BF73" s="47"/>
      <c r="BG73" s="47">
        <f t="shared" si="15"/>
        <v>0</v>
      </c>
      <c r="BH73" s="1"/>
    </row>
    <row r="74" spans="1:60" ht="12.75">
      <c r="A74" s="40" t="s">
        <v>67</v>
      </c>
      <c r="B74" s="50"/>
      <c r="C74" s="51">
        <f t="shared" si="8"/>
        <v>0</v>
      </c>
      <c r="D74" s="51"/>
      <c r="E74" s="51">
        <v>0</v>
      </c>
      <c r="F74" s="51"/>
      <c r="G74" s="51">
        <v>0</v>
      </c>
      <c r="H74" s="51"/>
      <c r="I74" s="51">
        <f t="shared" si="9"/>
        <v>0</v>
      </c>
      <c r="J74" s="51"/>
      <c r="K74" s="51">
        <f t="shared" si="10"/>
        <v>0</v>
      </c>
      <c r="L74" s="51"/>
      <c r="M74" s="51">
        <v>0</v>
      </c>
      <c r="N74" s="51"/>
      <c r="O74" s="51">
        <v>0</v>
      </c>
      <c r="P74" s="51"/>
      <c r="Q74" s="51">
        <v>0</v>
      </c>
      <c r="R74" s="51"/>
      <c r="S74" s="51">
        <v>0</v>
      </c>
      <c r="T74" s="51"/>
      <c r="U74" s="51">
        <f t="shared" si="11"/>
        <v>0</v>
      </c>
      <c r="V74" s="50"/>
      <c r="W74" s="95" t="s">
        <v>67</v>
      </c>
      <c r="X74" s="50"/>
      <c r="Y74" s="47">
        <v>0</v>
      </c>
      <c r="Z74" s="47"/>
      <c r="AA74" s="47">
        <v>0</v>
      </c>
      <c r="AB74" s="47"/>
      <c r="AC74" s="47">
        <v>0</v>
      </c>
      <c r="AD74" s="47"/>
      <c r="AE74" s="52">
        <f t="shared" si="12"/>
        <v>0</v>
      </c>
      <c r="AF74" s="52"/>
      <c r="AG74" s="52">
        <v>0</v>
      </c>
      <c r="AH74" s="52"/>
      <c r="AI74" s="47">
        <v>0</v>
      </c>
      <c r="AJ74" s="47"/>
      <c r="AK74" s="47">
        <v>0</v>
      </c>
      <c r="AL74" s="47"/>
      <c r="AM74" s="47">
        <v>0</v>
      </c>
      <c r="AN74" s="47"/>
      <c r="AO74" s="52">
        <f t="shared" si="13"/>
        <v>0</v>
      </c>
      <c r="AP74" s="52"/>
      <c r="AQ74" s="47">
        <v>0</v>
      </c>
      <c r="AR74" s="47"/>
      <c r="AS74" s="47">
        <v>0</v>
      </c>
      <c r="AT74" s="47"/>
      <c r="AU74" s="47">
        <f t="shared" si="14"/>
        <v>0</v>
      </c>
      <c r="AV74" s="50"/>
      <c r="AW74" s="95" t="s">
        <v>67</v>
      </c>
      <c r="AX74" s="50"/>
      <c r="AY74" s="47">
        <v>0</v>
      </c>
      <c r="AZ74" s="47"/>
      <c r="BA74" s="47">
        <v>0</v>
      </c>
      <c r="BB74" s="47"/>
      <c r="BC74" s="47">
        <v>0</v>
      </c>
      <c r="BD74" s="47"/>
      <c r="BE74" s="47">
        <v>0</v>
      </c>
      <c r="BF74" s="47"/>
      <c r="BG74" s="47">
        <f t="shared" si="15"/>
        <v>0</v>
      </c>
      <c r="BH74" s="1"/>
    </row>
    <row r="75" spans="1:60" ht="12.75">
      <c r="A75" s="40" t="s">
        <v>186</v>
      </c>
      <c r="B75" s="50"/>
      <c r="C75" s="51">
        <f t="shared" si="8"/>
        <v>1085481</v>
      </c>
      <c r="D75" s="51"/>
      <c r="E75" s="51">
        <v>2379498</v>
      </c>
      <c r="F75" s="51"/>
      <c r="G75" s="51">
        <v>3464979</v>
      </c>
      <c r="H75" s="51"/>
      <c r="I75" s="51">
        <f t="shared" si="9"/>
        <v>389568</v>
      </c>
      <c r="J75" s="51"/>
      <c r="K75" s="51">
        <f t="shared" si="10"/>
        <v>754934</v>
      </c>
      <c r="L75" s="51"/>
      <c r="M75" s="51">
        <v>1144502</v>
      </c>
      <c r="N75" s="51"/>
      <c r="O75" s="51">
        <v>1298586</v>
      </c>
      <c r="P75" s="51"/>
      <c r="Q75" s="51">
        <v>0</v>
      </c>
      <c r="R75" s="51"/>
      <c r="S75" s="51">
        <v>1021891</v>
      </c>
      <c r="T75" s="51"/>
      <c r="U75" s="51">
        <f t="shared" si="11"/>
        <v>2320477</v>
      </c>
      <c r="V75" s="50"/>
      <c r="W75" s="95" t="s">
        <v>186</v>
      </c>
      <c r="X75" s="50"/>
      <c r="Y75" s="47">
        <v>2886138</v>
      </c>
      <c r="Z75" s="47"/>
      <c r="AA75" s="47">
        <f>2883105-275535</f>
        <v>2607570</v>
      </c>
      <c r="AB75" s="47"/>
      <c r="AC75" s="47">
        <v>275535</v>
      </c>
      <c r="AD75" s="47"/>
      <c r="AE75" s="52">
        <f t="shared" si="12"/>
        <v>3033</v>
      </c>
      <c r="AF75" s="52"/>
      <c r="AG75" s="52">
        <v>28098</v>
      </c>
      <c r="AH75" s="52"/>
      <c r="AI75" s="47">
        <v>0</v>
      </c>
      <c r="AJ75" s="47"/>
      <c r="AK75" s="47">
        <v>0</v>
      </c>
      <c r="AL75" s="47"/>
      <c r="AM75" s="47">
        <v>0</v>
      </c>
      <c r="AN75" s="47"/>
      <c r="AO75" s="52">
        <f t="shared" si="13"/>
        <v>31131</v>
      </c>
      <c r="AP75" s="52"/>
      <c r="AQ75" s="47">
        <v>0</v>
      </c>
      <c r="AR75" s="47"/>
      <c r="AS75" s="47">
        <v>0</v>
      </c>
      <c r="AT75" s="47"/>
      <c r="AU75" s="47">
        <f t="shared" si="14"/>
        <v>695913</v>
      </c>
      <c r="AV75" s="50"/>
      <c r="AW75" s="95" t="s">
        <v>186</v>
      </c>
      <c r="AX75" s="50"/>
      <c r="AY75" s="47">
        <v>0</v>
      </c>
      <c r="AZ75" s="47"/>
      <c r="BA75" s="47">
        <v>660000</v>
      </c>
      <c r="BB75" s="47"/>
      <c r="BC75" s="47">
        <v>0</v>
      </c>
      <c r="BD75" s="47"/>
      <c r="BE75" s="47">
        <v>94934</v>
      </c>
      <c r="BF75" s="47"/>
      <c r="BG75" s="47">
        <f t="shared" si="15"/>
        <v>754934</v>
      </c>
      <c r="BH75" s="1"/>
    </row>
    <row r="76" spans="1:60" ht="12.75">
      <c r="A76" s="40" t="s">
        <v>69</v>
      </c>
      <c r="B76" s="50"/>
      <c r="C76" s="51">
        <f t="shared" si="8"/>
        <v>1043173</v>
      </c>
      <c r="D76" s="51"/>
      <c r="E76" s="51">
        <v>1810634</v>
      </c>
      <c r="F76" s="51"/>
      <c r="G76" s="51">
        <v>2853807</v>
      </c>
      <c r="H76" s="51"/>
      <c r="I76" s="51">
        <f t="shared" si="9"/>
        <v>1039016</v>
      </c>
      <c r="J76" s="51"/>
      <c r="K76" s="51">
        <f t="shared" si="10"/>
        <v>5484043</v>
      </c>
      <c r="L76" s="51"/>
      <c r="M76" s="51">
        <v>6523059</v>
      </c>
      <c r="N76" s="51"/>
      <c r="O76" s="51">
        <v>685078</v>
      </c>
      <c r="P76" s="51"/>
      <c r="Q76" s="51">
        <v>0</v>
      </c>
      <c r="R76" s="51"/>
      <c r="S76" s="51">
        <v>-4354330</v>
      </c>
      <c r="T76" s="51"/>
      <c r="U76" s="51">
        <f t="shared" si="11"/>
        <v>-3669252</v>
      </c>
      <c r="V76" s="51"/>
      <c r="W76" s="95" t="s">
        <v>69</v>
      </c>
      <c r="X76" s="51"/>
      <c r="Y76" s="47">
        <v>2883124</v>
      </c>
      <c r="Z76" s="47"/>
      <c r="AA76" s="47">
        <f>2309493-224067</f>
        <v>2085426</v>
      </c>
      <c r="AB76" s="47"/>
      <c r="AC76" s="47">
        <v>224067</v>
      </c>
      <c r="AD76" s="47"/>
      <c r="AE76" s="52">
        <f t="shared" si="12"/>
        <v>573631</v>
      </c>
      <c r="AF76" s="52"/>
      <c r="AG76" s="52">
        <v>-278571</v>
      </c>
      <c r="AH76" s="52"/>
      <c r="AI76" s="47">
        <v>0</v>
      </c>
      <c r="AJ76" s="47"/>
      <c r="AK76" s="47">
        <v>0</v>
      </c>
      <c r="AL76" s="47"/>
      <c r="AM76" s="47">
        <v>0</v>
      </c>
      <c r="AN76" s="47"/>
      <c r="AO76" s="52">
        <f t="shared" si="13"/>
        <v>295060</v>
      </c>
      <c r="AP76" s="52"/>
      <c r="AQ76" s="47">
        <v>0</v>
      </c>
      <c r="AR76" s="47"/>
      <c r="AS76" s="47">
        <v>0</v>
      </c>
      <c r="AT76" s="47"/>
      <c r="AU76" s="47">
        <f t="shared" si="14"/>
        <v>4157</v>
      </c>
      <c r="AV76" s="47"/>
      <c r="AW76" s="95" t="s">
        <v>69</v>
      </c>
      <c r="AX76" s="47"/>
      <c r="AY76" s="47">
        <v>3431826</v>
      </c>
      <c r="AZ76" s="47"/>
      <c r="BA76" s="47">
        <v>0</v>
      </c>
      <c r="BB76" s="47"/>
      <c r="BC76" s="47">
        <v>0</v>
      </c>
      <c r="BD76" s="47"/>
      <c r="BE76" s="47">
        <f>32901+2019316</f>
        <v>2052217</v>
      </c>
      <c r="BF76" s="47"/>
      <c r="BG76" s="47">
        <f t="shared" si="15"/>
        <v>5484043</v>
      </c>
      <c r="BH76" s="1"/>
    </row>
    <row r="77" spans="1:60" ht="12.75" hidden="1">
      <c r="A77" s="40" t="s">
        <v>185</v>
      </c>
      <c r="B77" s="50"/>
      <c r="C77" s="51">
        <f t="shared" si="8"/>
        <v>0</v>
      </c>
      <c r="D77" s="51"/>
      <c r="E77" s="51">
        <v>0</v>
      </c>
      <c r="F77" s="51"/>
      <c r="G77" s="51">
        <v>0</v>
      </c>
      <c r="H77" s="51"/>
      <c r="I77" s="51">
        <f t="shared" si="9"/>
        <v>0</v>
      </c>
      <c r="J77" s="51"/>
      <c r="K77" s="51">
        <f t="shared" si="10"/>
        <v>0</v>
      </c>
      <c r="L77" s="51"/>
      <c r="M77" s="51">
        <v>0</v>
      </c>
      <c r="N77" s="51"/>
      <c r="O77" s="51">
        <v>0</v>
      </c>
      <c r="P77" s="51"/>
      <c r="Q77" s="51">
        <v>0</v>
      </c>
      <c r="R77" s="51"/>
      <c r="S77" s="51">
        <v>0</v>
      </c>
      <c r="T77" s="51"/>
      <c r="U77" s="51">
        <f t="shared" si="11"/>
        <v>0</v>
      </c>
      <c r="V77" s="50"/>
      <c r="W77" s="95" t="s">
        <v>185</v>
      </c>
      <c r="X77" s="50"/>
      <c r="Y77" s="47">
        <v>0</v>
      </c>
      <c r="Z77" s="47"/>
      <c r="AA77" s="47">
        <v>0</v>
      </c>
      <c r="AB77" s="47"/>
      <c r="AC77" s="47">
        <v>0</v>
      </c>
      <c r="AD77" s="47"/>
      <c r="AE77" s="52">
        <f t="shared" si="12"/>
        <v>0</v>
      </c>
      <c r="AF77" s="52"/>
      <c r="AG77" s="52">
        <v>0</v>
      </c>
      <c r="AH77" s="52"/>
      <c r="AI77" s="47">
        <v>0</v>
      </c>
      <c r="AJ77" s="47"/>
      <c r="AK77" s="47">
        <v>0</v>
      </c>
      <c r="AL77" s="47"/>
      <c r="AM77" s="47">
        <v>0</v>
      </c>
      <c r="AN77" s="47"/>
      <c r="AO77" s="52">
        <f t="shared" si="13"/>
        <v>0</v>
      </c>
      <c r="AP77" s="52"/>
      <c r="AQ77" s="47">
        <v>0</v>
      </c>
      <c r="AR77" s="47"/>
      <c r="AS77" s="47">
        <v>0</v>
      </c>
      <c r="AT77" s="47"/>
      <c r="AU77" s="47">
        <f t="shared" si="14"/>
        <v>0</v>
      </c>
      <c r="AV77" s="50"/>
      <c r="AW77" s="95" t="s">
        <v>185</v>
      </c>
      <c r="AX77" s="50"/>
      <c r="AY77" s="47">
        <v>0</v>
      </c>
      <c r="AZ77" s="47"/>
      <c r="BA77" s="47">
        <v>0</v>
      </c>
      <c r="BB77" s="47"/>
      <c r="BC77" s="47">
        <v>0</v>
      </c>
      <c r="BD77" s="47"/>
      <c r="BE77" s="47">
        <v>0</v>
      </c>
      <c r="BF77" s="47"/>
      <c r="BG77" s="47">
        <f t="shared" si="15"/>
        <v>0</v>
      </c>
      <c r="BH77" s="1"/>
    </row>
    <row r="78" spans="1:60" ht="12.75">
      <c r="A78" s="40" t="s">
        <v>141</v>
      </c>
      <c r="B78" s="50"/>
      <c r="C78" s="51">
        <f t="shared" si="8"/>
        <v>0</v>
      </c>
      <c r="D78" s="51"/>
      <c r="E78" s="51">
        <v>0</v>
      </c>
      <c r="F78" s="51"/>
      <c r="G78" s="51">
        <v>0</v>
      </c>
      <c r="H78" s="51"/>
      <c r="I78" s="51">
        <f t="shared" si="9"/>
        <v>0</v>
      </c>
      <c r="J78" s="51"/>
      <c r="K78" s="51">
        <f t="shared" si="10"/>
        <v>0</v>
      </c>
      <c r="L78" s="51"/>
      <c r="M78" s="51">
        <v>0</v>
      </c>
      <c r="N78" s="51"/>
      <c r="O78" s="51">
        <v>0</v>
      </c>
      <c r="P78" s="51"/>
      <c r="Q78" s="51">
        <v>0</v>
      </c>
      <c r="R78" s="51"/>
      <c r="S78" s="51">
        <v>0</v>
      </c>
      <c r="T78" s="51"/>
      <c r="U78" s="51">
        <f t="shared" si="11"/>
        <v>0</v>
      </c>
      <c r="V78" s="50"/>
      <c r="W78" s="95" t="s">
        <v>141</v>
      </c>
      <c r="X78" s="50"/>
      <c r="Y78" s="47">
        <v>0</v>
      </c>
      <c r="Z78" s="47"/>
      <c r="AA78" s="47">
        <v>0</v>
      </c>
      <c r="AB78" s="47"/>
      <c r="AC78" s="47">
        <v>0</v>
      </c>
      <c r="AD78" s="47"/>
      <c r="AE78" s="52">
        <f t="shared" si="12"/>
        <v>0</v>
      </c>
      <c r="AF78" s="52"/>
      <c r="AG78" s="52">
        <v>0</v>
      </c>
      <c r="AH78" s="52"/>
      <c r="AI78" s="47">
        <v>0</v>
      </c>
      <c r="AJ78" s="47"/>
      <c r="AK78" s="47">
        <v>0</v>
      </c>
      <c r="AL78" s="47"/>
      <c r="AM78" s="47">
        <v>0</v>
      </c>
      <c r="AN78" s="47"/>
      <c r="AO78" s="52">
        <f t="shared" si="13"/>
        <v>0</v>
      </c>
      <c r="AP78" s="52"/>
      <c r="AQ78" s="47">
        <v>0</v>
      </c>
      <c r="AR78" s="47"/>
      <c r="AS78" s="47">
        <v>0</v>
      </c>
      <c r="AT78" s="47"/>
      <c r="AU78" s="47">
        <f t="shared" si="14"/>
        <v>0</v>
      </c>
      <c r="AV78" s="50"/>
      <c r="AW78" s="95" t="s">
        <v>141</v>
      </c>
      <c r="AX78" s="50"/>
      <c r="AY78" s="47">
        <v>0</v>
      </c>
      <c r="AZ78" s="47"/>
      <c r="BA78" s="47">
        <v>0</v>
      </c>
      <c r="BB78" s="47"/>
      <c r="BC78" s="47">
        <v>0</v>
      </c>
      <c r="BD78" s="47"/>
      <c r="BE78" s="47">
        <v>0</v>
      </c>
      <c r="BF78" s="47"/>
      <c r="BG78" s="47">
        <f t="shared" si="15"/>
        <v>0</v>
      </c>
      <c r="BH78" s="1"/>
    </row>
    <row r="79" spans="1:60" ht="12.75">
      <c r="A79" s="40" t="s">
        <v>70</v>
      </c>
      <c r="B79" s="50"/>
      <c r="C79" s="51">
        <f t="shared" si="8"/>
        <v>0</v>
      </c>
      <c r="D79" s="51"/>
      <c r="E79" s="51">
        <v>0</v>
      </c>
      <c r="F79" s="51"/>
      <c r="G79" s="51">
        <v>0</v>
      </c>
      <c r="H79" s="51"/>
      <c r="I79" s="51">
        <f t="shared" si="9"/>
        <v>0</v>
      </c>
      <c r="J79" s="51"/>
      <c r="K79" s="51">
        <f t="shared" si="10"/>
        <v>0</v>
      </c>
      <c r="L79" s="51"/>
      <c r="M79" s="51">
        <v>0</v>
      </c>
      <c r="N79" s="51"/>
      <c r="O79" s="51">
        <v>0</v>
      </c>
      <c r="P79" s="51"/>
      <c r="Q79" s="51">
        <v>0</v>
      </c>
      <c r="R79" s="51"/>
      <c r="S79" s="51">
        <v>0</v>
      </c>
      <c r="T79" s="51"/>
      <c r="U79" s="51">
        <f t="shared" si="11"/>
        <v>0</v>
      </c>
      <c r="V79" s="50"/>
      <c r="W79" s="95" t="s">
        <v>70</v>
      </c>
      <c r="X79" s="50"/>
      <c r="Y79" s="47">
        <v>0</v>
      </c>
      <c r="Z79" s="47"/>
      <c r="AA79" s="47">
        <v>0</v>
      </c>
      <c r="AB79" s="47"/>
      <c r="AC79" s="47">
        <v>0</v>
      </c>
      <c r="AD79" s="47"/>
      <c r="AE79" s="52">
        <f t="shared" si="12"/>
        <v>0</v>
      </c>
      <c r="AF79" s="52"/>
      <c r="AG79" s="52">
        <v>0</v>
      </c>
      <c r="AH79" s="52"/>
      <c r="AI79" s="47">
        <v>0</v>
      </c>
      <c r="AJ79" s="47"/>
      <c r="AK79" s="47">
        <v>0</v>
      </c>
      <c r="AL79" s="47"/>
      <c r="AM79" s="47">
        <v>0</v>
      </c>
      <c r="AN79" s="47"/>
      <c r="AO79" s="52">
        <f t="shared" si="13"/>
        <v>0</v>
      </c>
      <c r="AP79" s="52"/>
      <c r="AQ79" s="47">
        <v>0</v>
      </c>
      <c r="AR79" s="47"/>
      <c r="AS79" s="47">
        <v>0</v>
      </c>
      <c r="AT79" s="47"/>
      <c r="AU79" s="47">
        <f t="shared" si="14"/>
        <v>0</v>
      </c>
      <c r="AV79" s="50"/>
      <c r="AW79" s="95" t="s">
        <v>70</v>
      </c>
      <c r="AX79" s="50"/>
      <c r="AY79" s="47">
        <v>0</v>
      </c>
      <c r="AZ79" s="47"/>
      <c r="BA79" s="47">
        <v>0</v>
      </c>
      <c r="BB79" s="47"/>
      <c r="BC79" s="47">
        <v>0</v>
      </c>
      <c r="BD79" s="47"/>
      <c r="BE79" s="47">
        <v>0</v>
      </c>
      <c r="BF79" s="47"/>
      <c r="BG79" s="47">
        <f t="shared" si="15"/>
        <v>0</v>
      </c>
      <c r="BH79" s="1"/>
    </row>
    <row r="80" spans="1:60" ht="12.75">
      <c r="A80" s="40" t="s">
        <v>99</v>
      </c>
      <c r="B80" s="50"/>
      <c r="C80" s="51">
        <f t="shared" si="8"/>
        <v>0</v>
      </c>
      <c r="D80" s="51"/>
      <c r="E80" s="51">
        <v>0</v>
      </c>
      <c r="F80" s="51"/>
      <c r="G80" s="51">
        <v>0</v>
      </c>
      <c r="H80" s="51"/>
      <c r="I80" s="51">
        <f t="shared" si="9"/>
        <v>0</v>
      </c>
      <c r="J80" s="51"/>
      <c r="K80" s="51">
        <f t="shared" si="10"/>
        <v>0</v>
      </c>
      <c r="L80" s="51"/>
      <c r="M80" s="51">
        <v>0</v>
      </c>
      <c r="N80" s="51"/>
      <c r="O80" s="51">
        <v>0</v>
      </c>
      <c r="P80" s="51"/>
      <c r="Q80" s="51">
        <v>0</v>
      </c>
      <c r="R80" s="51"/>
      <c r="S80" s="51">
        <v>0</v>
      </c>
      <c r="T80" s="51"/>
      <c r="U80" s="51">
        <f t="shared" si="11"/>
        <v>0</v>
      </c>
      <c r="V80" s="50"/>
      <c r="W80" s="95" t="s">
        <v>99</v>
      </c>
      <c r="X80" s="50"/>
      <c r="Y80" s="47">
        <v>0</v>
      </c>
      <c r="Z80" s="47"/>
      <c r="AA80" s="47">
        <v>0</v>
      </c>
      <c r="AB80" s="47"/>
      <c r="AC80" s="47">
        <v>0</v>
      </c>
      <c r="AD80" s="47"/>
      <c r="AE80" s="52">
        <f t="shared" si="12"/>
        <v>0</v>
      </c>
      <c r="AF80" s="52"/>
      <c r="AG80" s="52">
        <v>0</v>
      </c>
      <c r="AH80" s="52"/>
      <c r="AI80" s="47">
        <v>0</v>
      </c>
      <c r="AJ80" s="47"/>
      <c r="AK80" s="47">
        <v>0</v>
      </c>
      <c r="AL80" s="47"/>
      <c r="AM80" s="47">
        <v>0</v>
      </c>
      <c r="AN80" s="47"/>
      <c r="AO80" s="52">
        <f t="shared" si="13"/>
        <v>0</v>
      </c>
      <c r="AP80" s="52"/>
      <c r="AQ80" s="47">
        <v>0</v>
      </c>
      <c r="AR80" s="47"/>
      <c r="AS80" s="47">
        <v>0</v>
      </c>
      <c r="AT80" s="47"/>
      <c r="AU80" s="47">
        <f t="shared" si="14"/>
        <v>0</v>
      </c>
      <c r="AV80" s="50"/>
      <c r="AW80" s="95" t="s">
        <v>99</v>
      </c>
      <c r="AX80" s="50"/>
      <c r="AY80" s="47">
        <v>0</v>
      </c>
      <c r="AZ80" s="47"/>
      <c r="BA80" s="47">
        <v>0</v>
      </c>
      <c r="BB80" s="47"/>
      <c r="BC80" s="47">
        <v>0</v>
      </c>
      <c r="BD80" s="47"/>
      <c r="BE80" s="47">
        <v>0</v>
      </c>
      <c r="BF80" s="47"/>
      <c r="BG80" s="47">
        <f t="shared" si="15"/>
        <v>0</v>
      </c>
      <c r="BH80" s="1"/>
    </row>
    <row r="81" spans="1:60" ht="12.75">
      <c r="A81" s="40" t="s">
        <v>71</v>
      </c>
      <c r="B81" s="50"/>
      <c r="C81" s="51">
        <f t="shared" si="8"/>
        <v>0</v>
      </c>
      <c r="D81" s="51"/>
      <c r="E81" s="51">
        <v>0</v>
      </c>
      <c r="F81" s="51"/>
      <c r="G81" s="51">
        <v>0</v>
      </c>
      <c r="H81" s="51"/>
      <c r="I81" s="51">
        <f t="shared" si="9"/>
        <v>0</v>
      </c>
      <c r="J81" s="51"/>
      <c r="K81" s="51">
        <f t="shared" si="10"/>
        <v>0</v>
      </c>
      <c r="L81" s="51"/>
      <c r="M81" s="51">
        <v>0</v>
      </c>
      <c r="N81" s="51"/>
      <c r="O81" s="51">
        <v>0</v>
      </c>
      <c r="P81" s="51"/>
      <c r="Q81" s="51">
        <v>0</v>
      </c>
      <c r="R81" s="51"/>
      <c r="S81" s="51">
        <v>0</v>
      </c>
      <c r="T81" s="51"/>
      <c r="U81" s="51">
        <f t="shared" si="11"/>
        <v>0</v>
      </c>
      <c r="V81" s="50"/>
      <c r="W81" s="95" t="s">
        <v>71</v>
      </c>
      <c r="X81" s="50"/>
      <c r="Y81" s="47">
        <v>0</v>
      </c>
      <c r="Z81" s="47"/>
      <c r="AA81" s="47">
        <v>0</v>
      </c>
      <c r="AB81" s="47"/>
      <c r="AC81" s="47">
        <v>0</v>
      </c>
      <c r="AD81" s="47"/>
      <c r="AE81" s="52">
        <f t="shared" si="12"/>
        <v>0</v>
      </c>
      <c r="AF81" s="52"/>
      <c r="AG81" s="52">
        <v>0</v>
      </c>
      <c r="AH81" s="52"/>
      <c r="AI81" s="47">
        <v>0</v>
      </c>
      <c r="AJ81" s="47"/>
      <c r="AK81" s="47">
        <v>0</v>
      </c>
      <c r="AL81" s="47"/>
      <c r="AM81" s="47">
        <v>0</v>
      </c>
      <c r="AN81" s="47"/>
      <c r="AO81" s="52">
        <f t="shared" si="13"/>
        <v>0</v>
      </c>
      <c r="AP81" s="52"/>
      <c r="AQ81" s="47">
        <v>0</v>
      </c>
      <c r="AR81" s="47"/>
      <c r="AS81" s="47">
        <v>0</v>
      </c>
      <c r="AT81" s="47"/>
      <c r="AU81" s="47">
        <f t="shared" si="14"/>
        <v>0</v>
      </c>
      <c r="AV81" s="50"/>
      <c r="AW81" s="95" t="s">
        <v>71</v>
      </c>
      <c r="AX81" s="50"/>
      <c r="AY81" s="47">
        <v>0</v>
      </c>
      <c r="AZ81" s="47"/>
      <c r="BA81" s="47">
        <v>0</v>
      </c>
      <c r="BB81" s="47"/>
      <c r="BC81" s="47">
        <v>0</v>
      </c>
      <c r="BD81" s="47"/>
      <c r="BE81" s="47">
        <v>0</v>
      </c>
      <c r="BF81" s="47"/>
      <c r="BG81" s="47">
        <f t="shared" si="15"/>
        <v>0</v>
      </c>
      <c r="BH81" s="1"/>
    </row>
    <row r="82" spans="1:60" ht="12.75">
      <c r="A82" s="40" t="s">
        <v>72</v>
      </c>
      <c r="B82" s="50"/>
      <c r="C82" s="51">
        <f t="shared" si="8"/>
        <v>0</v>
      </c>
      <c r="D82" s="51"/>
      <c r="E82" s="51">
        <v>0</v>
      </c>
      <c r="F82" s="51"/>
      <c r="G82" s="51">
        <v>0</v>
      </c>
      <c r="H82" s="51"/>
      <c r="I82" s="51">
        <f t="shared" si="9"/>
        <v>0</v>
      </c>
      <c r="J82" s="51"/>
      <c r="K82" s="51">
        <f t="shared" si="10"/>
        <v>0</v>
      </c>
      <c r="L82" s="51"/>
      <c r="M82" s="51">
        <v>0</v>
      </c>
      <c r="N82" s="51"/>
      <c r="O82" s="51">
        <v>0</v>
      </c>
      <c r="P82" s="51"/>
      <c r="Q82" s="51">
        <v>0</v>
      </c>
      <c r="R82" s="51"/>
      <c r="S82" s="51">
        <v>0</v>
      </c>
      <c r="T82" s="51"/>
      <c r="U82" s="51">
        <f t="shared" si="11"/>
        <v>0</v>
      </c>
      <c r="V82" s="50"/>
      <c r="W82" s="95" t="s">
        <v>72</v>
      </c>
      <c r="X82" s="50"/>
      <c r="Y82" s="47">
        <v>0</v>
      </c>
      <c r="Z82" s="47"/>
      <c r="AA82" s="47">
        <v>0</v>
      </c>
      <c r="AB82" s="47"/>
      <c r="AC82" s="47">
        <v>0</v>
      </c>
      <c r="AD82" s="47"/>
      <c r="AE82" s="52">
        <f t="shared" si="12"/>
        <v>0</v>
      </c>
      <c r="AF82" s="52"/>
      <c r="AG82" s="52">
        <v>0</v>
      </c>
      <c r="AH82" s="52"/>
      <c r="AI82" s="47">
        <v>0</v>
      </c>
      <c r="AJ82" s="47"/>
      <c r="AK82" s="47">
        <v>0</v>
      </c>
      <c r="AL82" s="47"/>
      <c r="AM82" s="47">
        <v>0</v>
      </c>
      <c r="AN82" s="47"/>
      <c r="AO82" s="52">
        <f t="shared" si="13"/>
        <v>0</v>
      </c>
      <c r="AP82" s="52"/>
      <c r="AQ82" s="47">
        <v>0</v>
      </c>
      <c r="AR82" s="47"/>
      <c r="AS82" s="47">
        <v>0</v>
      </c>
      <c r="AT82" s="47"/>
      <c r="AU82" s="47">
        <f t="shared" si="14"/>
        <v>0</v>
      </c>
      <c r="AV82" s="50"/>
      <c r="AW82" s="95" t="s">
        <v>72</v>
      </c>
      <c r="AX82" s="50"/>
      <c r="AY82" s="47">
        <v>0</v>
      </c>
      <c r="AZ82" s="47"/>
      <c r="BA82" s="47">
        <v>0</v>
      </c>
      <c r="BB82" s="47"/>
      <c r="BC82" s="47">
        <v>0</v>
      </c>
      <c r="BD82" s="47"/>
      <c r="BE82" s="47">
        <v>0</v>
      </c>
      <c r="BF82" s="47"/>
      <c r="BG82" s="47">
        <f t="shared" si="15"/>
        <v>0</v>
      </c>
      <c r="BH82" s="1"/>
    </row>
    <row r="83" spans="1:60" ht="12.75">
      <c r="A83" s="40" t="s">
        <v>73</v>
      </c>
      <c r="B83" s="50"/>
      <c r="C83" s="51">
        <f t="shared" si="8"/>
        <v>0</v>
      </c>
      <c r="D83" s="51"/>
      <c r="E83" s="51">
        <v>0</v>
      </c>
      <c r="F83" s="51"/>
      <c r="G83" s="51">
        <v>0</v>
      </c>
      <c r="H83" s="51"/>
      <c r="I83" s="51">
        <f t="shared" si="9"/>
        <v>0</v>
      </c>
      <c r="J83" s="51"/>
      <c r="K83" s="51">
        <f t="shared" si="10"/>
        <v>0</v>
      </c>
      <c r="L83" s="51"/>
      <c r="M83" s="51">
        <v>0</v>
      </c>
      <c r="N83" s="51"/>
      <c r="O83" s="51">
        <v>0</v>
      </c>
      <c r="P83" s="51"/>
      <c r="Q83" s="51">
        <v>0</v>
      </c>
      <c r="R83" s="51"/>
      <c r="S83" s="51">
        <v>0</v>
      </c>
      <c r="T83" s="51"/>
      <c r="U83" s="51">
        <f t="shared" si="11"/>
        <v>0</v>
      </c>
      <c r="V83" s="51"/>
      <c r="W83" s="95" t="s">
        <v>73</v>
      </c>
      <c r="X83" s="51"/>
      <c r="Y83" s="47">
        <v>0</v>
      </c>
      <c r="Z83" s="47"/>
      <c r="AA83" s="47">
        <v>0</v>
      </c>
      <c r="AB83" s="47"/>
      <c r="AC83" s="47">
        <v>0</v>
      </c>
      <c r="AD83" s="47"/>
      <c r="AE83" s="52">
        <f t="shared" si="12"/>
        <v>0</v>
      </c>
      <c r="AF83" s="52"/>
      <c r="AG83" s="52">
        <v>0</v>
      </c>
      <c r="AH83" s="52"/>
      <c r="AI83" s="47">
        <v>0</v>
      </c>
      <c r="AJ83" s="47"/>
      <c r="AK83" s="47">
        <v>0</v>
      </c>
      <c r="AL83" s="47"/>
      <c r="AM83" s="47">
        <v>0</v>
      </c>
      <c r="AN83" s="47"/>
      <c r="AO83" s="52">
        <f t="shared" si="13"/>
        <v>0</v>
      </c>
      <c r="AP83" s="52"/>
      <c r="AQ83" s="47">
        <v>0</v>
      </c>
      <c r="AR83" s="47"/>
      <c r="AS83" s="47">
        <v>0</v>
      </c>
      <c r="AT83" s="47"/>
      <c r="AU83" s="47">
        <f t="shared" si="14"/>
        <v>0</v>
      </c>
      <c r="AV83" s="47"/>
      <c r="AW83" s="95" t="s">
        <v>73</v>
      </c>
      <c r="AX83" s="47"/>
      <c r="AY83" s="47">
        <v>0</v>
      </c>
      <c r="AZ83" s="47"/>
      <c r="BA83" s="47">
        <v>0</v>
      </c>
      <c r="BB83" s="47"/>
      <c r="BC83" s="47">
        <v>0</v>
      </c>
      <c r="BD83" s="47"/>
      <c r="BE83" s="47">
        <v>0</v>
      </c>
      <c r="BF83" s="47"/>
      <c r="BG83" s="47">
        <f t="shared" si="15"/>
        <v>0</v>
      </c>
      <c r="BH83" s="1"/>
    </row>
    <row r="84" spans="1:60" ht="12.75">
      <c r="A84" s="40" t="s">
        <v>74</v>
      </c>
      <c r="B84" s="50"/>
      <c r="C84" s="51">
        <f aca="true" t="shared" si="16" ref="C84:C96">G84-E84</f>
        <v>0</v>
      </c>
      <c r="D84" s="51"/>
      <c r="E84" s="51">
        <v>0</v>
      </c>
      <c r="F84" s="51"/>
      <c r="G84" s="51">
        <v>0</v>
      </c>
      <c r="H84" s="51"/>
      <c r="I84" s="51">
        <f aca="true" t="shared" si="17" ref="I84:I96">M84-K84</f>
        <v>0</v>
      </c>
      <c r="J84" s="51"/>
      <c r="K84" s="51">
        <f aca="true" t="shared" si="18" ref="K84:K96">SUM(BG84)</f>
        <v>0</v>
      </c>
      <c r="L84" s="51"/>
      <c r="M84" s="51">
        <v>0</v>
      </c>
      <c r="N84" s="51"/>
      <c r="O84" s="51">
        <v>0</v>
      </c>
      <c r="P84" s="51"/>
      <c r="Q84" s="51">
        <v>0</v>
      </c>
      <c r="R84" s="51"/>
      <c r="S84" s="51">
        <v>0</v>
      </c>
      <c r="T84" s="51"/>
      <c r="U84" s="51">
        <f aca="true" t="shared" si="19" ref="U84:U96">SUM(O84:S84)</f>
        <v>0</v>
      </c>
      <c r="V84" s="50"/>
      <c r="W84" s="95" t="s">
        <v>74</v>
      </c>
      <c r="X84" s="50"/>
      <c r="Y84" s="47">
        <v>0</v>
      </c>
      <c r="Z84" s="47"/>
      <c r="AA84" s="47">
        <v>0</v>
      </c>
      <c r="AB84" s="47"/>
      <c r="AC84" s="47">
        <v>0</v>
      </c>
      <c r="AD84" s="47"/>
      <c r="AE84" s="52">
        <f aca="true" t="shared" si="20" ref="AE84:AE96">+Y84-AA84-AC84</f>
        <v>0</v>
      </c>
      <c r="AF84" s="52"/>
      <c r="AG84" s="52">
        <v>0</v>
      </c>
      <c r="AH84" s="52"/>
      <c r="AI84" s="47">
        <v>0</v>
      </c>
      <c r="AJ84" s="47"/>
      <c r="AK84" s="47">
        <v>0</v>
      </c>
      <c r="AL84" s="47"/>
      <c r="AM84" s="47">
        <v>0</v>
      </c>
      <c r="AN84" s="47"/>
      <c r="AO84" s="52">
        <f aca="true" t="shared" si="21" ref="AO84:AO96">+AE84+AG84+AI84-AK84+AM84</f>
        <v>0</v>
      </c>
      <c r="AP84" s="52"/>
      <c r="AQ84" s="47">
        <v>0</v>
      </c>
      <c r="AR84" s="47"/>
      <c r="AS84" s="47">
        <v>0</v>
      </c>
      <c r="AT84" s="47"/>
      <c r="AU84" s="47">
        <f aca="true" t="shared" si="22" ref="AU84:AU96">+C84-I84</f>
        <v>0</v>
      </c>
      <c r="AV84" s="50"/>
      <c r="AW84" s="95" t="s">
        <v>74</v>
      </c>
      <c r="AX84" s="50"/>
      <c r="AY84" s="47">
        <v>0</v>
      </c>
      <c r="AZ84" s="47"/>
      <c r="BA84" s="47">
        <v>0</v>
      </c>
      <c r="BB84" s="47"/>
      <c r="BC84" s="47">
        <v>0</v>
      </c>
      <c r="BD84" s="47"/>
      <c r="BE84" s="47">
        <v>0</v>
      </c>
      <c r="BF84" s="47"/>
      <c r="BG84" s="47">
        <f t="shared" si="15"/>
        <v>0</v>
      </c>
      <c r="BH84" s="1"/>
    </row>
    <row r="85" spans="1:60" ht="12.75">
      <c r="A85" s="40" t="s">
        <v>75</v>
      </c>
      <c r="B85" s="50"/>
      <c r="C85" s="51">
        <f t="shared" si="16"/>
        <v>0</v>
      </c>
      <c r="D85" s="51"/>
      <c r="E85" s="51">
        <v>0</v>
      </c>
      <c r="F85" s="51"/>
      <c r="G85" s="51">
        <v>0</v>
      </c>
      <c r="H85" s="51"/>
      <c r="I85" s="51">
        <f t="shared" si="17"/>
        <v>0</v>
      </c>
      <c r="J85" s="51"/>
      <c r="K85" s="51">
        <f t="shared" si="18"/>
        <v>0</v>
      </c>
      <c r="L85" s="51"/>
      <c r="M85" s="51">
        <v>0</v>
      </c>
      <c r="N85" s="51"/>
      <c r="O85" s="51">
        <v>0</v>
      </c>
      <c r="P85" s="51"/>
      <c r="Q85" s="51">
        <v>0</v>
      </c>
      <c r="R85" s="51"/>
      <c r="S85" s="51">
        <v>0</v>
      </c>
      <c r="T85" s="51"/>
      <c r="U85" s="51">
        <f t="shared" si="19"/>
        <v>0</v>
      </c>
      <c r="V85" s="50"/>
      <c r="W85" s="95" t="s">
        <v>75</v>
      </c>
      <c r="X85" s="50"/>
      <c r="Y85" s="47">
        <v>0</v>
      </c>
      <c r="Z85" s="47"/>
      <c r="AA85" s="47">
        <v>0</v>
      </c>
      <c r="AB85" s="47"/>
      <c r="AC85" s="47">
        <v>0</v>
      </c>
      <c r="AD85" s="47"/>
      <c r="AE85" s="52">
        <f t="shared" si="20"/>
        <v>0</v>
      </c>
      <c r="AF85" s="52"/>
      <c r="AG85" s="52">
        <v>0</v>
      </c>
      <c r="AH85" s="52"/>
      <c r="AI85" s="47">
        <v>0</v>
      </c>
      <c r="AJ85" s="47"/>
      <c r="AK85" s="47">
        <v>0</v>
      </c>
      <c r="AL85" s="47"/>
      <c r="AM85" s="47">
        <v>0</v>
      </c>
      <c r="AN85" s="47"/>
      <c r="AO85" s="52">
        <f t="shared" si="21"/>
        <v>0</v>
      </c>
      <c r="AP85" s="52"/>
      <c r="AQ85" s="47">
        <v>0</v>
      </c>
      <c r="AR85" s="47"/>
      <c r="AS85" s="47">
        <v>0</v>
      </c>
      <c r="AT85" s="47"/>
      <c r="AU85" s="47">
        <f t="shared" si="22"/>
        <v>0</v>
      </c>
      <c r="AV85" s="50"/>
      <c r="AW85" s="95" t="s">
        <v>75</v>
      </c>
      <c r="AX85" s="50"/>
      <c r="AY85" s="47">
        <v>0</v>
      </c>
      <c r="AZ85" s="47"/>
      <c r="BA85" s="47">
        <v>0</v>
      </c>
      <c r="BB85" s="47"/>
      <c r="BC85" s="47">
        <v>0</v>
      </c>
      <c r="BD85" s="47"/>
      <c r="BE85" s="47">
        <v>0</v>
      </c>
      <c r="BF85" s="47"/>
      <c r="BG85" s="47">
        <f aca="true" t="shared" si="23" ref="BG85:BG96">SUM(AY85:BE85)</f>
        <v>0</v>
      </c>
      <c r="BH85" s="1"/>
    </row>
    <row r="86" spans="1:60" ht="12.75">
      <c r="A86" s="40" t="s">
        <v>76</v>
      </c>
      <c r="B86" s="50"/>
      <c r="C86" s="51">
        <f t="shared" si="16"/>
        <v>0</v>
      </c>
      <c r="D86" s="51"/>
      <c r="E86" s="51">
        <v>0</v>
      </c>
      <c r="F86" s="51"/>
      <c r="G86" s="51">
        <v>0</v>
      </c>
      <c r="H86" s="51"/>
      <c r="I86" s="51">
        <f t="shared" si="17"/>
        <v>0</v>
      </c>
      <c r="J86" s="51"/>
      <c r="K86" s="51">
        <f t="shared" si="18"/>
        <v>0</v>
      </c>
      <c r="L86" s="51"/>
      <c r="M86" s="51">
        <v>0</v>
      </c>
      <c r="N86" s="51"/>
      <c r="O86" s="51">
        <v>0</v>
      </c>
      <c r="P86" s="51"/>
      <c r="Q86" s="51">
        <v>0</v>
      </c>
      <c r="R86" s="51"/>
      <c r="S86" s="51">
        <v>0</v>
      </c>
      <c r="T86" s="51"/>
      <c r="U86" s="51">
        <f t="shared" si="19"/>
        <v>0</v>
      </c>
      <c r="V86" s="50"/>
      <c r="W86" s="95" t="s">
        <v>76</v>
      </c>
      <c r="X86" s="50"/>
      <c r="Y86" s="47">
        <v>0</v>
      </c>
      <c r="Z86" s="47"/>
      <c r="AA86" s="47">
        <v>0</v>
      </c>
      <c r="AB86" s="47"/>
      <c r="AC86" s="47">
        <v>0</v>
      </c>
      <c r="AD86" s="47"/>
      <c r="AE86" s="52">
        <f t="shared" si="20"/>
        <v>0</v>
      </c>
      <c r="AF86" s="52"/>
      <c r="AG86" s="52">
        <v>0</v>
      </c>
      <c r="AH86" s="52"/>
      <c r="AI86" s="47">
        <v>0</v>
      </c>
      <c r="AJ86" s="47"/>
      <c r="AK86" s="47">
        <v>0</v>
      </c>
      <c r="AL86" s="47"/>
      <c r="AM86" s="47">
        <v>0</v>
      </c>
      <c r="AN86" s="47"/>
      <c r="AO86" s="52">
        <f t="shared" si="21"/>
        <v>0</v>
      </c>
      <c r="AP86" s="52"/>
      <c r="AQ86" s="47">
        <v>0</v>
      </c>
      <c r="AR86" s="47"/>
      <c r="AS86" s="47">
        <v>0</v>
      </c>
      <c r="AT86" s="47"/>
      <c r="AU86" s="47">
        <f t="shared" si="22"/>
        <v>0</v>
      </c>
      <c r="AV86" s="50"/>
      <c r="AW86" s="95" t="s">
        <v>76</v>
      </c>
      <c r="AX86" s="50"/>
      <c r="AY86" s="47">
        <v>0</v>
      </c>
      <c r="AZ86" s="47"/>
      <c r="BA86" s="47">
        <v>0</v>
      </c>
      <c r="BB86" s="47"/>
      <c r="BC86" s="47">
        <v>0</v>
      </c>
      <c r="BD86" s="47"/>
      <c r="BE86" s="47">
        <v>0</v>
      </c>
      <c r="BF86" s="47"/>
      <c r="BG86" s="47">
        <f t="shared" si="23"/>
        <v>0</v>
      </c>
      <c r="BH86" s="1"/>
    </row>
    <row r="87" spans="1:60" ht="12.75">
      <c r="A87" s="40" t="s">
        <v>77</v>
      </c>
      <c r="B87" s="50"/>
      <c r="C87" s="51">
        <f t="shared" si="16"/>
        <v>0</v>
      </c>
      <c r="D87" s="51"/>
      <c r="E87" s="51">
        <v>0</v>
      </c>
      <c r="F87" s="51"/>
      <c r="G87" s="51">
        <v>0</v>
      </c>
      <c r="H87" s="51"/>
      <c r="I87" s="51">
        <f t="shared" si="17"/>
        <v>0</v>
      </c>
      <c r="J87" s="51"/>
      <c r="K87" s="51">
        <f t="shared" si="18"/>
        <v>0</v>
      </c>
      <c r="L87" s="51"/>
      <c r="M87" s="51">
        <v>0</v>
      </c>
      <c r="N87" s="51"/>
      <c r="O87" s="51">
        <v>0</v>
      </c>
      <c r="P87" s="51"/>
      <c r="Q87" s="51">
        <v>0</v>
      </c>
      <c r="R87" s="51"/>
      <c r="S87" s="51">
        <v>0</v>
      </c>
      <c r="T87" s="51"/>
      <c r="U87" s="51">
        <f t="shared" si="19"/>
        <v>0</v>
      </c>
      <c r="V87" s="50"/>
      <c r="W87" s="95" t="s">
        <v>77</v>
      </c>
      <c r="X87" s="50"/>
      <c r="Y87" s="47">
        <v>0</v>
      </c>
      <c r="Z87" s="47"/>
      <c r="AA87" s="47">
        <v>0</v>
      </c>
      <c r="AB87" s="47"/>
      <c r="AC87" s="47">
        <v>0</v>
      </c>
      <c r="AD87" s="47"/>
      <c r="AE87" s="52">
        <f t="shared" si="20"/>
        <v>0</v>
      </c>
      <c r="AF87" s="52"/>
      <c r="AG87" s="52">
        <v>0</v>
      </c>
      <c r="AH87" s="52"/>
      <c r="AI87" s="47">
        <v>0</v>
      </c>
      <c r="AJ87" s="47"/>
      <c r="AK87" s="47">
        <v>0</v>
      </c>
      <c r="AL87" s="47"/>
      <c r="AM87" s="47">
        <v>0</v>
      </c>
      <c r="AN87" s="47"/>
      <c r="AO87" s="52">
        <f t="shared" si="21"/>
        <v>0</v>
      </c>
      <c r="AP87" s="52"/>
      <c r="AQ87" s="47">
        <v>0</v>
      </c>
      <c r="AR87" s="47"/>
      <c r="AS87" s="47">
        <v>0</v>
      </c>
      <c r="AT87" s="47"/>
      <c r="AU87" s="47">
        <f t="shared" si="22"/>
        <v>0</v>
      </c>
      <c r="AV87" s="50"/>
      <c r="AW87" s="95" t="s">
        <v>77</v>
      </c>
      <c r="AX87" s="50"/>
      <c r="AY87" s="47">
        <v>0</v>
      </c>
      <c r="AZ87" s="47"/>
      <c r="BA87" s="47">
        <v>0</v>
      </c>
      <c r="BB87" s="47"/>
      <c r="BC87" s="47">
        <v>0</v>
      </c>
      <c r="BD87" s="47"/>
      <c r="BE87" s="47">
        <v>0</v>
      </c>
      <c r="BF87" s="47"/>
      <c r="BG87" s="47">
        <f t="shared" si="23"/>
        <v>0</v>
      </c>
      <c r="BH87" s="1"/>
    </row>
    <row r="88" spans="1:60" ht="12.75">
      <c r="A88" s="40" t="s">
        <v>78</v>
      </c>
      <c r="B88" s="50"/>
      <c r="C88" s="51">
        <f t="shared" si="16"/>
        <v>0</v>
      </c>
      <c r="D88" s="51"/>
      <c r="E88" s="51">
        <v>0</v>
      </c>
      <c r="F88" s="51"/>
      <c r="G88" s="51">
        <v>0</v>
      </c>
      <c r="H88" s="51"/>
      <c r="I88" s="51">
        <f t="shared" si="17"/>
        <v>0</v>
      </c>
      <c r="J88" s="51"/>
      <c r="K88" s="51">
        <f t="shared" si="18"/>
        <v>0</v>
      </c>
      <c r="L88" s="51"/>
      <c r="M88" s="51">
        <v>0</v>
      </c>
      <c r="N88" s="51"/>
      <c r="O88" s="51">
        <v>0</v>
      </c>
      <c r="P88" s="51"/>
      <c r="Q88" s="51">
        <v>0</v>
      </c>
      <c r="R88" s="51"/>
      <c r="S88" s="51">
        <v>0</v>
      </c>
      <c r="T88" s="51"/>
      <c r="U88" s="51">
        <f t="shared" si="19"/>
        <v>0</v>
      </c>
      <c r="V88" s="50"/>
      <c r="W88" s="95" t="s">
        <v>78</v>
      </c>
      <c r="X88" s="50"/>
      <c r="Y88" s="47">
        <v>0</v>
      </c>
      <c r="Z88" s="47"/>
      <c r="AA88" s="47">
        <v>0</v>
      </c>
      <c r="AB88" s="47"/>
      <c r="AC88" s="47">
        <v>0</v>
      </c>
      <c r="AD88" s="47"/>
      <c r="AE88" s="52">
        <f t="shared" si="20"/>
        <v>0</v>
      </c>
      <c r="AF88" s="52"/>
      <c r="AG88" s="52">
        <v>0</v>
      </c>
      <c r="AH88" s="52"/>
      <c r="AI88" s="47">
        <v>0</v>
      </c>
      <c r="AJ88" s="47"/>
      <c r="AK88" s="47">
        <v>0</v>
      </c>
      <c r="AL88" s="47"/>
      <c r="AM88" s="47">
        <v>0</v>
      </c>
      <c r="AN88" s="47"/>
      <c r="AO88" s="52">
        <f t="shared" si="21"/>
        <v>0</v>
      </c>
      <c r="AP88" s="52"/>
      <c r="AQ88" s="47">
        <v>0</v>
      </c>
      <c r="AR88" s="47"/>
      <c r="AS88" s="47">
        <v>0</v>
      </c>
      <c r="AT88" s="47"/>
      <c r="AU88" s="47">
        <f t="shared" si="22"/>
        <v>0</v>
      </c>
      <c r="AV88" s="50"/>
      <c r="AW88" s="95" t="s">
        <v>78</v>
      </c>
      <c r="AX88" s="50"/>
      <c r="AY88" s="47">
        <v>0</v>
      </c>
      <c r="AZ88" s="47"/>
      <c r="BA88" s="47">
        <v>0</v>
      </c>
      <c r="BB88" s="47"/>
      <c r="BC88" s="47">
        <v>0</v>
      </c>
      <c r="BD88" s="47"/>
      <c r="BE88" s="47">
        <v>0</v>
      </c>
      <c r="BF88" s="47"/>
      <c r="BG88" s="47">
        <f t="shared" si="23"/>
        <v>0</v>
      </c>
      <c r="BH88" s="1"/>
    </row>
    <row r="89" spans="1:60" ht="12.75">
      <c r="A89" s="40" t="s">
        <v>79</v>
      </c>
      <c r="B89" s="50"/>
      <c r="C89" s="51">
        <f t="shared" si="16"/>
        <v>0</v>
      </c>
      <c r="D89" s="51"/>
      <c r="E89" s="51">
        <v>0</v>
      </c>
      <c r="F89" s="51"/>
      <c r="G89" s="51">
        <v>0</v>
      </c>
      <c r="H89" s="51"/>
      <c r="I89" s="51">
        <f t="shared" si="17"/>
        <v>0</v>
      </c>
      <c r="J89" s="51"/>
      <c r="K89" s="51">
        <f t="shared" si="18"/>
        <v>0</v>
      </c>
      <c r="L89" s="51"/>
      <c r="M89" s="51">
        <v>0</v>
      </c>
      <c r="N89" s="51"/>
      <c r="O89" s="51">
        <v>0</v>
      </c>
      <c r="P89" s="51"/>
      <c r="Q89" s="51">
        <v>0</v>
      </c>
      <c r="R89" s="51"/>
      <c r="S89" s="51">
        <v>0</v>
      </c>
      <c r="T89" s="51"/>
      <c r="U89" s="51">
        <f t="shared" si="19"/>
        <v>0</v>
      </c>
      <c r="V89" s="50"/>
      <c r="W89" s="95" t="s">
        <v>79</v>
      </c>
      <c r="X89" s="50"/>
      <c r="Y89" s="47">
        <v>0</v>
      </c>
      <c r="Z89" s="47"/>
      <c r="AA89" s="47">
        <v>0</v>
      </c>
      <c r="AB89" s="47"/>
      <c r="AC89" s="47">
        <v>0</v>
      </c>
      <c r="AD89" s="47"/>
      <c r="AE89" s="52">
        <f t="shared" si="20"/>
        <v>0</v>
      </c>
      <c r="AF89" s="52"/>
      <c r="AG89" s="52">
        <v>0</v>
      </c>
      <c r="AH89" s="52"/>
      <c r="AI89" s="47">
        <v>0</v>
      </c>
      <c r="AJ89" s="47"/>
      <c r="AK89" s="47">
        <v>0</v>
      </c>
      <c r="AL89" s="47"/>
      <c r="AM89" s="47">
        <v>0</v>
      </c>
      <c r="AN89" s="47"/>
      <c r="AO89" s="52">
        <f t="shared" si="21"/>
        <v>0</v>
      </c>
      <c r="AP89" s="52"/>
      <c r="AQ89" s="47">
        <v>0</v>
      </c>
      <c r="AR89" s="47"/>
      <c r="AS89" s="47">
        <v>0</v>
      </c>
      <c r="AT89" s="47"/>
      <c r="AU89" s="47">
        <f t="shared" si="22"/>
        <v>0</v>
      </c>
      <c r="AV89" s="50"/>
      <c r="AW89" s="95" t="s">
        <v>79</v>
      </c>
      <c r="AX89" s="50"/>
      <c r="AY89" s="47">
        <v>0</v>
      </c>
      <c r="AZ89" s="47"/>
      <c r="BA89" s="47">
        <v>0</v>
      </c>
      <c r="BB89" s="47"/>
      <c r="BC89" s="47">
        <v>0</v>
      </c>
      <c r="BD89" s="47"/>
      <c r="BE89" s="47">
        <v>0</v>
      </c>
      <c r="BF89" s="47"/>
      <c r="BG89" s="47">
        <f t="shared" si="23"/>
        <v>0</v>
      </c>
      <c r="BH89" s="1"/>
    </row>
    <row r="90" spans="1:60" ht="12.75">
      <c r="A90" s="40" t="s">
        <v>80</v>
      </c>
      <c r="B90" s="50"/>
      <c r="C90" s="51">
        <f t="shared" si="16"/>
        <v>0</v>
      </c>
      <c r="D90" s="51"/>
      <c r="E90" s="51">
        <v>0</v>
      </c>
      <c r="F90" s="51"/>
      <c r="G90" s="51">
        <v>0</v>
      </c>
      <c r="H90" s="51"/>
      <c r="I90" s="51">
        <f t="shared" si="17"/>
        <v>0</v>
      </c>
      <c r="J90" s="51"/>
      <c r="K90" s="51">
        <f t="shared" si="18"/>
        <v>0</v>
      </c>
      <c r="L90" s="51"/>
      <c r="M90" s="51">
        <v>0</v>
      </c>
      <c r="N90" s="51"/>
      <c r="O90" s="51">
        <v>0</v>
      </c>
      <c r="P90" s="51"/>
      <c r="Q90" s="51">
        <v>0</v>
      </c>
      <c r="R90" s="51"/>
      <c r="S90" s="51">
        <v>0</v>
      </c>
      <c r="T90" s="51"/>
      <c r="U90" s="51">
        <f t="shared" si="19"/>
        <v>0</v>
      </c>
      <c r="V90" s="50"/>
      <c r="W90" s="95" t="s">
        <v>80</v>
      </c>
      <c r="X90" s="50"/>
      <c r="Y90" s="47">
        <v>0</v>
      </c>
      <c r="Z90" s="47"/>
      <c r="AA90" s="47">
        <v>0</v>
      </c>
      <c r="AB90" s="47"/>
      <c r="AC90" s="47">
        <v>0</v>
      </c>
      <c r="AD90" s="47"/>
      <c r="AE90" s="52">
        <f t="shared" si="20"/>
        <v>0</v>
      </c>
      <c r="AF90" s="52"/>
      <c r="AG90" s="52">
        <v>0</v>
      </c>
      <c r="AH90" s="52"/>
      <c r="AI90" s="47">
        <v>0</v>
      </c>
      <c r="AJ90" s="47"/>
      <c r="AK90" s="47">
        <v>0</v>
      </c>
      <c r="AL90" s="47"/>
      <c r="AM90" s="47">
        <v>0</v>
      </c>
      <c r="AN90" s="47"/>
      <c r="AO90" s="52">
        <f t="shared" si="21"/>
        <v>0</v>
      </c>
      <c r="AP90" s="52"/>
      <c r="AQ90" s="47">
        <v>0</v>
      </c>
      <c r="AR90" s="47"/>
      <c r="AS90" s="47">
        <v>0</v>
      </c>
      <c r="AT90" s="47"/>
      <c r="AU90" s="47">
        <f t="shared" si="22"/>
        <v>0</v>
      </c>
      <c r="AV90" s="50"/>
      <c r="AW90" s="95" t="s">
        <v>80</v>
      </c>
      <c r="AX90" s="50"/>
      <c r="AY90" s="47">
        <v>0</v>
      </c>
      <c r="AZ90" s="47"/>
      <c r="BA90" s="47">
        <v>0</v>
      </c>
      <c r="BB90" s="47"/>
      <c r="BC90" s="47">
        <v>0</v>
      </c>
      <c r="BD90" s="47"/>
      <c r="BE90" s="47">
        <v>0</v>
      </c>
      <c r="BF90" s="47"/>
      <c r="BG90" s="47">
        <f t="shared" si="23"/>
        <v>0</v>
      </c>
      <c r="BH90" s="1"/>
    </row>
    <row r="91" spans="1:60" ht="12.75">
      <c r="A91" s="40" t="s">
        <v>81</v>
      </c>
      <c r="B91" s="50"/>
      <c r="C91" s="51">
        <f t="shared" si="16"/>
        <v>0</v>
      </c>
      <c r="D91" s="51"/>
      <c r="E91" s="51">
        <v>0</v>
      </c>
      <c r="F91" s="51"/>
      <c r="G91" s="51">
        <v>0</v>
      </c>
      <c r="H91" s="51"/>
      <c r="I91" s="51">
        <f t="shared" si="17"/>
        <v>0</v>
      </c>
      <c r="J91" s="51"/>
      <c r="K91" s="51">
        <f t="shared" si="18"/>
        <v>0</v>
      </c>
      <c r="L91" s="51"/>
      <c r="M91" s="51">
        <v>0</v>
      </c>
      <c r="N91" s="51"/>
      <c r="O91" s="51">
        <v>0</v>
      </c>
      <c r="P91" s="51"/>
      <c r="Q91" s="51">
        <v>0</v>
      </c>
      <c r="R91" s="51"/>
      <c r="S91" s="51">
        <v>0</v>
      </c>
      <c r="T91" s="51"/>
      <c r="U91" s="51">
        <f t="shared" si="19"/>
        <v>0</v>
      </c>
      <c r="V91" s="50"/>
      <c r="W91" s="95" t="s">
        <v>81</v>
      </c>
      <c r="X91" s="50"/>
      <c r="Y91" s="47">
        <v>0</v>
      </c>
      <c r="Z91" s="47"/>
      <c r="AA91" s="47">
        <v>0</v>
      </c>
      <c r="AB91" s="47"/>
      <c r="AC91" s="47">
        <v>0</v>
      </c>
      <c r="AD91" s="47"/>
      <c r="AE91" s="52">
        <f t="shared" si="20"/>
        <v>0</v>
      </c>
      <c r="AF91" s="52"/>
      <c r="AG91" s="52">
        <v>0</v>
      </c>
      <c r="AH91" s="52"/>
      <c r="AI91" s="47">
        <v>0</v>
      </c>
      <c r="AJ91" s="47"/>
      <c r="AK91" s="47">
        <v>0</v>
      </c>
      <c r="AL91" s="47"/>
      <c r="AM91" s="47">
        <v>0</v>
      </c>
      <c r="AN91" s="47"/>
      <c r="AO91" s="52">
        <f t="shared" si="21"/>
        <v>0</v>
      </c>
      <c r="AP91" s="52"/>
      <c r="AQ91" s="47">
        <v>0</v>
      </c>
      <c r="AR91" s="47"/>
      <c r="AS91" s="47">
        <v>0</v>
      </c>
      <c r="AT91" s="47"/>
      <c r="AU91" s="47">
        <f t="shared" si="22"/>
        <v>0</v>
      </c>
      <c r="AV91" s="50"/>
      <c r="AW91" s="95" t="s">
        <v>81</v>
      </c>
      <c r="AX91" s="50"/>
      <c r="AY91" s="47">
        <v>0</v>
      </c>
      <c r="AZ91" s="47"/>
      <c r="BA91" s="47">
        <v>0</v>
      </c>
      <c r="BB91" s="47"/>
      <c r="BC91" s="47">
        <v>0</v>
      </c>
      <c r="BD91" s="47"/>
      <c r="BE91" s="47">
        <v>0</v>
      </c>
      <c r="BF91" s="47"/>
      <c r="BG91" s="47">
        <f t="shared" si="23"/>
        <v>0</v>
      </c>
      <c r="BH91" s="1"/>
    </row>
    <row r="92" spans="1:60" ht="12.75">
      <c r="A92" s="40" t="s">
        <v>82</v>
      </c>
      <c r="B92" s="50"/>
      <c r="C92" s="51">
        <f t="shared" si="16"/>
        <v>0</v>
      </c>
      <c r="D92" s="51"/>
      <c r="E92" s="51">
        <v>0</v>
      </c>
      <c r="F92" s="51"/>
      <c r="G92" s="51">
        <v>0</v>
      </c>
      <c r="H92" s="51"/>
      <c r="I92" s="51">
        <f t="shared" si="17"/>
        <v>0</v>
      </c>
      <c r="J92" s="51"/>
      <c r="K92" s="51">
        <f t="shared" si="18"/>
        <v>0</v>
      </c>
      <c r="L92" s="51"/>
      <c r="M92" s="51">
        <v>0</v>
      </c>
      <c r="N92" s="51"/>
      <c r="O92" s="51">
        <v>0</v>
      </c>
      <c r="P92" s="51"/>
      <c r="Q92" s="51">
        <v>0</v>
      </c>
      <c r="R92" s="51"/>
      <c r="S92" s="51">
        <v>0</v>
      </c>
      <c r="T92" s="51"/>
      <c r="U92" s="51">
        <f t="shared" si="19"/>
        <v>0</v>
      </c>
      <c r="V92" s="50"/>
      <c r="W92" s="95" t="s">
        <v>82</v>
      </c>
      <c r="X92" s="50"/>
      <c r="Y92" s="47">
        <v>0</v>
      </c>
      <c r="Z92" s="47"/>
      <c r="AA92" s="47">
        <v>0</v>
      </c>
      <c r="AB92" s="47"/>
      <c r="AC92" s="47">
        <v>0</v>
      </c>
      <c r="AD92" s="47"/>
      <c r="AE92" s="52">
        <f t="shared" si="20"/>
        <v>0</v>
      </c>
      <c r="AF92" s="52"/>
      <c r="AG92" s="52">
        <v>0</v>
      </c>
      <c r="AH92" s="52"/>
      <c r="AI92" s="47">
        <v>0</v>
      </c>
      <c r="AJ92" s="47"/>
      <c r="AK92" s="47">
        <v>0</v>
      </c>
      <c r="AL92" s="47"/>
      <c r="AM92" s="47">
        <v>0</v>
      </c>
      <c r="AN92" s="47"/>
      <c r="AO92" s="52">
        <f t="shared" si="21"/>
        <v>0</v>
      </c>
      <c r="AP92" s="52"/>
      <c r="AQ92" s="47">
        <v>0</v>
      </c>
      <c r="AR92" s="47"/>
      <c r="AS92" s="47">
        <v>0</v>
      </c>
      <c r="AT92" s="47"/>
      <c r="AU92" s="47">
        <f t="shared" si="22"/>
        <v>0</v>
      </c>
      <c r="AV92" s="50"/>
      <c r="AW92" s="95" t="s">
        <v>82</v>
      </c>
      <c r="AX92" s="50"/>
      <c r="AY92" s="47">
        <v>0</v>
      </c>
      <c r="AZ92" s="47"/>
      <c r="BA92" s="47">
        <v>0</v>
      </c>
      <c r="BB92" s="47"/>
      <c r="BC92" s="47">
        <v>0</v>
      </c>
      <c r="BD92" s="47"/>
      <c r="BE92" s="47">
        <v>0</v>
      </c>
      <c r="BF92" s="47"/>
      <c r="BG92" s="47">
        <f t="shared" si="23"/>
        <v>0</v>
      </c>
      <c r="BH92" s="1"/>
    </row>
    <row r="93" spans="1:60" ht="12.75">
      <c r="A93" s="40" t="s">
        <v>144</v>
      </c>
      <c r="B93" s="50"/>
      <c r="C93" s="51">
        <f t="shared" si="16"/>
        <v>0</v>
      </c>
      <c r="D93" s="51"/>
      <c r="E93" s="51">
        <v>0</v>
      </c>
      <c r="F93" s="51"/>
      <c r="G93" s="51">
        <v>0</v>
      </c>
      <c r="H93" s="51"/>
      <c r="I93" s="51">
        <f t="shared" si="17"/>
        <v>0</v>
      </c>
      <c r="J93" s="51"/>
      <c r="K93" s="51">
        <f t="shared" si="18"/>
        <v>0</v>
      </c>
      <c r="L93" s="51"/>
      <c r="M93" s="51">
        <v>0</v>
      </c>
      <c r="N93" s="51"/>
      <c r="O93" s="51">
        <v>0</v>
      </c>
      <c r="P93" s="51"/>
      <c r="Q93" s="51">
        <v>0</v>
      </c>
      <c r="R93" s="51"/>
      <c r="S93" s="51">
        <v>0</v>
      </c>
      <c r="T93" s="51"/>
      <c r="U93" s="51">
        <f t="shared" si="19"/>
        <v>0</v>
      </c>
      <c r="V93" s="50"/>
      <c r="W93" s="95" t="s">
        <v>144</v>
      </c>
      <c r="X93" s="50"/>
      <c r="Y93" s="47">
        <v>0</v>
      </c>
      <c r="Z93" s="47"/>
      <c r="AA93" s="47">
        <v>0</v>
      </c>
      <c r="AB93" s="47"/>
      <c r="AC93" s="47">
        <v>0</v>
      </c>
      <c r="AD93" s="47"/>
      <c r="AE93" s="52">
        <f t="shared" si="20"/>
        <v>0</v>
      </c>
      <c r="AF93" s="52"/>
      <c r="AG93" s="52">
        <v>0</v>
      </c>
      <c r="AH93" s="52"/>
      <c r="AI93" s="47">
        <v>0</v>
      </c>
      <c r="AJ93" s="47"/>
      <c r="AK93" s="47">
        <v>0</v>
      </c>
      <c r="AL93" s="47"/>
      <c r="AM93" s="47">
        <v>0</v>
      </c>
      <c r="AN93" s="47"/>
      <c r="AO93" s="52">
        <f t="shared" si="21"/>
        <v>0</v>
      </c>
      <c r="AP93" s="52"/>
      <c r="AQ93" s="47">
        <v>0</v>
      </c>
      <c r="AR93" s="47"/>
      <c r="AS93" s="47">
        <v>0</v>
      </c>
      <c r="AT93" s="47"/>
      <c r="AU93" s="47">
        <f t="shared" si="22"/>
        <v>0</v>
      </c>
      <c r="AV93" s="50"/>
      <c r="AW93" s="95" t="s">
        <v>144</v>
      </c>
      <c r="AX93" s="50"/>
      <c r="AY93" s="47">
        <v>0</v>
      </c>
      <c r="AZ93" s="47"/>
      <c r="BA93" s="47">
        <v>0</v>
      </c>
      <c r="BB93" s="47"/>
      <c r="BC93" s="47">
        <v>0</v>
      </c>
      <c r="BD93" s="47"/>
      <c r="BE93" s="47">
        <v>0</v>
      </c>
      <c r="BF93" s="47"/>
      <c r="BG93" s="47">
        <f t="shared" si="23"/>
        <v>0</v>
      </c>
      <c r="BH93" s="1"/>
    </row>
    <row r="94" spans="1:60" ht="12.75" hidden="1">
      <c r="A94" s="40" t="s">
        <v>183</v>
      </c>
      <c r="B94" s="50"/>
      <c r="C94" s="51">
        <f t="shared" si="16"/>
        <v>0</v>
      </c>
      <c r="D94" s="51"/>
      <c r="E94" s="51">
        <v>0</v>
      </c>
      <c r="F94" s="51"/>
      <c r="G94" s="51">
        <v>0</v>
      </c>
      <c r="H94" s="51"/>
      <c r="I94" s="51">
        <f t="shared" si="17"/>
        <v>0</v>
      </c>
      <c r="J94" s="51"/>
      <c r="K94" s="51">
        <f t="shared" si="18"/>
        <v>0</v>
      </c>
      <c r="L94" s="51"/>
      <c r="M94" s="51">
        <v>0</v>
      </c>
      <c r="N94" s="51"/>
      <c r="O94" s="51">
        <v>0</v>
      </c>
      <c r="P94" s="51"/>
      <c r="Q94" s="51">
        <v>0</v>
      </c>
      <c r="R94" s="51"/>
      <c r="S94" s="51">
        <v>0</v>
      </c>
      <c r="T94" s="51"/>
      <c r="U94" s="51">
        <f t="shared" si="19"/>
        <v>0</v>
      </c>
      <c r="V94" s="50"/>
      <c r="W94" s="95" t="s">
        <v>183</v>
      </c>
      <c r="X94" s="50"/>
      <c r="Y94" s="47">
        <v>0</v>
      </c>
      <c r="Z94" s="47"/>
      <c r="AA94" s="47">
        <v>0</v>
      </c>
      <c r="AB94" s="47"/>
      <c r="AC94" s="47">
        <v>0</v>
      </c>
      <c r="AD94" s="47"/>
      <c r="AE94" s="52">
        <f t="shared" si="20"/>
        <v>0</v>
      </c>
      <c r="AF94" s="52"/>
      <c r="AG94" s="52">
        <v>0</v>
      </c>
      <c r="AH94" s="52"/>
      <c r="AI94" s="47">
        <v>0</v>
      </c>
      <c r="AJ94" s="47"/>
      <c r="AK94" s="47">
        <v>0</v>
      </c>
      <c r="AL94" s="47"/>
      <c r="AM94" s="47">
        <v>0</v>
      </c>
      <c r="AN94" s="47"/>
      <c r="AO94" s="52">
        <f t="shared" si="21"/>
        <v>0</v>
      </c>
      <c r="AP94" s="52"/>
      <c r="AQ94" s="47">
        <v>0</v>
      </c>
      <c r="AR94" s="47"/>
      <c r="AS94" s="47">
        <v>0</v>
      </c>
      <c r="AT94" s="47"/>
      <c r="AU94" s="47">
        <f t="shared" si="22"/>
        <v>0</v>
      </c>
      <c r="AV94" s="50"/>
      <c r="AW94" s="95" t="s">
        <v>183</v>
      </c>
      <c r="AX94" s="50"/>
      <c r="AY94" s="47">
        <v>0</v>
      </c>
      <c r="AZ94" s="47"/>
      <c r="BA94" s="47">
        <v>0</v>
      </c>
      <c r="BB94" s="47"/>
      <c r="BC94" s="47">
        <v>0</v>
      </c>
      <c r="BD94" s="47"/>
      <c r="BE94" s="47">
        <v>0</v>
      </c>
      <c r="BF94" s="47"/>
      <c r="BG94" s="47">
        <f t="shared" si="23"/>
        <v>0</v>
      </c>
      <c r="BH94" s="1"/>
    </row>
    <row r="95" spans="1:60" ht="12.75">
      <c r="A95" s="40" t="s">
        <v>84</v>
      </c>
      <c r="B95" s="50"/>
      <c r="C95" s="51">
        <f t="shared" si="16"/>
        <v>1816652</v>
      </c>
      <c r="D95" s="51"/>
      <c r="E95" s="51">
        <v>2297504</v>
      </c>
      <c r="F95" s="51"/>
      <c r="G95" s="51">
        <v>4114156</v>
      </c>
      <c r="H95" s="51"/>
      <c r="I95" s="51">
        <f t="shared" si="17"/>
        <v>527605</v>
      </c>
      <c r="J95" s="51"/>
      <c r="K95" s="51">
        <f t="shared" si="18"/>
        <v>6338469</v>
      </c>
      <c r="L95" s="51"/>
      <c r="M95" s="51">
        <v>6866074</v>
      </c>
      <c r="N95" s="51"/>
      <c r="O95" s="51">
        <v>-16781</v>
      </c>
      <c r="P95" s="51"/>
      <c r="Q95" s="51">
        <v>0</v>
      </c>
      <c r="R95" s="51"/>
      <c r="S95" s="51">
        <v>-2735137</v>
      </c>
      <c r="T95" s="51"/>
      <c r="U95" s="51">
        <f t="shared" si="19"/>
        <v>-2751918</v>
      </c>
      <c r="V95" s="51"/>
      <c r="W95" s="95" t="s">
        <v>84</v>
      </c>
      <c r="X95" s="51"/>
      <c r="Y95" s="47">
        <v>1608139</v>
      </c>
      <c r="Z95" s="47"/>
      <c r="AA95" s="47">
        <f>1041363-301446</f>
        <v>739917</v>
      </c>
      <c r="AB95" s="47"/>
      <c r="AC95" s="47">
        <v>301446</v>
      </c>
      <c r="AD95" s="47"/>
      <c r="AE95" s="52">
        <f t="shared" si="20"/>
        <v>566776</v>
      </c>
      <c r="AF95" s="52"/>
      <c r="AG95" s="52">
        <v>-32746</v>
      </c>
      <c r="AH95" s="52"/>
      <c r="AI95" s="47">
        <v>291176</v>
      </c>
      <c r="AJ95" s="47"/>
      <c r="AK95" s="47">
        <v>19281</v>
      </c>
      <c r="AL95" s="47"/>
      <c r="AM95" s="47">
        <v>10000</v>
      </c>
      <c r="AN95" s="47"/>
      <c r="AO95" s="52">
        <f t="shared" si="21"/>
        <v>815925</v>
      </c>
      <c r="AP95" s="52"/>
      <c r="AQ95" s="47">
        <v>0</v>
      </c>
      <c r="AR95" s="47"/>
      <c r="AS95" s="47">
        <v>0</v>
      </c>
      <c r="AT95" s="47"/>
      <c r="AU95" s="47">
        <f t="shared" si="22"/>
        <v>1289047</v>
      </c>
      <c r="AV95" s="47"/>
      <c r="AW95" s="95" t="s">
        <v>84</v>
      </c>
      <c r="AX95" s="47"/>
      <c r="AY95" s="47">
        <v>1292206</v>
      </c>
      <c r="AZ95" s="47"/>
      <c r="BA95" s="47">
        <v>0</v>
      </c>
      <c r="BB95" s="47"/>
      <c r="BC95" s="47">
        <v>0</v>
      </c>
      <c r="BD95" s="47"/>
      <c r="BE95" s="47">
        <f>6750+602613+4436900</f>
        <v>5046263</v>
      </c>
      <c r="BF95" s="47"/>
      <c r="BG95" s="47">
        <f t="shared" si="23"/>
        <v>6338469</v>
      </c>
      <c r="BH95" s="1"/>
    </row>
    <row r="96" spans="1:60" ht="12.75" hidden="1">
      <c r="A96" s="40" t="s">
        <v>184</v>
      </c>
      <c r="B96" s="50"/>
      <c r="C96" s="51">
        <f t="shared" si="16"/>
        <v>0</v>
      </c>
      <c r="D96" s="51"/>
      <c r="E96" s="51">
        <v>0</v>
      </c>
      <c r="F96" s="51"/>
      <c r="G96" s="51">
        <v>0</v>
      </c>
      <c r="H96" s="51"/>
      <c r="I96" s="51">
        <f t="shared" si="17"/>
        <v>0</v>
      </c>
      <c r="J96" s="51"/>
      <c r="K96" s="51">
        <f t="shared" si="18"/>
        <v>0</v>
      </c>
      <c r="L96" s="51"/>
      <c r="M96" s="51">
        <v>0</v>
      </c>
      <c r="N96" s="51"/>
      <c r="O96" s="51">
        <v>0</v>
      </c>
      <c r="P96" s="51"/>
      <c r="Q96" s="51">
        <v>0</v>
      </c>
      <c r="R96" s="51"/>
      <c r="S96" s="51">
        <v>0</v>
      </c>
      <c r="T96" s="51"/>
      <c r="U96" s="51">
        <f t="shared" si="19"/>
        <v>0</v>
      </c>
      <c r="V96" s="50"/>
      <c r="W96" s="95" t="s">
        <v>184</v>
      </c>
      <c r="X96" s="50"/>
      <c r="Y96" s="47">
        <v>0</v>
      </c>
      <c r="Z96" s="47"/>
      <c r="AA96" s="47">
        <v>0</v>
      </c>
      <c r="AB96" s="47"/>
      <c r="AC96" s="47">
        <v>0</v>
      </c>
      <c r="AD96" s="47"/>
      <c r="AE96" s="52">
        <f t="shared" si="20"/>
        <v>0</v>
      </c>
      <c r="AF96" s="52"/>
      <c r="AG96" s="52">
        <v>0</v>
      </c>
      <c r="AH96" s="52"/>
      <c r="AI96" s="47">
        <v>0</v>
      </c>
      <c r="AJ96" s="47"/>
      <c r="AK96" s="47">
        <v>0</v>
      </c>
      <c r="AL96" s="47"/>
      <c r="AM96" s="47">
        <v>0</v>
      </c>
      <c r="AN96" s="47"/>
      <c r="AO96" s="52">
        <f t="shared" si="21"/>
        <v>0</v>
      </c>
      <c r="AP96" s="52"/>
      <c r="AQ96" s="47">
        <v>0</v>
      </c>
      <c r="AR96" s="47"/>
      <c r="AS96" s="47">
        <v>0</v>
      </c>
      <c r="AT96" s="47"/>
      <c r="AU96" s="47">
        <f t="shared" si="22"/>
        <v>0</v>
      </c>
      <c r="AV96" s="50"/>
      <c r="AW96" s="95" t="s">
        <v>184</v>
      </c>
      <c r="AX96" s="50"/>
      <c r="AY96" s="47">
        <v>0</v>
      </c>
      <c r="AZ96" s="47"/>
      <c r="BA96" s="47">
        <v>0</v>
      </c>
      <c r="BB96" s="47"/>
      <c r="BC96" s="47">
        <v>0</v>
      </c>
      <c r="BD96" s="47"/>
      <c r="BE96" s="47">
        <v>0</v>
      </c>
      <c r="BF96" s="47"/>
      <c r="BG96" s="47">
        <f t="shared" si="23"/>
        <v>0</v>
      </c>
      <c r="BH96" s="1"/>
    </row>
    <row r="97" spans="1:60" ht="12.75">
      <c r="A97" s="40"/>
      <c r="B97" s="11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5"/>
      <c r="X97" s="96"/>
      <c r="Y97" s="96"/>
      <c r="Z97" s="96"/>
      <c r="AA97" s="97"/>
      <c r="AB97" s="97"/>
      <c r="AC97" s="97"/>
      <c r="AD97" s="97"/>
      <c r="AE97" s="98"/>
      <c r="AF97" s="98"/>
      <c r="AG97" s="98"/>
      <c r="AH97" s="98"/>
      <c r="AI97" s="98"/>
      <c r="AJ97" s="98"/>
      <c r="AK97" s="98"/>
      <c r="AL97" s="98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9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1"/>
    </row>
    <row r="98" spans="1:60" ht="12.75">
      <c r="A98" s="4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40"/>
      <c r="X98" s="11"/>
      <c r="Y98" s="11"/>
      <c r="Z98" s="11"/>
      <c r="AA98" s="9"/>
      <c r="AB98" s="9"/>
      <c r="AC98" s="9"/>
      <c r="AD98" s="9"/>
      <c r="AE98" s="10"/>
      <c r="AF98" s="10"/>
      <c r="AG98" s="10"/>
      <c r="AH98" s="10"/>
      <c r="AI98" s="10"/>
      <c r="AJ98" s="10"/>
      <c r="AK98" s="10"/>
      <c r="AL98" s="10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40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12.75">
      <c r="A99" s="4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40"/>
      <c r="X99" s="11"/>
      <c r="Y99" s="11"/>
      <c r="Z99" s="11"/>
      <c r="AA99" s="9"/>
      <c r="AB99" s="9"/>
      <c r="AC99" s="9"/>
      <c r="AD99" s="9"/>
      <c r="AE99" s="10"/>
      <c r="AF99" s="10"/>
      <c r="AG99" s="10"/>
      <c r="AH99" s="10"/>
      <c r="AI99" s="10"/>
      <c r="AJ99" s="10"/>
      <c r="AK99" s="10"/>
      <c r="AL99" s="10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40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ht="12.75">
      <c r="A100" s="4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40"/>
      <c r="X100" s="11"/>
      <c r="Y100" s="11"/>
      <c r="Z100" s="11"/>
      <c r="AA100" s="9"/>
      <c r="AB100" s="9"/>
      <c r="AC100" s="9"/>
      <c r="AD100" s="9"/>
      <c r="AE100" s="10"/>
      <c r="AF100" s="10"/>
      <c r="AG100" s="10"/>
      <c r="AH100" s="10"/>
      <c r="AI100" s="10"/>
      <c r="AJ100" s="10"/>
      <c r="AK100" s="10"/>
      <c r="AL100" s="10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40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ht="12.75">
      <c r="A101" s="4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9"/>
      <c r="AB101" s="9"/>
      <c r="AC101" s="9"/>
      <c r="AD101" s="9"/>
      <c r="AE101" s="10"/>
      <c r="AF101" s="10"/>
      <c r="AG101" s="10"/>
      <c r="AH101" s="10"/>
      <c r="AI101" s="10"/>
      <c r="AJ101" s="10"/>
      <c r="AK101" s="10"/>
      <c r="AL101" s="10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ht="12.75">
      <c r="A102" s="4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9"/>
      <c r="AB102" s="9"/>
      <c r="AC102" s="9"/>
      <c r="AD102" s="9"/>
      <c r="AE102" s="10"/>
      <c r="AF102" s="10"/>
      <c r="AG102" s="10"/>
      <c r="AH102" s="10"/>
      <c r="AI102" s="10"/>
      <c r="AJ102" s="10"/>
      <c r="AK102" s="10"/>
      <c r="AL102" s="10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12.75">
      <c r="A103" s="4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9"/>
      <c r="AB103" s="9"/>
      <c r="AC103" s="9"/>
      <c r="AD103" s="9"/>
      <c r="AE103" s="10"/>
      <c r="AF103" s="10"/>
      <c r="AG103" s="10"/>
      <c r="AH103" s="10"/>
      <c r="AI103" s="10"/>
      <c r="AJ103" s="10"/>
      <c r="AK103" s="10"/>
      <c r="AL103" s="10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12.75">
      <c r="A104" s="4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9"/>
      <c r="AB104" s="9"/>
      <c r="AC104" s="9"/>
      <c r="AD104" s="9"/>
      <c r="AE104" s="10"/>
      <c r="AF104" s="10"/>
      <c r="AG104" s="10"/>
      <c r="AH104" s="10"/>
      <c r="AI104" s="10"/>
      <c r="AJ104" s="10"/>
      <c r="AK104" s="10"/>
      <c r="AL104" s="10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ht="12.75">
      <c r="A105" s="4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9"/>
      <c r="AB105" s="9"/>
      <c r="AC105" s="9"/>
      <c r="AD105" s="9"/>
      <c r="AE105" s="10"/>
      <c r="AF105" s="10"/>
      <c r="AG105" s="10"/>
      <c r="AH105" s="10"/>
      <c r="AI105" s="10"/>
      <c r="AJ105" s="10"/>
      <c r="AK105" s="10"/>
      <c r="AL105" s="10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ht="12.75">
      <c r="A106" s="4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9"/>
      <c r="AB106" s="9"/>
      <c r="AC106" s="9"/>
      <c r="AD106" s="9"/>
      <c r="AE106" s="10"/>
      <c r="AF106" s="10"/>
      <c r="AG106" s="10"/>
      <c r="AH106" s="10"/>
      <c r="AI106" s="10"/>
      <c r="AJ106" s="10"/>
      <c r="AK106" s="10"/>
      <c r="AL106" s="10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ht="12.75">
      <c r="A107" s="4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9"/>
      <c r="AB107" s="9"/>
      <c r="AC107" s="9"/>
      <c r="AD107" s="9"/>
      <c r="AE107" s="10"/>
      <c r="AF107" s="10"/>
      <c r="AG107" s="10"/>
      <c r="AH107" s="10"/>
      <c r="AI107" s="10"/>
      <c r="AJ107" s="10"/>
      <c r="AK107" s="10"/>
      <c r="AL107" s="10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12.75">
      <c r="A108" s="4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9"/>
      <c r="AB108" s="9"/>
      <c r="AC108" s="9"/>
      <c r="AD108" s="9"/>
      <c r="AE108" s="10"/>
      <c r="AF108" s="10"/>
      <c r="AG108" s="10"/>
      <c r="AH108" s="10"/>
      <c r="AI108" s="10"/>
      <c r="AJ108" s="10"/>
      <c r="AK108" s="10"/>
      <c r="AL108" s="10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2.75">
      <c r="A109" s="4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9"/>
      <c r="AB109" s="9"/>
      <c r="AC109" s="9"/>
      <c r="AD109" s="9"/>
      <c r="AE109" s="10"/>
      <c r="AF109" s="10"/>
      <c r="AG109" s="10"/>
      <c r="AH109" s="10"/>
      <c r="AI109" s="10"/>
      <c r="AJ109" s="10"/>
      <c r="AK109" s="10"/>
      <c r="AL109" s="10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2:60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9"/>
      <c r="AB110" s="9"/>
      <c r="AC110" s="9"/>
      <c r="AD110" s="9"/>
      <c r="AE110" s="10"/>
      <c r="AF110" s="10"/>
      <c r="AG110" s="10"/>
      <c r="AH110" s="10"/>
      <c r="AI110" s="10"/>
      <c r="AJ110" s="10"/>
      <c r="AK110" s="10"/>
      <c r="AL110" s="10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</sheetData>
  <mergeCells count="1">
    <mergeCell ref="O5:S5"/>
  </mergeCells>
  <printOptions/>
  <pageMargins left="1" right="1" top="0.5" bottom="0.5" header="0" footer="0.25"/>
  <pageSetup firstPageNumber="40" useFirstPageNumber="1" horizontalDpi="600" verticalDpi="600" orientation="portrait" scale="95" r:id="rId1"/>
  <headerFooter alignWithMargins="0">
    <oddFooter>&amp;C&amp;"Times New Roman,Regular"&amp;11&amp;P</oddFooter>
  </headerFooter>
  <colBreaks count="1" manualBreakCount="1">
    <brk id="22" max="9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U106"/>
  <sheetViews>
    <sheetView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2.75"/>
  <cols>
    <col min="1" max="1" width="15.7109375" style="106" customWidth="1"/>
    <col min="2" max="2" width="1.7109375" style="106" customWidth="1"/>
    <col min="3" max="3" width="11.7109375" style="106" customWidth="1"/>
    <col min="4" max="4" width="1.7109375" style="106" customWidth="1"/>
    <col min="5" max="5" width="11.7109375" style="106" customWidth="1"/>
    <col min="6" max="6" width="1.7109375" style="106" customWidth="1"/>
    <col min="7" max="7" width="11.7109375" style="106" customWidth="1"/>
    <col min="8" max="8" width="1.7109375" style="106" customWidth="1"/>
    <col min="9" max="9" width="11.7109375" style="106" customWidth="1"/>
    <col min="10" max="10" width="1.7109375" style="106" customWidth="1"/>
    <col min="11" max="11" width="11.7109375" style="106" customWidth="1"/>
    <col min="12" max="12" width="1.7109375" style="106" customWidth="1"/>
    <col min="13" max="13" width="12.7109375" style="106" customWidth="1"/>
    <col min="14" max="14" width="1.7109375" style="106" customWidth="1"/>
    <col min="15" max="15" width="12.7109375" style="106" customWidth="1"/>
    <col min="16" max="16" width="1.7109375" style="106" customWidth="1"/>
    <col min="17" max="17" width="12.7109375" style="106" customWidth="1"/>
    <col min="18" max="18" width="1.7109375" style="106" customWidth="1"/>
    <col min="19" max="19" width="11.8515625" style="106" customWidth="1"/>
    <col min="20" max="20" width="1.7109375" style="106" customWidth="1"/>
    <col min="21" max="21" width="11.28125" style="66" bestFit="1" customWidth="1"/>
    <col min="22" max="16384" width="9.140625" style="66" customWidth="1"/>
  </cols>
  <sheetData>
    <row r="1" spans="1:20" s="103" customFormat="1" ht="12.75">
      <c r="A1" s="30" t="s">
        <v>220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6"/>
      <c r="S1" s="36"/>
      <c r="T1" s="117"/>
    </row>
    <row r="2" spans="1:20" s="103" customFormat="1" ht="12.75">
      <c r="A2" s="30" t="s">
        <v>225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6"/>
      <c r="S2" s="36"/>
      <c r="T2" s="117"/>
    </row>
    <row r="3" spans="1:20" s="103" customFormat="1" ht="12.75">
      <c r="A3" s="30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36"/>
      <c r="S3" s="36"/>
      <c r="T3" s="117"/>
    </row>
    <row r="4" spans="1:20" s="103" customFormat="1" ht="12.75">
      <c r="A4" s="20" t="s">
        <v>196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36"/>
      <c r="S4" s="36"/>
      <c r="T4" s="117"/>
    </row>
    <row r="5" spans="1:19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28"/>
      <c r="S5" s="28"/>
    </row>
    <row r="6" spans="1:18" ht="12.75">
      <c r="A6" s="17"/>
      <c r="B6" s="17"/>
      <c r="C6" s="17" t="s">
        <v>104</v>
      </c>
      <c r="D6" s="17"/>
      <c r="E6" s="17" t="s">
        <v>2</v>
      </c>
      <c r="F6" s="17"/>
      <c r="G6" s="17"/>
      <c r="H6" s="17"/>
      <c r="I6" s="17"/>
      <c r="J6" s="17"/>
      <c r="K6" s="17"/>
      <c r="L6" s="17"/>
      <c r="M6" s="17"/>
      <c r="N6" s="17"/>
      <c r="O6" s="17" t="s">
        <v>129</v>
      </c>
      <c r="P6" s="17"/>
      <c r="Q6" s="17"/>
      <c r="R6" s="28"/>
    </row>
    <row r="7" spans="1:21" ht="12.75">
      <c r="A7" s="17"/>
      <c r="B7" s="17"/>
      <c r="C7" s="17" t="s">
        <v>108</v>
      </c>
      <c r="D7" s="17"/>
      <c r="E7" s="17" t="s">
        <v>132</v>
      </c>
      <c r="F7" s="17"/>
      <c r="G7" s="17" t="s">
        <v>131</v>
      </c>
      <c r="H7" s="17"/>
      <c r="I7" s="17" t="s">
        <v>115</v>
      </c>
      <c r="J7" s="17"/>
      <c r="K7" s="17" t="s">
        <v>88</v>
      </c>
      <c r="L7" s="17"/>
      <c r="M7" s="17" t="s">
        <v>130</v>
      </c>
      <c r="N7" s="17"/>
      <c r="O7" s="17" t="s">
        <v>106</v>
      </c>
      <c r="P7" s="17"/>
      <c r="Q7" s="17" t="s">
        <v>4</v>
      </c>
      <c r="R7" s="28"/>
      <c r="S7" s="118" t="s">
        <v>243</v>
      </c>
      <c r="T7" s="108"/>
      <c r="U7" s="109" t="s">
        <v>241</v>
      </c>
    </row>
    <row r="8" spans="1:21" ht="12.75">
      <c r="A8" s="74" t="s">
        <v>5</v>
      </c>
      <c r="B8" s="68"/>
      <c r="C8" s="74" t="s">
        <v>114</v>
      </c>
      <c r="D8" s="68"/>
      <c r="E8" s="74" t="s">
        <v>114</v>
      </c>
      <c r="F8" s="68"/>
      <c r="G8" s="74" t="s">
        <v>135</v>
      </c>
      <c r="H8" s="68"/>
      <c r="I8" s="74" t="s">
        <v>136</v>
      </c>
      <c r="J8" s="68"/>
      <c r="K8" s="74" t="s">
        <v>133</v>
      </c>
      <c r="L8" s="68"/>
      <c r="M8" s="74" t="s">
        <v>134</v>
      </c>
      <c r="N8" s="68"/>
      <c r="O8" s="74" t="s">
        <v>126</v>
      </c>
      <c r="P8" s="68"/>
      <c r="Q8" s="74" t="s">
        <v>126</v>
      </c>
      <c r="R8" s="26"/>
      <c r="S8" s="119" t="s">
        <v>244</v>
      </c>
      <c r="T8" s="108"/>
      <c r="U8" s="120" t="s">
        <v>245</v>
      </c>
    </row>
    <row r="9" spans="1:21" ht="12.75">
      <c r="A9" s="28" t="s">
        <v>13</v>
      </c>
      <c r="B9" s="28"/>
      <c r="C9" s="84">
        <v>14939420</v>
      </c>
      <c r="D9" s="84"/>
      <c r="E9" s="84">
        <v>7875580</v>
      </c>
      <c r="F9" s="84"/>
      <c r="G9" s="84">
        <v>0</v>
      </c>
      <c r="H9" s="84"/>
      <c r="I9" s="84">
        <f>117872+169808</f>
        <v>287680</v>
      </c>
      <c r="J9" s="84"/>
      <c r="K9" s="84">
        <v>46190</v>
      </c>
      <c r="L9" s="84"/>
      <c r="M9" s="84">
        <v>2399018</v>
      </c>
      <c r="N9" s="84"/>
      <c r="O9" s="84">
        <v>198000</v>
      </c>
      <c r="P9" s="84"/>
      <c r="Q9" s="84">
        <f>SUM(C9:O9)</f>
        <v>25745888</v>
      </c>
      <c r="R9" s="29"/>
      <c r="S9" s="28">
        <v>2971548</v>
      </c>
      <c r="U9" s="56">
        <f>+Q9-'St of Net Assets - GA'!M10-'LT _Lia - GA'!S9</f>
        <v>0</v>
      </c>
    </row>
    <row r="10" spans="1:21" ht="12.75">
      <c r="A10" s="28" t="s">
        <v>14</v>
      </c>
      <c r="B10" s="28"/>
      <c r="C10" s="84">
        <v>5655000</v>
      </c>
      <c r="D10" s="84"/>
      <c r="E10" s="84">
        <v>0</v>
      </c>
      <c r="F10" s="84"/>
      <c r="G10" s="84">
        <v>0</v>
      </c>
      <c r="H10" s="84"/>
      <c r="I10" s="84">
        <v>0</v>
      </c>
      <c r="J10" s="84"/>
      <c r="K10" s="84">
        <v>9955</v>
      </c>
      <c r="L10" s="84"/>
      <c r="M10" s="84">
        <v>866425</v>
      </c>
      <c r="N10" s="84"/>
      <c r="O10" s="84">
        <v>0</v>
      </c>
      <c r="P10" s="84"/>
      <c r="Q10" s="84">
        <f aca="true" t="shared" si="0" ref="Q10:Q72">SUM(C10:O10)</f>
        <v>6531380</v>
      </c>
      <c r="R10" s="29"/>
      <c r="S10" s="28">
        <v>582069</v>
      </c>
      <c r="U10" s="56">
        <f>+Q10-'St of Net Assets - GA'!M11-'LT _Lia - GA'!S10</f>
        <v>0</v>
      </c>
    </row>
    <row r="11" spans="1:21" ht="12.75">
      <c r="A11" s="28" t="s">
        <v>15</v>
      </c>
      <c r="B11" s="28"/>
      <c r="C11" s="84">
        <v>9199584</v>
      </c>
      <c r="D11" s="84"/>
      <c r="E11" s="84">
        <v>260000</v>
      </c>
      <c r="F11" s="84"/>
      <c r="G11" s="84">
        <v>0</v>
      </c>
      <c r="H11" s="84"/>
      <c r="I11" s="84">
        <v>25000</v>
      </c>
      <c r="J11" s="84"/>
      <c r="K11" s="84">
        <v>218891</v>
      </c>
      <c r="L11" s="84"/>
      <c r="M11" s="84">
        <v>2803491</v>
      </c>
      <c r="N11" s="84"/>
      <c r="O11" s="84">
        <v>0</v>
      </c>
      <c r="P11" s="84"/>
      <c r="Q11" s="84">
        <f t="shared" si="0"/>
        <v>12506966</v>
      </c>
      <c r="R11" s="29"/>
      <c r="S11" s="28">
        <v>1579981</v>
      </c>
      <c r="U11" s="56">
        <f>+Q11-'St of Net Assets - GA'!M12-'LT _Lia - GA'!S11</f>
        <v>0</v>
      </c>
    </row>
    <row r="12" spans="1:21" ht="12.75">
      <c r="A12" s="28" t="s">
        <v>16</v>
      </c>
      <c r="B12" s="28"/>
      <c r="C12" s="84">
        <v>2840000</v>
      </c>
      <c r="D12" s="84"/>
      <c r="E12" s="84">
        <v>0</v>
      </c>
      <c r="F12" s="84"/>
      <c r="G12" s="84">
        <v>0</v>
      </c>
      <c r="H12" s="84"/>
      <c r="I12" s="84">
        <v>1041709</v>
      </c>
      <c r="J12" s="84"/>
      <c r="K12" s="84">
        <v>90896</v>
      </c>
      <c r="L12" s="84"/>
      <c r="M12" s="84">
        <v>1301881</v>
      </c>
      <c r="N12" s="84"/>
      <c r="O12" s="84">
        <v>2879095</v>
      </c>
      <c r="P12" s="84"/>
      <c r="Q12" s="84">
        <f t="shared" si="0"/>
        <v>8153581</v>
      </c>
      <c r="R12" s="29"/>
      <c r="S12" s="28">
        <v>1446787</v>
      </c>
      <c r="U12" s="56">
        <f>+Q12-'St of Net Assets - GA'!M13-'LT _Lia - GA'!S12</f>
        <v>0</v>
      </c>
    </row>
    <row r="13" spans="1:21" ht="12.75">
      <c r="A13" s="28" t="s">
        <v>17</v>
      </c>
      <c r="B13" s="28"/>
      <c r="C13" s="84">
        <v>2775000</v>
      </c>
      <c r="D13" s="84"/>
      <c r="E13" s="84">
        <v>1605000</v>
      </c>
      <c r="F13" s="84"/>
      <c r="G13" s="84">
        <v>384269</v>
      </c>
      <c r="H13" s="84"/>
      <c r="I13" s="84">
        <v>0</v>
      </c>
      <c r="J13" s="84"/>
      <c r="K13" s="84">
        <v>0</v>
      </c>
      <c r="L13" s="84"/>
      <c r="M13" s="84">
        <v>1057055</v>
      </c>
      <c r="N13" s="84"/>
      <c r="O13" s="84">
        <v>0</v>
      </c>
      <c r="P13" s="84"/>
      <c r="Q13" s="84">
        <f t="shared" si="0"/>
        <v>5821324</v>
      </c>
      <c r="R13" s="29"/>
      <c r="S13" s="28">
        <v>1466111</v>
      </c>
      <c r="U13" s="56">
        <f>+Q13-'St of Net Assets - GA'!M14-'LT _Lia - GA'!S13</f>
        <v>0</v>
      </c>
    </row>
    <row r="14" spans="1:21" ht="12.75">
      <c r="A14" s="28" t="s">
        <v>18</v>
      </c>
      <c r="B14" s="28"/>
      <c r="C14" s="84">
        <v>3841906</v>
      </c>
      <c r="D14" s="84"/>
      <c r="E14" s="84">
        <v>0</v>
      </c>
      <c r="F14" s="84"/>
      <c r="G14" s="84">
        <v>1955000</v>
      </c>
      <c r="H14" s="84"/>
      <c r="I14" s="84">
        <v>400000</v>
      </c>
      <c r="J14" s="84"/>
      <c r="K14" s="84">
        <v>244824</v>
      </c>
      <c r="L14" s="84"/>
      <c r="M14" s="84">
        <v>2810148</v>
      </c>
      <c r="N14" s="84"/>
      <c r="O14" s="84">
        <v>0</v>
      </c>
      <c r="P14" s="84"/>
      <c r="Q14" s="84">
        <f t="shared" si="0"/>
        <v>9251878</v>
      </c>
      <c r="R14" s="29"/>
      <c r="S14" s="28">
        <v>1395673</v>
      </c>
      <c r="U14" s="56">
        <f>+Q14-'St of Net Assets - GA'!M15-'LT _Lia - GA'!S14</f>
        <v>0</v>
      </c>
    </row>
    <row r="15" spans="1:21" s="106" customFormat="1" ht="12.75" hidden="1">
      <c r="A15" s="28" t="s">
        <v>97</v>
      </c>
      <c r="B15" s="28"/>
      <c r="C15" s="84">
        <v>0</v>
      </c>
      <c r="D15" s="84"/>
      <c r="E15" s="84">
        <v>0</v>
      </c>
      <c r="F15" s="84"/>
      <c r="G15" s="84">
        <v>0</v>
      </c>
      <c r="H15" s="84"/>
      <c r="I15" s="84">
        <v>0</v>
      </c>
      <c r="J15" s="84"/>
      <c r="K15" s="84">
        <v>0</v>
      </c>
      <c r="L15" s="84"/>
      <c r="M15" s="84">
        <v>0</v>
      </c>
      <c r="N15" s="84"/>
      <c r="O15" s="84">
        <v>0</v>
      </c>
      <c r="P15" s="84"/>
      <c r="Q15" s="84">
        <f t="shared" si="0"/>
        <v>0</v>
      </c>
      <c r="R15" s="29"/>
      <c r="S15" s="28"/>
      <c r="U15" s="56">
        <f>+Q15-'St of Net Assets - GA'!M16-'LT _Lia - GA'!S15</f>
        <v>0</v>
      </c>
    </row>
    <row r="16" spans="1:21" ht="12.75">
      <c r="A16" s="28" t="s">
        <v>19</v>
      </c>
      <c r="B16" s="28"/>
      <c r="C16" s="84">
        <v>47535289</v>
      </c>
      <c r="D16" s="84"/>
      <c r="E16" s="84">
        <v>12748000</v>
      </c>
      <c r="F16" s="84"/>
      <c r="G16" s="84">
        <v>14485000</v>
      </c>
      <c r="H16" s="84"/>
      <c r="I16" s="84">
        <v>1024945</v>
      </c>
      <c r="J16" s="84"/>
      <c r="K16" s="84">
        <v>133800</v>
      </c>
      <c r="L16" s="84"/>
      <c r="M16" s="84">
        <v>5688972</v>
      </c>
      <c r="N16" s="84"/>
      <c r="O16" s="84">
        <f>24890000</f>
        <v>24890000</v>
      </c>
      <c r="P16" s="84"/>
      <c r="Q16" s="84">
        <f t="shared" si="0"/>
        <v>106506006</v>
      </c>
      <c r="R16" s="29"/>
      <c r="S16" s="28">
        <v>20449755</v>
      </c>
      <c r="U16" s="56">
        <f>+Q16-'St of Net Assets - GA'!M17-'LT _Lia - GA'!S16</f>
        <v>0</v>
      </c>
    </row>
    <row r="17" spans="1:21" ht="12.75">
      <c r="A17" s="28" t="s">
        <v>20</v>
      </c>
      <c r="B17" s="28"/>
      <c r="C17" s="84">
        <v>302000</v>
      </c>
      <c r="D17" s="84"/>
      <c r="E17" s="84">
        <v>42000</v>
      </c>
      <c r="F17" s="84"/>
      <c r="G17" s="84">
        <v>0</v>
      </c>
      <c r="H17" s="84"/>
      <c r="I17" s="84">
        <v>24419</v>
      </c>
      <c r="J17" s="84"/>
      <c r="K17" s="84">
        <v>40991</v>
      </c>
      <c r="L17" s="84"/>
      <c r="M17" s="84">
        <v>934686</v>
      </c>
      <c r="N17" s="84"/>
      <c r="O17" s="84">
        <v>0</v>
      </c>
      <c r="P17" s="84"/>
      <c r="Q17" s="84">
        <f t="shared" si="0"/>
        <v>1344096</v>
      </c>
      <c r="R17" s="29"/>
      <c r="S17" s="28">
        <v>147458</v>
      </c>
      <c r="U17" s="56">
        <f>+Q17-'St of Net Assets - GA'!M18-'LT _Lia - GA'!S17</f>
        <v>0</v>
      </c>
    </row>
    <row r="18" spans="1:21" ht="12.75" hidden="1">
      <c r="A18" s="26" t="s">
        <v>182</v>
      </c>
      <c r="B18" s="26"/>
      <c r="C18" s="84">
        <v>0</v>
      </c>
      <c r="D18" s="84"/>
      <c r="E18" s="84">
        <v>0</v>
      </c>
      <c r="F18" s="84"/>
      <c r="G18" s="84">
        <v>0</v>
      </c>
      <c r="H18" s="84"/>
      <c r="I18" s="84">
        <v>0</v>
      </c>
      <c r="J18" s="84"/>
      <c r="K18" s="84">
        <v>0</v>
      </c>
      <c r="L18" s="84"/>
      <c r="M18" s="84">
        <v>0</v>
      </c>
      <c r="N18" s="84"/>
      <c r="O18" s="84">
        <v>0</v>
      </c>
      <c r="P18" s="84"/>
      <c r="Q18" s="84">
        <f t="shared" si="0"/>
        <v>0</v>
      </c>
      <c r="R18" s="29"/>
      <c r="S18" s="28"/>
      <c r="U18" s="56">
        <f>+Q18-'St of Net Assets - GA'!M19-'LT _Lia - GA'!S18</f>
        <v>0</v>
      </c>
    </row>
    <row r="19" spans="1:21" ht="12.75">
      <c r="A19" s="28" t="s">
        <v>21</v>
      </c>
      <c r="B19" s="28"/>
      <c r="C19" s="84">
        <v>7035000</v>
      </c>
      <c r="D19" s="84"/>
      <c r="E19" s="84">
        <v>0</v>
      </c>
      <c r="F19" s="84"/>
      <c r="G19" s="84">
        <v>0</v>
      </c>
      <c r="H19" s="84"/>
      <c r="I19" s="84">
        <v>0</v>
      </c>
      <c r="J19" s="84"/>
      <c r="K19" s="84">
        <v>0</v>
      </c>
      <c r="L19" s="84"/>
      <c r="M19" s="84">
        <v>4792699</v>
      </c>
      <c r="N19" s="84"/>
      <c r="O19" s="84">
        <f>33188-35603</f>
        <v>-2415</v>
      </c>
      <c r="P19" s="84"/>
      <c r="Q19" s="84">
        <f t="shared" si="0"/>
        <v>11825284</v>
      </c>
      <c r="R19" s="29"/>
      <c r="S19" s="28">
        <v>955915</v>
      </c>
      <c r="U19" s="56">
        <f>+Q19-'St of Net Assets - GA'!M20-'LT _Lia - GA'!S19</f>
        <v>0</v>
      </c>
    </row>
    <row r="20" spans="1:21" ht="12.75">
      <c r="A20" s="28" t="s">
        <v>193</v>
      </c>
      <c r="B20" s="28"/>
      <c r="C20" s="84">
        <v>41735000</v>
      </c>
      <c r="D20" s="84"/>
      <c r="E20" s="84">
        <v>3624000</v>
      </c>
      <c r="F20" s="84"/>
      <c r="G20" s="84">
        <v>0</v>
      </c>
      <c r="H20" s="84"/>
      <c r="I20" s="84">
        <v>0</v>
      </c>
      <c r="J20" s="84"/>
      <c r="K20" s="84">
        <v>0</v>
      </c>
      <c r="L20" s="84"/>
      <c r="M20" s="84">
        <v>3740657</v>
      </c>
      <c r="N20" s="84"/>
      <c r="O20" s="84">
        <v>330707</v>
      </c>
      <c r="P20" s="84"/>
      <c r="Q20" s="84">
        <f t="shared" si="0"/>
        <v>49430364</v>
      </c>
      <c r="R20" s="29"/>
      <c r="S20" s="28">
        <v>6338394</v>
      </c>
      <c r="U20" s="56">
        <f>+Q20-'St of Net Assets - GA'!M21-'LT _Lia - GA'!S20</f>
        <v>0</v>
      </c>
    </row>
    <row r="21" spans="1:21" ht="14.25" customHeight="1">
      <c r="A21" s="28" t="s">
        <v>22</v>
      </c>
      <c r="B21" s="28"/>
      <c r="C21" s="84">
        <v>4860000</v>
      </c>
      <c r="D21" s="84"/>
      <c r="E21" s="84">
        <v>60280</v>
      </c>
      <c r="F21" s="84"/>
      <c r="G21" s="84">
        <v>0</v>
      </c>
      <c r="H21" s="84"/>
      <c r="I21" s="84">
        <v>587074</v>
      </c>
      <c r="J21" s="84"/>
      <c r="K21" s="84">
        <v>0</v>
      </c>
      <c r="L21" s="84"/>
      <c r="M21" s="84">
        <v>1001541</v>
      </c>
      <c r="N21" s="84"/>
      <c r="O21" s="84">
        <v>0</v>
      </c>
      <c r="P21" s="84"/>
      <c r="Q21" s="84">
        <f t="shared" si="0"/>
        <v>6508895</v>
      </c>
      <c r="R21" s="29"/>
      <c r="S21" s="28">
        <v>601895</v>
      </c>
      <c r="U21" s="56">
        <f>+Q21-'St of Net Assets - GA'!M22-'LT _Lia - GA'!S21</f>
        <v>0</v>
      </c>
    </row>
    <row r="22" spans="1:21" ht="12.75" hidden="1">
      <c r="A22" s="28" t="s">
        <v>23</v>
      </c>
      <c r="B22" s="28"/>
      <c r="C22" s="84">
        <v>0</v>
      </c>
      <c r="D22" s="84"/>
      <c r="E22" s="84">
        <v>0</v>
      </c>
      <c r="F22" s="84"/>
      <c r="G22" s="84">
        <v>0</v>
      </c>
      <c r="H22" s="84"/>
      <c r="I22" s="84">
        <v>0</v>
      </c>
      <c r="J22" s="84"/>
      <c r="K22" s="84">
        <v>0</v>
      </c>
      <c r="L22" s="84"/>
      <c r="M22" s="84">
        <v>0</v>
      </c>
      <c r="N22" s="84"/>
      <c r="O22" s="84">
        <v>0</v>
      </c>
      <c r="P22" s="84"/>
      <c r="Q22" s="84">
        <f t="shared" si="0"/>
        <v>0</v>
      </c>
      <c r="R22" s="29"/>
      <c r="S22" s="28"/>
      <c r="U22" s="56">
        <f>+Q22-'St of Net Assets - GA'!M23-'LT _Lia - GA'!S22</f>
        <v>0</v>
      </c>
    </row>
    <row r="23" spans="1:21" ht="12.75" hidden="1">
      <c r="A23" s="28" t="s">
        <v>24</v>
      </c>
      <c r="B23" s="28"/>
      <c r="C23" s="84">
        <v>0</v>
      </c>
      <c r="D23" s="84"/>
      <c r="E23" s="84">
        <v>0</v>
      </c>
      <c r="F23" s="84"/>
      <c r="G23" s="84">
        <v>0</v>
      </c>
      <c r="H23" s="84"/>
      <c r="I23" s="84">
        <v>0</v>
      </c>
      <c r="J23" s="84"/>
      <c r="K23" s="84">
        <v>0</v>
      </c>
      <c r="L23" s="84"/>
      <c r="M23" s="84">
        <v>0</v>
      </c>
      <c r="N23" s="84"/>
      <c r="O23" s="84">
        <v>0</v>
      </c>
      <c r="P23" s="84"/>
      <c r="Q23" s="84">
        <f t="shared" si="0"/>
        <v>0</v>
      </c>
      <c r="R23" s="29"/>
      <c r="S23" s="28"/>
      <c r="U23" s="56">
        <f>+Q23-'St of Net Assets - GA'!M24-'LT _Lia - GA'!S23</f>
        <v>0</v>
      </c>
    </row>
    <row r="24" spans="1:21" ht="12.75" hidden="1">
      <c r="A24" s="28" t="s">
        <v>191</v>
      </c>
      <c r="B24" s="28"/>
      <c r="C24" s="84">
        <v>0</v>
      </c>
      <c r="D24" s="84"/>
      <c r="E24" s="84">
        <v>0</v>
      </c>
      <c r="F24" s="84"/>
      <c r="G24" s="84">
        <v>0</v>
      </c>
      <c r="H24" s="84"/>
      <c r="I24" s="84">
        <v>0</v>
      </c>
      <c r="J24" s="84"/>
      <c r="K24" s="84">
        <v>0</v>
      </c>
      <c r="L24" s="84"/>
      <c r="M24" s="84">
        <v>0</v>
      </c>
      <c r="N24" s="84"/>
      <c r="O24" s="84">
        <v>0</v>
      </c>
      <c r="P24" s="84"/>
      <c r="Q24" s="84">
        <f t="shared" si="0"/>
        <v>0</v>
      </c>
      <c r="R24" s="29"/>
      <c r="S24" s="28"/>
      <c r="U24" s="56">
        <f>+Q24-'St of Net Assets - GA'!M25-'LT _Lia - GA'!S24</f>
        <v>-11313458</v>
      </c>
    </row>
    <row r="25" spans="1:21" ht="12.75">
      <c r="A25" s="28" t="s">
        <v>191</v>
      </c>
      <c r="B25" s="28"/>
      <c r="C25" s="84">
        <v>10739860</v>
      </c>
      <c r="D25" s="84"/>
      <c r="E25" s="84">
        <v>0</v>
      </c>
      <c r="F25" s="84"/>
      <c r="G25" s="84">
        <v>0</v>
      </c>
      <c r="H25" s="84"/>
      <c r="I25" s="84">
        <v>0</v>
      </c>
      <c r="J25" s="84"/>
      <c r="K25" s="84">
        <v>0</v>
      </c>
      <c r="L25" s="84"/>
      <c r="M25" s="84">
        <v>969883</v>
      </c>
      <c r="N25" s="84"/>
      <c r="O25" s="84">
        <v>0</v>
      </c>
      <c r="P25" s="84"/>
      <c r="Q25" s="84">
        <f>SUM(C25:O25)</f>
        <v>11709743</v>
      </c>
      <c r="R25" s="29"/>
      <c r="S25" s="28">
        <v>396285</v>
      </c>
      <c r="U25" s="56">
        <f>+Q25-'St of Net Assets - GA'!M25-'LT _Lia - GA'!S25</f>
        <v>0</v>
      </c>
    </row>
    <row r="26" spans="1:21" ht="12.75">
      <c r="A26" s="28" t="s">
        <v>25</v>
      </c>
      <c r="B26" s="28"/>
      <c r="C26" s="84">
        <v>288225</v>
      </c>
      <c r="D26" s="84"/>
      <c r="E26" s="84">
        <v>0</v>
      </c>
      <c r="F26" s="84"/>
      <c r="G26" s="84">
        <v>0</v>
      </c>
      <c r="H26" s="84"/>
      <c r="I26" s="84">
        <v>3332</v>
      </c>
      <c r="J26" s="84"/>
      <c r="K26" s="84">
        <v>25130</v>
      </c>
      <c r="L26" s="84"/>
      <c r="M26" s="84">
        <v>21382</v>
      </c>
      <c r="N26" s="84"/>
      <c r="O26" s="84">
        <v>76764</v>
      </c>
      <c r="P26" s="84"/>
      <c r="Q26" s="84">
        <f t="shared" si="0"/>
        <v>414833</v>
      </c>
      <c r="R26" s="29"/>
      <c r="S26" s="28">
        <v>47422</v>
      </c>
      <c r="U26" s="56">
        <f>+Q26-'St of Net Assets - GA'!M26-'LT _Lia - GA'!S26</f>
        <v>0</v>
      </c>
    </row>
    <row r="27" spans="1:21" ht="12.75">
      <c r="A27" s="28" t="s">
        <v>26</v>
      </c>
      <c r="B27" s="28"/>
      <c r="C27" s="84">
        <v>4080000</v>
      </c>
      <c r="D27" s="84"/>
      <c r="E27" s="84">
        <v>25770</v>
      </c>
      <c r="F27" s="84"/>
      <c r="G27" s="84">
        <v>0</v>
      </c>
      <c r="H27" s="84"/>
      <c r="I27" s="84">
        <v>0</v>
      </c>
      <c r="J27" s="84"/>
      <c r="K27" s="84">
        <v>66811</v>
      </c>
      <c r="L27" s="84"/>
      <c r="M27" s="84">
        <v>1300812</v>
      </c>
      <c r="N27" s="84"/>
      <c r="O27" s="84">
        <v>0</v>
      </c>
      <c r="P27" s="84"/>
      <c r="Q27" s="84">
        <f t="shared" si="0"/>
        <v>5473393</v>
      </c>
      <c r="R27" s="29"/>
      <c r="S27" s="28">
        <v>871562</v>
      </c>
      <c r="U27" s="56">
        <f>+Q27-'St of Net Assets - GA'!M27-'LT _Lia - GA'!S27</f>
        <v>0</v>
      </c>
    </row>
    <row r="28" spans="1:21" ht="12.75">
      <c r="A28" s="28" t="s">
        <v>27</v>
      </c>
      <c r="B28" s="28"/>
      <c r="C28" s="84">
        <v>2260000</v>
      </c>
      <c r="D28" s="84"/>
      <c r="E28" s="84">
        <v>821400</v>
      </c>
      <c r="F28" s="84"/>
      <c r="G28" s="84">
        <v>0</v>
      </c>
      <c r="H28" s="84"/>
      <c r="I28" s="84">
        <f>30789+362738+757087</f>
        <v>1150614</v>
      </c>
      <c r="J28" s="84"/>
      <c r="K28" s="84">
        <v>5399</v>
      </c>
      <c r="L28" s="84"/>
      <c r="M28" s="84">
        <v>969180</v>
      </c>
      <c r="N28" s="84"/>
      <c r="O28" s="84">
        <v>0</v>
      </c>
      <c r="P28" s="84"/>
      <c r="Q28" s="84">
        <f t="shared" si="0"/>
        <v>5206593</v>
      </c>
      <c r="R28" s="29"/>
      <c r="S28" s="28">
        <v>643268</v>
      </c>
      <c r="U28" s="56">
        <f>+Q28-'St of Net Assets - GA'!M28-'LT _Lia - GA'!S28</f>
        <v>0</v>
      </c>
    </row>
    <row r="29" spans="1:21" ht="12.75">
      <c r="A29" s="28" t="s">
        <v>28</v>
      </c>
      <c r="B29" s="28"/>
      <c r="C29" s="84">
        <v>31522106</v>
      </c>
      <c r="D29" s="84"/>
      <c r="E29" s="84">
        <v>635000</v>
      </c>
      <c r="F29" s="84"/>
      <c r="G29" s="84">
        <v>0</v>
      </c>
      <c r="H29" s="84"/>
      <c r="I29" s="84">
        <v>0</v>
      </c>
      <c r="J29" s="84"/>
      <c r="K29" s="84">
        <v>0</v>
      </c>
      <c r="L29" s="84"/>
      <c r="M29" s="84">
        <v>2016623</v>
      </c>
      <c r="N29" s="84"/>
      <c r="O29" s="84">
        <v>0</v>
      </c>
      <c r="P29" s="84"/>
      <c r="Q29" s="84">
        <f t="shared" si="0"/>
        <v>34173729</v>
      </c>
      <c r="R29" s="29"/>
      <c r="S29" s="28">
        <v>2775358</v>
      </c>
      <c r="U29" s="56">
        <f>+Q29-'St of Net Assets - GA'!M29-'LT _Lia - GA'!S29</f>
        <v>0</v>
      </c>
    </row>
    <row r="30" spans="1:21" ht="12.75">
      <c r="A30" s="28" t="s">
        <v>29</v>
      </c>
      <c r="B30" s="28"/>
      <c r="C30" s="84">
        <v>8970000</v>
      </c>
      <c r="D30" s="84"/>
      <c r="E30" s="84">
        <v>2336523</v>
      </c>
      <c r="F30" s="84"/>
      <c r="G30" s="84">
        <v>0</v>
      </c>
      <c r="H30" s="84"/>
      <c r="I30" s="84">
        <v>0</v>
      </c>
      <c r="J30" s="84"/>
      <c r="K30" s="84">
        <v>14725</v>
      </c>
      <c r="L30" s="84"/>
      <c r="M30" s="84">
        <v>1626365</v>
      </c>
      <c r="N30" s="84"/>
      <c r="O30" s="84">
        <v>2500000</v>
      </c>
      <c r="P30" s="84"/>
      <c r="Q30" s="84">
        <f t="shared" si="0"/>
        <v>15447613</v>
      </c>
      <c r="R30" s="29"/>
      <c r="S30" s="28">
        <v>4013386</v>
      </c>
      <c r="U30" s="56">
        <f>+Q30-'St of Net Assets - GA'!M30-'LT _Lia - GA'!S30</f>
        <v>0</v>
      </c>
    </row>
    <row r="31" spans="1:21" ht="12.75">
      <c r="A31" s="28" t="s">
        <v>30</v>
      </c>
      <c r="B31" s="28"/>
      <c r="C31" s="84">
        <v>18491221</v>
      </c>
      <c r="D31" s="84"/>
      <c r="E31" s="84">
        <v>1847000</v>
      </c>
      <c r="F31" s="84"/>
      <c r="G31" s="84">
        <v>3600000</v>
      </c>
      <c r="H31" s="84"/>
      <c r="I31" s="84">
        <v>517000</v>
      </c>
      <c r="J31" s="84"/>
      <c r="K31" s="84">
        <v>919321</v>
      </c>
      <c r="L31" s="84"/>
      <c r="M31" s="84">
        <v>3197452</v>
      </c>
      <c r="N31" s="84"/>
      <c r="O31" s="84">
        <v>19193</v>
      </c>
      <c r="P31" s="84"/>
      <c r="Q31" s="84">
        <f t="shared" si="0"/>
        <v>28591187</v>
      </c>
      <c r="R31" s="29"/>
      <c r="S31" s="28">
        <v>2457316</v>
      </c>
      <c r="U31" s="56">
        <f>+Q31-'St of Net Assets - GA'!M31-'LT _Lia - GA'!S31</f>
        <v>0</v>
      </c>
    </row>
    <row r="32" spans="1:21" ht="12.75" hidden="1">
      <c r="A32" s="28" t="s">
        <v>31</v>
      </c>
      <c r="B32" s="28"/>
      <c r="C32" s="84">
        <v>0</v>
      </c>
      <c r="D32" s="84"/>
      <c r="E32" s="84">
        <v>0</v>
      </c>
      <c r="F32" s="84"/>
      <c r="G32" s="84">
        <v>0</v>
      </c>
      <c r="H32" s="84"/>
      <c r="I32" s="84">
        <v>0</v>
      </c>
      <c r="J32" s="84"/>
      <c r="K32" s="84">
        <v>0</v>
      </c>
      <c r="L32" s="84"/>
      <c r="M32" s="84">
        <v>0</v>
      </c>
      <c r="N32" s="84"/>
      <c r="O32" s="84">
        <v>0</v>
      </c>
      <c r="P32" s="84"/>
      <c r="Q32" s="84">
        <f t="shared" si="0"/>
        <v>0</v>
      </c>
      <c r="R32" s="29"/>
      <c r="S32" s="28"/>
      <c r="U32" s="56">
        <f>+Q32-'St of Net Assets - GA'!M32-'LT _Lia - GA'!S32</f>
        <v>0</v>
      </c>
    </row>
    <row r="33" spans="1:21" ht="12.75">
      <c r="A33" s="28" t="s">
        <v>32</v>
      </c>
      <c r="B33" s="28"/>
      <c r="C33" s="84">
        <v>129471</v>
      </c>
      <c r="D33" s="84"/>
      <c r="E33" s="84">
        <v>5350</v>
      </c>
      <c r="F33" s="84"/>
      <c r="G33" s="84">
        <v>3809</v>
      </c>
      <c r="H33" s="84"/>
      <c r="I33" s="84">
        <v>0</v>
      </c>
      <c r="J33" s="84"/>
      <c r="K33" s="84">
        <v>1642</v>
      </c>
      <c r="L33" s="84"/>
      <c r="M33" s="84">
        <v>30639</v>
      </c>
      <c r="N33" s="84"/>
      <c r="O33" s="84">
        <v>9948</v>
      </c>
      <c r="P33" s="84"/>
      <c r="Q33" s="84">
        <f t="shared" si="0"/>
        <v>180859</v>
      </c>
      <c r="R33" s="29"/>
      <c r="S33" s="28">
        <v>12536</v>
      </c>
      <c r="U33" s="56">
        <f>+Q33-'St of Net Assets - GA'!M33-'LT _Lia - GA'!S33</f>
        <v>0</v>
      </c>
    </row>
    <row r="34" spans="1:21" ht="12.75">
      <c r="A34" s="28" t="s">
        <v>33</v>
      </c>
      <c r="B34" s="28"/>
      <c r="C34" s="84">
        <v>633473</v>
      </c>
      <c r="D34" s="84"/>
      <c r="E34" s="84">
        <v>135000</v>
      </c>
      <c r="F34" s="84"/>
      <c r="G34" s="84">
        <v>0</v>
      </c>
      <c r="H34" s="84"/>
      <c r="I34" s="84">
        <v>1071067</v>
      </c>
      <c r="J34" s="84"/>
      <c r="K34" s="84">
        <v>5690</v>
      </c>
      <c r="L34" s="84"/>
      <c r="M34" s="84">
        <v>730449</v>
      </c>
      <c r="N34" s="84"/>
      <c r="O34" s="84">
        <f>782774</f>
        <v>782774</v>
      </c>
      <c r="P34" s="84"/>
      <c r="Q34" s="84">
        <f t="shared" si="0"/>
        <v>3358453</v>
      </c>
      <c r="R34" s="29"/>
      <c r="S34" s="28">
        <v>1180065</v>
      </c>
      <c r="U34" s="56">
        <f>+Q34-'St of Net Assets - GA'!M34-'LT _Lia - GA'!S34</f>
        <v>0</v>
      </c>
    </row>
    <row r="35" spans="1:21" ht="12.75">
      <c r="A35" s="28" t="s">
        <v>34</v>
      </c>
      <c r="B35" s="28"/>
      <c r="C35" s="84">
        <f>230000+385000+65000</f>
        <v>680000</v>
      </c>
      <c r="D35" s="84"/>
      <c r="E35" s="84">
        <v>0</v>
      </c>
      <c r="F35" s="84"/>
      <c r="G35" s="84">
        <v>0</v>
      </c>
      <c r="H35" s="84"/>
      <c r="I35" s="84">
        <v>0</v>
      </c>
      <c r="J35" s="84"/>
      <c r="K35" s="84">
        <v>110391</v>
      </c>
      <c r="L35" s="84"/>
      <c r="M35" s="84">
        <v>1424099</v>
      </c>
      <c r="N35" s="84"/>
      <c r="O35" s="84">
        <v>0</v>
      </c>
      <c r="P35" s="84"/>
      <c r="Q35" s="84">
        <f t="shared" si="0"/>
        <v>2214490</v>
      </c>
      <c r="R35" s="29"/>
      <c r="S35" s="28">
        <v>829535</v>
      </c>
      <c r="U35" s="56">
        <f>+Q35-'St of Net Assets - GA'!M35-'LT _Lia - GA'!S35</f>
        <v>0</v>
      </c>
    </row>
    <row r="36" spans="1:21" ht="12.75">
      <c r="A36" s="28" t="s">
        <v>35</v>
      </c>
      <c r="B36" s="28"/>
      <c r="C36" s="84">
        <v>860000</v>
      </c>
      <c r="D36" s="84"/>
      <c r="E36" s="84">
        <v>3865474</v>
      </c>
      <c r="F36" s="84"/>
      <c r="G36" s="84">
        <v>1200000</v>
      </c>
      <c r="H36" s="84"/>
      <c r="I36" s="84">
        <v>0</v>
      </c>
      <c r="J36" s="84"/>
      <c r="K36" s="84">
        <v>0</v>
      </c>
      <c r="L36" s="84"/>
      <c r="M36" s="84">
        <v>1655786</v>
      </c>
      <c r="N36" s="84"/>
      <c r="O36" s="84">
        <v>0</v>
      </c>
      <c r="P36" s="84"/>
      <c r="Q36" s="84">
        <f t="shared" si="0"/>
        <v>7581260</v>
      </c>
      <c r="R36" s="29"/>
      <c r="S36" s="28">
        <v>459950</v>
      </c>
      <c r="U36" s="56">
        <f>+Q36-'St of Net Assets - GA'!M36-'LT _Lia - GA'!S36</f>
        <v>0</v>
      </c>
    </row>
    <row r="37" spans="1:21" ht="12.75">
      <c r="A37" s="28" t="s">
        <v>194</v>
      </c>
      <c r="B37" s="28"/>
      <c r="C37" s="84">
        <v>16330000</v>
      </c>
      <c r="D37" s="84"/>
      <c r="E37" s="84">
        <v>550000</v>
      </c>
      <c r="F37" s="84"/>
      <c r="G37" s="84">
        <v>0</v>
      </c>
      <c r="H37" s="84"/>
      <c r="I37" s="84">
        <v>2344963</v>
      </c>
      <c r="J37" s="84"/>
      <c r="K37" s="84">
        <v>3194</v>
      </c>
      <c r="L37" s="84"/>
      <c r="M37" s="84">
        <v>3983822</v>
      </c>
      <c r="N37" s="84"/>
      <c r="O37" s="84">
        <v>0</v>
      </c>
      <c r="P37" s="84"/>
      <c r="Q37" s="84">
        <f t="shared" si="0"/>
        <v>23211979</v>
      </c>
      <c r="R37" s="29"/>
      <c r="S37" s="28">
        <v>1221612</v>
      </c>
      <c r="U37" s="56">
        <f>+Q37-'St of Net Assets - GA'!M37-'LT _Lia - GA'!S37</f>
        <v>0</v>
      </c>
    </row>
    <row r="38" spans="1:21" ht="12.75">
      <c r="A38" s="28" t="s">
        <v>36</v>
      </c>
      <c r="B38" s="28"/>
      <c r="C38" s="84">
        <v>10451699</v>
      </c>
      <c r="D38" s="84"/>
      <c r="E38" s="84">
        <v>590444</v>
      </c>
      <c r="F38" s="84"/>
      <c r="G38" s="84">
        <f>455000+86176</f>
        <v>541176</v>
      </c>
      <c r="H38" s="84"/>
      <c r="I38" s="84">
        <v>0</v>
      </c>
      <c r="J38" s="84"/>
      <c r="K38" s="84">
        <v>182948</v>
      </c>
      <c r="L38" s="84"/>
      <c r="M38" s="84">
        <v>1385897</v>
      </c>
      <c r="N38" s="84"/>
      <c r="O38" s="84">
        <v>0</v>
      </c>
      <c r="P38" s="84"/>
      <c r="Q38" s="84">
        <f t="shared" si="0"/>
        <v>13152164</v>
      </c>
      <c r="R38" s="29"/>
      <c r="S38" s="28">
        <v>1788179</v>
      </c>
      <c r="U38" s="56">
        <f>+Q38-'St of Net Assets - GA'!M38-'LT _Lia - GA'!S38</f>
        <v>0</v>
      </c>
    </row>
    <row r="39" spans="1:21" ht="12.75">
      <c r="A39" s="28" t="s">
        <v>37</v>
      </c>
      <c r="B39" s="28"/>
      <c r="C39" s="84">
        <v>117450</v>
      </c>
      <c r="D39" s="84"/>
      <c r="E39" s="84">
        <v>3805</v>
      </c>
      <c r="F39" s="84"/>
      <c r="G39" s="84">
        <v>19490</v>
      </c>
      <c r="H39" s="84"/>
      <c r="I39" s="84">
        <v>0</v>
      </c>
      <c r="J39" s="84"/>
      <c r="K39" s="84">
        <v>0</v>
      </c>
      <c r="L39" s="84"/>
      <c r="M39" s="84">
        <v>37741</v>
      </c>
      <c r="N39" s="84"/>
      <c r="O39" s="84">
        <f>15110+5381</f>
        <v>20491</v>
      </c>
      <c r="P39" s="84"/>
      <c r="Q39" s="84">
        <f t="shared" si="0"/>
        <v>198977</v>
      </c>
      <c r="R39" s="29"/>
      <c r="S39" s="28">
        <v>14454</v>
      </c>
      <c r="U39" s="56">
        <f>+Q39-'St of Net Assets - GA'!M39-'LT _Lia - GA'!S39</f>
        <v>0</v>
      </c>
    </row>
    <row r="40" spans="1:21" ht="12.75">
      <c r="A40" s="28" t="s">
        <v>38</v>
      </c>
      <c r="B40" s="28"/>
      <c r="C40" s="84">
        <v>11495062</v>
      </c>
      <c r="D40" s="84"/>
      <c r="E40" s="84">
        <v>1093821</v>
      </c>
      <c r="F40" s="84"/>
      <c r="G40" s="84">
        <v>0</v>
      </c>
      <c r="H40" s="84"/>
      <c r="I40" s="84">
        <f>38210+497974</f>
        <v>536184</v>
      </c>
      <c r="J40" s="84"/>
      <c r="K40" s="84">
        <v>0</v>
      </c>
      <c r="L40" s="84"/>
      <c r="M40" s="84">
        <v>2892869</v>
      </c>
      <c r="N40" s="84"/>
      <c r="O40" s="84">
        <v>0</v>
      </c>
      <c r="P40" s="84"/>
      <c r="Q40" s="84">
        <f t="shared" si="0"/>
        <v>16017936</v>
      </c>
      <c r="R40" s="29"/>
      <c r="S40" s="28">
        <v>1438414</v>
      </c>
      <c r="U40" s="56">
        <f>+Q40-'St of Net Assets - GA'!M40-'LT _Lia - GA'!S40</f>
        <v>0</v>
      </c>
    </row>
    <row r="41" spans="1:21" ht="12.75" hidden="1">
      <c r="A41" s="28" t="s">
        <v>177</v>
      </c>
      <c r="B41" s="28"/>
      <c r="C41" s="84">
        <v>0</v>
      </c>
      <c r="D41" s="84"/>
      <c r="E41" s="84">
        <v>0</v>
      </c>
      <c r="F41" s="84"/>
      <c r="G41" s="84">
        <v>0</v>
      </c>
      <c r="H41" s="84"/>
      <c r="I41" s="84">
        <v>0</v>
      </c>
      <c r="J41" s="84"/>
      <c r="K41" s="84">
        <v>0</v>
      </c>
      <c r="L41" s="84"/>
      <c r="M41" s="84">
        <v>0</v>
      </c>
      <c r="N41" s="84"/>
      <c r="O41" s="84">
        <v>0</v>
      </c>
      <c r="P41" s="84"/>
      <c r="Q41" s="84">
        <f t="shared" si="0"/>
        <v>0</v>
      </c>
      <c r="R41" s="29"/>
      <c r="S41" s="28"/>
      <c r="U41" s="56">
        <f>+Q41-'St of Net Assets - GA'!M41-'LT _Lia - GA'!S41</f>
        <v>0</v>
      </c>
    </row>
    <row r="42" spans="1:21" ht="12.75" hidden="1">
      <c r="A42" s="28" t="s">
        <v>39</v>
      </c>
      <c r="B42" s="28"/>
      <c r="C42" s="84">
        <v>0</v>
      </c>
      <c r="D42" s="84"/>
      <c r="E42" s="84">
        <v>0</v>
      </c>
      <c r="F42" s="84"/>
      <c r="G42" s="84">
        <v>0</v>
      </c>
      <c r="H42" s="84"/>
      <c r="I42" s="84">
        <v>0</v>
      </c>
      <c r="J42" s="84"/>
      <c r="K42" s="84">
        <v>0</v>
      </c>
      <c r="L42" s="84"/>
      <c r="M42" s="84">
        <v>0</v>
      </c>
      <c r="N42" s="84"/>
      <c r="O42" s="84">
        <v>0</v>
      </c>
      <c r="P42" s="84"/>
      <c r="Q42" s="84">
        <f t="shared" si="0"/>
        <v>0</v>
      </c>
      <c r="R42" s="29"/>
      <c r="S42" s="28"/>
      <c r="U42" s="56">
        <f>+Q42-'St of Net Assets - GA'!M42-'LT _Lia - GA'!S42</f>
        <v>0</v>
      </c>
    </row>
    <row r="43" spans="1:21" ht="12.75">
      <c r="A43" s="28" t="s">
        <v>40</v>
      </c>
      <c r="B43" s="28"/>
      <c r="C43" s="84">
        <v>982000</v>
      </c>
      <c r="D43" s="84"/>
      <c r="E43" s="84">
        <v>300658</v>
      </c>
      <c r="F43" s="84"/>
      <c r="G43" s="84">
        <v>2885000</v>
      </c>
      <c r="H43" s="84"/>
      <c r="I43" s="84">
        <v>617040</v>
      </c>
      <c r="J43" s="84"/>
      <c r="K43" s="84">
        <v>25967</v>
      </c>
      <c r="L43" s="84"/>
      <c r="M43" s="84">
        <v>1345784</v>
      </c>
      <c r="N43" s="84"/>
      <c r="O43" s="84">
        <f>95196+2153000</f>
        <v>2248196</v>
      </c>
      <c r="P43" s="84"/>
      <c r="Q43" s="84">
        <f t="shared" si="0"/>
        <v>8404645</v>
      </c>
      <c r="R43" s="29"/>
      <c r="S43" s="28">
        <v>4045738</v>
      </c>
      <c r="U43" s="56">
        <f>+Q43-'St of Net Assets - GA'!M43-'LT _Lia - GA'!S43</f>
        <v>0</v>
      </c>
    </row>
    <row r="44" spans="1:21" ht="12.75" hidden="1">
      <c r="A44" s="28" t="s">
        <v>41</v>
      </c>
      <c r="B44" s="28"/>
      <c r="C44" s="84">
        <v>0</v>
      </c>
      <c r="D44" s="84"/>
      <c r="E44" s="84">
        <v>0</v>
      </c>
      <c r="F44" s="84"/>
      <c r="G44" s="84">
        <v>0</v>
      </c>
      <c r="H44" s="84"/>
      <c r="I44" s="84">
        <v>0</v>
      </c>
      <c r="J44" s="84"/>
      <c r="K44" s="84">
        <v>0</v>
      </c>
      <c r="L44" s="84"/>
      <c r="M44" s="84">
        <v>0</v>
      </c>
      <c r="N44" s="84"/>
      <c r="O44" s="84">
        <v>0</v>
      </c>
      <c r="P44" s="84"/>
      <c r="Q44" s="84">
        <f t="shared" si="0"/>
        <v>0</v>
      </c>
      <c r="R44" s="29"/>
      <c r="S44" s="28"/>
      <c r="U44" s="56">
        <f>+Q44-'St of Net Assets - GA'!M44-'LT _Lia - GA'!S44</f>
        <v>0</v>
      </c>
    </row>
    <row r="45" spans="1:21" ht="12.75">
      <c r="A45" s="28" t="s">
        <v>42</v>
      </c>
      <c r="B45" s="28"/>
      <c r="C45" s="84">
        <v>535000</v>
      </c>
      <c r="D45" s="84"/>
      <c r="E45" s="84">
        <v>76190</v>
      </c>
      <c r="F45" s="84"/>
      <c r="G45" s="84">
        <v>368075</v>
      </c>
      <c r="H45" s="84"/>
      <c r="I45" s="84">
        <v>0</v>
      </c>
      <c r="J45" s="84"/>
      <c r="K45" s="84">
        <v>224419</v>
      </c>
      <c r="L45" s="84"/>
      <c r="M45" s="84">
        <v>786317</v>
      </c>
      <c r="N45" s="84"/>
      <c r="O45" s="84">
        <v>0</v>
      </c>
      <c r="P45" s="84"/>
      <c r="Q45" s="84">
        <f t="shared" si="0"/>
        <v>1990001</v>
      </c>
      <c r="R45" s="29"/>
      <c r="S45" s="28">
        <v>166737</v>
      </c>
      <c r="U45" s="56">
        <f>+Q45-'St of Net Assets - GA'!M45-'LT _Lia - GA'!S45</f>
        <v>0</v>
      </c>
    </row>
    <row r="46" spans="1:21" ht="12.75">
      <c r="A46" s="28" t="s">
        <v>43</v>
      </c>
      <c r="B46" s="28"/>
      <c r="C46" s="84">
        <v>5322000</v>
      </c>
      <c r="D46" s="84"/>
      <c r="E46" s="84">
        <v>0</v>
      </c>
      <c r="F46" s="84"/>
      <c r="G46" s="84">
        <v>0</v>
      </c>
      <c r="H46" s="84"/>
      <c r="I46" s="84">
        <v>0</v>
      </c>
      <c r="J46" s="84"/>
      <c r="K46" s="84">
        <v>0</v>
      </c>
      <c r="L46" s="84"/>
      <c r="M46" s="84">
        <v>865369</v>
      </c>
      <c r="N46" s="84"/>
      <c r="O46" s="84">
        <v>0</v>
      </c>
      <c r="P46" s="84"/>
      <c r="Q46" s="84">
        <f t="shared" si="0"/>
        <v>6187369</v>
      </c>
      <c r="R46" s="29"/>
      <c r="S46" s="28">
        <v>922522</v>
      </c>
      <c r="U46" s="56">
        <f>+Q46-'St of Net Assets - GA'!M46-'LT _Lia - GA'!S46</f>
        <v>0</v>
      </c>
    </row>
    <row r="47" spans="1:21" ht="12.75">
      <c r="A47" s="28" t="s">
        <v>44</v>
      </c>
      <c r="B47" s="28"/>
      <c r="C47" s="84">
        <v>8193369</v>
      </c>
      <c r="D47" s="84"/>
      <c r="E47" s="84">
        <v>0</v>
      </c>
      <c r="F47" s="84"/>
      <c r="G47" s="84">
        <v>0</v>
      </c>
      <c r="H47" s="84"/>
      <c r="I47" s="84">
        <v>0</v>
      </c>
      <c r="J47" s="84"/>
      <c r="K47" s="84">
        <v>0</v>
      </c>
      <c r="L47" s="84"/>
      <c r="M47" s="84">
        <v>0</v>
      </c>
      <c r="N47" s="84"/>
      <c r="O47" s="84">
        <v>245000</v>
      </c>
      <c r="P47" s="84"/>
      <c r="Q47" s="84">
        <f t="shared" si="0"/>
        <v>8438369</v>
      </c>
      <c r="R47" s="29"/>
      <c r="S47" s="28">
        <v>660000</v>
      </c>
      <c r="U47" s="56">
        <f>+Q47-'St of Net Assets - GA'!M47-'LT _Lia - GA'!S47</f>
        <v>0</v>
      </c>
    </row>
    <row r="48" spans="1:21" ht="12.75" hidden="1">
      <c r="A48" s="28" t="s">
        <v>45</v>
      </c>
      <c r="B48" s="28"/>
      <c r="C48" s="84">
        <v>0</v>
      </c>
      <c r="D48" s="84"/>
      <c r="E48" s="84">
        <v>0</v>
      </c>
      <c r="F48" s="84"/>
      <c r="G48" s="84">
        <v>0</v>
      </c>
      <c r="H48" s="84"/>
      <c r="I48" s="84">
        <v>0</v>
      </c>
      <c r="J48" s="84"/>
      <c r="K48" s="84">
        <v>0</v>
      </c>
      <c r="L48" s="84"/>
      <c r="M48" s="84">
        <v>0</v>
      </c>
      <c r="N48" s="84"/>
      <c r="O48" s="84">
        <v>0</v>
      </c>
      <c r="P48" s="84"/>
      <c r="Q48" s="84">
        <f t="shared" si="0"/>
        <v>0</v>
      </c>
      <c r="R48" s="29"/>
      <c r="S48" s="28"/>
      <c r="U48" s="56">
        <f>+Q48-'St of Net Assets - GA'!M48-'LT _Lia - GA'!S48</f>
        <v>0</v>
      </c>
    </row>
    <row r="49" spans="1:21" ht="12.75">
      <c r="A49" s="28" t="s">
        <v>46</v>
      </c>
      <c r="B49" s="28"/>
      <c r="C49" s="84">
        <v>24881495</v>
      </c>
      <c r="D49" s="84"/>
      <c r="E49" s="84"/>
      <c r="F49" s="84"/>
      <c r="G49" s="84">
        <v>783160</v>
      </c>
      <c r="H49" s="84"/>
      <c r="I49" s="84">
        <f>256039+61774</f>
        <v>317813</v>
      </c>
      <c r="J49" s="84"/>
      <c r="K49" s="84">
        <v>87425</v>
      </c>
      <c r="L49" s="84"/>
      <c r="M49" s="84">
        <v>2159293</v>
      </c>
      <c r="N49" s="84"/>
      <c r="O49" s="84">
        <f>2900332+66099+255972</f>
        <v>3222403</v>
      </c>
      <c r="P49" s="84"/>
      <c r="Q49" s="84">
        <f t="shared" si="0"/>
        <v>31451589</v>
      </c>
      <c r="R49" s="29"/>
      <c r="S49" s="28">
        <v>2532324</v>
      </c>
      <c r="U49" s="56">
        <f>+Q49-'St of Net Assets - GA'!M49-'LT _Lia - GA'!S49</f>
        <v>0</v>
      </c>
    </row>
    <row r="50" spans="1:21" ht="12.75">
      <c r="A50" s="28" t="s">
        <v>47</v>
      </c>
      <c r="B50" s="28"/>
      <c r="C50" s="84">
        <v>11910000</v>
      </c>
      <c r="D50" s="84"/>
      <c r="E50" s="84">
        <v>260000</v>
      </c>
      <c r="F50" s="84"/>
      <c r="G50" s="84">
        <v>175000</v>
      </c>
      <c r="H50" s="84"/>
      <c r="I50" s="84">
        <v>0</v>
      </c>
      <c r="J50" s="84"/>
      <c r="K50" s="84">
        <v>7757</v>
      </c>
      <c r="L50" s="84"/>
      <c r="M50" s="84">
        <v>811447</v>
      </c>
      <c r="N50" s="84"/>
      <c r="O50" s="84">
        <v>0</v>
      </c>
      <c r="P50" s="84"/>
      <c r="Q50" s="84">
        <f t="shared" si="0"/>
        <v>13164204</v>
      </c>
      <c r="R50" s="29"/>
      <c r="S50" s="28">
        <v>1279986</v>
      </c>
      <c r="U50" s="56">
        <f>+Q50-'St of Net Assets - GA'!M50-'LT _Lia - GA'!S50</f>
        <v>0</v>
      </c>
    </row>
    <row r="51" spans="1:21" ht="12.75">
      <c r="A51" s="28" t="s">
        <v>48</v>
      </c>
      <c r="B51" s="28"/>
      <c r="C51" s="84">
        <v>15085000</v>
      </c>
      <c r="D51" s="84"/>
      <c r="E51" s="84">
        <v>7266700</v>
      </c>
      <c r="F51" s="84"/>
      <c r="G51" s="84">
        <v>0</v>
      </c>
      <c r="H51" s="84"/>
      <c r="I51" s="84">
        <v>0</v>
      </c>
      <c r="J51" s="84"/>
      <c r="K51" s="84">
        <v>347908</v>
      </c>
      <c r="L51" s="84"/>
      <c r="M51" s="84">
        <v>9853702</v>
      </c>
      <c r="N51" s="84"/>
      <c r="O51" s="84">
        <v>0</v>
      </c>
      <c r="P51" s="84"/>
      <c r="Q51" s="84">
        <f t="shared" si="0"/>
        <v>32553310</v>
      </c>
      <c r="R51" s="29"/>
      <c r="S51" s="28">
        <v>3009526</v>
      </c>
      <c r="U51" s="56">
        <f>+Q51-'St of Net Assets - GA'!M51-'LT _Lia - GA'!S51</f>
        <v>0</v>
      </c>
    </row>
    <row r="52" spans="1:21" ht="12.75" hidden="1">
      <c r="A52" s="28" t="s">
        <v>246</v>
      </c>
      <c r="B52" s="28"/>
      <c r="C52" s="84">
        <v>0</v>
      </c>
      <c r="D52" s="84"/>
      <c r="E52" s="84">
        <v>0</v>
      </c>
      <c r="F52" s="84"/>
      <c r="G52" s="84">
        <v>0</v>
      </c>
      <c r="H52" s="84"/>
      <c r="I52" s="84">
        <v>0</v>
      </c>
      <c r="J52" s="84"/>
      <c r="K52" s="84">
        <v>0</v>
      </c>
      <c r="L52" s="84"/>
      <c r="M52" s="84">
        <v>0</v>
      </c>
      <c r="N52" s="84"/>
      <c r="O52" s="84">
        <v>0</v>
      </c>
      <c r="P52" s="84"/>
      <c r="Q52" s="84">
        <f t="shared" si="0"/>
        <v>0</v>
      </c>
      <c r="R52" s="29"/>
      <c r="S52" s="28"/>
      <c r="U52" s="56">
        <f>+Q52-'St of Net Assets - GA'!M52-'LT _Lia - GA'!S52</f>
        <v>0</v>
      </c>
    </row>
    <row r="53" spans="1:21" ht="12.75">
      <c r="A53" s="28" t="s">
        <v>49</v>
      </c>
      <c r="B53" s="28"/>
      <c r="C53" s="84">
        <v>11793630</v>
      </c>
      <c r="D53" s="84"/>
      <c r="E53" s="84">
        <v>218816</v>
      </c>
      <c r="F53" s="84"/>
      <c r="G53" s="84">
        <v>0</v>
      </c>
      <c r="H53" s="84"/>
      <c r="I53" s="84">
        <v>0</v>
      </c>
      <c r="J53" s="84"/>
      <c r="K53" s="84">
        <v>0</v>
      </c>
      <c r="L53" s="84"/>
      <c r="M53" s="84">
        <v>3059490</v>
      </c>
      <c r="N53" s="84"/>
      <c r="O53" s="84">
        <v>0</v>
      </c>
      <c r="P53" s="84"/>
      <c r="Q53" s="84">
        <f t="shared" si="0"/>
        <v>15071936</v>
      </c>
      <c r="R53" s="29"/>
      <c r="S53" s="28">
        <v>2485634</v>
      </c>
      <c r="U53" s="56">
        <f>+Q53-'St of Net Assets - GA'!M53-'LT _Lia - GA'!S53</f>
        <v>0</v>
      </c>
    </row>
    <row r="54" spans="1:21" ht="12.75">
      <c r="A54" s="28" t="s">
        <v>50</v>
      </c>
      <c r="B54" s="28"/>
      <c r="C54" s="84">
        <v>8295000</v>
      </c>
      <c r="D54" s="84"/>
      <c r="E54" s="84">
        <v>0</v>
      </c>
      <c r="F54" s="84"/>
      <c r="G54" s="84">
        <v>0</v>
      </c>
      <c r="H54" s="84"/>
      <c r="I54" s="84">
        <v>0</v>
      </c>
      <c r="J54" s="84"/>
      <c r="K54" s="84">
        <v>70071</v>
      </c>
      <c r="L54" s="84"/>
      <c r="M54" s="84">
        <v>1126269</v>
      </c>
      <c r="N54" s="84"/>
      <c r="O54" s="84">
        <v>0</v>
      </c>
      <c r="P54" s="84"/>
      <c r="Q54" s="84">
        <f t="shared" si="0"/>
        <v>9491340</v>
      </c>
      <c r="R54" s="29"/>
      <c r="S54" s="28">
        <v>1489006</v>
      </c>
      <c r="U54" s="56">
        <f>+Q54-'St of Net Assets - GA'!M54-'LT _Lia - GA'!S54</f>
        <v>0</v>
      </c>
    </row>
    <row r="55" spans="1:21" ht="12.75">
      <c r="A55" s="28" t="s">
        <v>51</v>
      </c>
      <c r="B55" s="28"/>
      <c r="C55" s="84">
        <v>25320000</v>
      </c>
      <c r="D55" s="84"/>
      <c r="E55" s="84">
        <v>5175182</v>
      </c>
      <c r="F55" s="84"/>
      <c r="G55" s="84">
        <v>0</v>
      </c>
      <c r="H55" s="84"/>
      <c r="I55" s="84">
        <v>0</v>
      </c>
      <c r="J55" s="84"/>
      <c r="K55" s="84">
        <v>0</v>
      </c>
      <c r="L55" s="84"/>
      <c r="M55" s="84">
        <v>9534122</v>
      </c>
      <c r="N55" s="84"/>
      <c r="O55" s="84">
        <v>0</v>
      </c>
      <c r="P55" s="84"/>
      <c r="Q55" s="84">
        <f t="shared" si="0"/>
        <v>40029304</v>
      </c>
      <c r="R55" s="29"/>
      <c r="S55" s="28">
        <v>4752244</v>
      </c>
      <c r="U55" s="56">
        <f>+Q55-'St of Net Assets - GA'!M55-'LT _Lia - GA'!S55</f>
        <v>0</v>
      </c>
    </row>
    <row r="56" spans="1:21" ht="12.75">
      <c r="A56" s="28" t="s">
        <v>195</v>
      </c>
      <c r="B56" s="28"/>
      <c r="C56" s="84">
        <v>50500</v>
      </c>
      <c r="D56" s="84"/>
      <c r="E56" s="84">
        <f>13440+19005</f>
        <v>32445</v>
      </c>
      <c r="F56" s="84"/>
      <c r="G56" s="84">
        <v>0</v>
      </c>
      <c r="H56" s="84"/>
      <c r="I56" s="84">
        <f>20608+3006</f>
        <v>23614</v>
      </c>
      <c r="J56" s="84"/>
      <c r="K56" s="84">
        <v>6335</v>
      </c>
      <c r="L56" s="84"/>
      <c r="M56" s="84">
        <v>47747</v>
      </c>
      <c r="N56" s="84"/>
      <c r="O56" s="84">
        <v>28907</v>
      </c>
      <c r="P56" s="84"/>
      <c r="Q56" s="84">
        <f t="shared" si="0"/>
        <v>189548</v>
      </c>
      <c r="R56" s="29"/>
      <c r="S56" s="28">
        <v>94774</v>
      </c>
      <c r="U56" s="56">
        <f>+Q56-'St of Net Assets - GA'!M56-'LT _Lia - GA'!S56</f>
        <v>0</v>
      </c>
    </row>
    <row r="57" spans="1:21" ht="12.75" hidden="1">
      <c r="A57" s="28" t="s">
        <v>52</v>
      </c>
      <c r="B57" s="28"/>
      <c r="C57" s="84">
        <v>0</v>
      </c>
      <c r="D57" s="84"/>
      <c r="E57" s="84">
        <v>0</v>
      </c>
      <c r="F57" s="84"/>
      <c r="G57" s="84">
        <v>0</v>
      </c>
      <c r="H57" s="84"/>
      <c r="I57" s="84">
        <v>0</v>
      </c>
      <c r="J57" s="84"/>
      <c r="K57" s="84">
        <v>0</v>
      </c>
      <c r="L57" s="84"/>
      <c r="M57" s="84">
        <v>0</v>
      </c>
      <c r="N57" s="84"/>
      <c r="O57" s="84">
        <v>0</v>
      </c>
      <c r="P57" s="84"/>
      <c r="Q57" s="84">
        <f t="shared" si="0"/>
        <v>0</v>
      </c>
      <c r="R57" s="29"/>
      <c r="S57" s="28"/>
      <c r="U57" s="56">
        <f>+Q57-'St of Net Assets - GA'!M57-'LT _Lia - GA'!S57</f>
        <v>0</v>
      </c>
    </row>
    <row r="58" spans="1:21" ht="12.75">
      <c r="A58" s="28" t="s">
        <v>53</v>
      </c>
      <c r="B58" s="28"/>
      <c r="C58" s="84">
        <f>865000+25164840</f>
        <v>26029840</v>
      </c>
      <c r="D58" s="84"/>
      <c r="E58" s="84">
        <v>0</v>
      </c>
      <c r="F58" s="84"/>
      <c r="G58" s="84">
        <f>570363+10057500+482000</f>
        <v>11109863</v>
      </c>
      <c r="H58" s="84"/>
      <c r="I58" s="84">
        <v>0</v>
      </c>
      <c r="J58" s="84"/>
      <c r="K58" s="84">
        <v>0</v>
      </c>
      <c r="L58" s="84"/>
      <c r="M58" s="84">
        <v>7355126</v>
      </c>
      <c r="N58" s="84"/>
      <c r="O58" s="84">
        <f>-10057500+2213880</f>
        <v>-7843620</v>
      </c>
      <c r="P58" s="84"/>
      <c r="Q58" s="84">
        <f t="shared" si="0"/>
        <v>36651209</v>
      </c>
      <c r="R58" s="29"/>
      <c r="S58" s="28">
        <v>10083143</v>
      </c>
      <c r="U58" s="56">
        <f>+Q58-'St of Net Assets - GA'!M58-'LT _Lia - GA'!S58</f>
        <v>0</v>
      </c>
    </row>
    <row r="59" spans="1:21" ht="12.75">
      <c r="A59" s="28" t="s">
        <v>54</v>
      </c>
      <c r="B59" s="28"/>
      <c r="C59" s="84">
        <v>10451680</v>
      </c>
      <c r="D59" s="84"/>
      <c r="E59" s="84">
        <v>208320</v>
      </c>
      <c r="F59" s="84"/>
      <c r="G59" s="84">
        <v>0</v>
      </c>
      <c r="H59" s="84"/>
      <c r="I59" s="84">
        <f>115339+109916</f>
        <v>225255</v>
      </c>
      <c r="J59" s="84"/>
      <c r="K59" s="84">
        <v>0</v>
      </c>
      <c r="L59" s="84"/>
      <c r="M59" s="84">
        <v>1394723</v>
      </c>
      <c r="N59" s="84"/>
      <c r="O59" s="84">
        <v>0</v>
      </c>
      <c r="P59" s="84"/>
      <c r="Q59" s="84">
        <f t="shared" si="0"/>
        <v>12279978</v>
      </c>
      <c r="R59" s="29"/>
      <c r="S59" s="28">
        <v>1074376</v>
      </c>
      <c r="U59" s="56">
        <f>+Q59-'St of Net Assets - GA'!M59-'LT _Lia - GA'!S59</f>
        <v>0</v>
      </c>
    </row>
    <row r="60" spans="1:21" ht="12.75">
      <c r="A60" s="28" t="s">
        <v>55</v>
      </c>
      <c r="B60" s="28"/>
      <c r="C60" s="84">
        <v>13085244</v>
      </c>
      <c r="D60" s="84"/>
      <c r="E60" s="84">
        <v>2433492</v>
      </c>
      <c r="F60" s="84"/>
      <c r="G60" s="84">
        <v>0</v>
      </c>
      <c r="H60" s="84"/>
      <c r="I60" s="84">
        <f>226960+2769668</f>
        <v>2996628</v>
      </c>
      <c r="J60" s="84"/>
      <c r="K60" s="84">
        <v>0</v>
      </c>
      <c r="L60" s="84"/>
      <c r="M60" s="84">
        <v>2700333</v>
      </c>
      <c r="N60" s="84"/>
      <c r="O60" s="84">
        <v>0</v>
      </c>
      <c r="P60" s="84"/>
      <c r="Q60" s="84">
        <f t="shared" si="0"/>
        <v>21215697</v>
      </c>
      <c r="R60" s="29"/>
      <c r="S60" s="28">
        <v>2383168</v>
      </c>
      <c r="U60" s="56">
        <f>+Q60-'St of Net Assets - GA'!M60-'LT _Lia - GA'!S60</f>
        <v>0</v>
      </c>
    </row>
    <row r="61" spans="1:21" ht="12.75" hidden="1">
      <c r="A61" s="28" t="s">
        <v>180</v>
      </c>
      <c r="B61" s="28"/>
      <c r="C61" s="84">
        <v>0</v>
      </c>
      <c r="D61" s="84"/>
      <c r="E61" s="84">
        <v>0</v>
      </c>
      <c r="F61" s="84"/>
      <c r="G61" s="84">
        <v>0</v>
      </c>
      <c r="H61" s="84"/>
      <c r="I61" s="84">
        <v>0</v>
      </c>
      <c r="J61" s="84"/>
      <c r="K61" s="84">
        <v>0</v>
      </c>
      <c r="L61" s="84"/>
      <c r="M61" s="84">
        <v>0</v>
      </c>
      <c r="N61" s="84"/>
      <c r="O61" s="84">
        <v>0</v>
      </c>
      <c r="P61" s="84"/>
      <c r="Q61" s="84">
        <f t="shared" si="0"/>
        <v>0</v>
      </c>
      <c r="R61" s="29"/>
      <c r="S61" s="28"/>
      <c r="U61" s="56">
        <f>+Q61-'St of Net Assets - GA'!M61-'LT _Lia - GA'!S61</f>
        <v>0</v>
      </c>
    </row>
    <row r="62" spans="1:21" ht="12.75" hidden="1">
      <c r="A62" s="28" t="s">
        <v>56</v>
      </c>
      <c r="B62" s="28"/>
      <c r="C62" s="84">
        <v>0</v>
      </c>
      <c r="D62" s="84"/>
      <c r="E62" s="84">
        <v>0</v>
      </c>
      <c r="F62" s="84"/>
      <c r="G62" s="84">
        <v>0</v>
      </c>
      <c r="H62" s="84"/>
      <c r="I62" s="84">
        <v>0</v>
      </c>
      <c r="J62" s="84"/>
      <c r="K62" s="84">
        <v>0</v>
      </c>
      <c r="L62" s="84"/>
      <c r="M62" s="84">
        <v>0</v>
      </c>
      <c r="N62" s="84"/>
      <c r="O62" s="84">
        <v>0</v>
      </c>
      <c r="P62" s="84"/>
      <c r="Q62" s="84">
        <f t="shared" si="0"/>
        <v>0</v>
      </c>
      <c r="R62" s="29"/>
      <c r="S62" s="28"/>
      <c r="U62" s="56">
        <f>+Q62-'St of Net Assets - GA'!M62-'LT _Lia - GA'!S62</f>
        <v>0</v>
      </c>
    </row>
    <row r="63" spans="1:21" ht="12.75">
      <c r="A63" s="28" t="s">
        <v>57</v>
      </c>
      <c r="B63" s="28"/>
      <c r="C63" s="84">
        <v>7560000</v>
      </c>
      <c r="D63" s="84"/>
      <c r="E63" s="84">
        <v>0</v>
      </c>
      <c r="F63" s="84"/>
      <c r="G63" s="84">
        <v>0</v>
      </c>
      <c r="H63" s="84"/>
      <c r="I63" s="84">
        <v>0</v>
      </c>
      <c r="J63" s="84"/>
      <c r="K63" s="84">
        <v>152715</v>
      </c>
      <c r="L63" s="84"/>
      <c r="M63" s="84">
        <v>2401442</v>
      </c>
      <c r="N63" s="84"/>
      <c r="O63" s="84">
        <v>147923</v>
      </c>
      <c r="P63" s="84"/>
      <c r="Q63" s="84">
        <f t="shared" si="0"/>
        <v>10262080</v>
      </c>
      <c r="R63" s="29"/>
      <c r="S63" s="28">
        <v>2013509</v>
      </c>
      <c r="U63" s="56">
        <f>+Q63-'St of Net Assets - GA'!M63-'LT _Lia - GA'!S63</f>
        <v>0</v>
      </c>
    </row>
    <row r="64" spans="1:21" ht="12.75">
      <c r="A64" s="28" t="s">
        <v>58</v>
      </c>
      <c r="B64" s="28"/>
      <c r="C64" s="84">
        <v>285727</v>
      </c>
      <c r="D64" s="84"/>
      <c r="E64" s="84">
        <v>0</v>
      </c>
      <c r="F64" s="84"/>
      <c r="G64" s="84">
        <v>0</v>
      </c>
      <c r="H64" s="84"/>
      <c r="I64" s="84">
        <v>0</v>
      </c>
      <c r="J64" s="84"/>
      <c r="K64" s="84">
        <v>1728</v>
      </c>
      <c r="L64" s="84"/>
      <c r="M64" s="84">
        <v>410471</v>
      </c>
      <c r="N64" s="84"/>
      <c r="O64" s="84">
        <v>0</v>
      </c>
      <c r="P64" s="84"/>
      <c r="Q64" s="84">
        <f t="shared" si="0"/>
        <v>697926</v>
      </c>
      <c r="R64" s="29"/>
      <c r="S64" s="28">
        <v>208192</v>
      </c>
      <c r="U64" s="56">
        <f>+Q64-'St of Net Assets - GA'!M64-'LT _Lia - GA'!S64</f>
        <v>0</v>
      </c>
    </row>
    <row r="65" spans="1:21" ht="12.75">
      <c r="A65" s="28" t="s">
        <v>59</v>
      </c>
      <c r="B65" s="28"/>
      <c r="C65" s="84">
        <v>36805000</v>
      </c>
      <c r="D65" s="84"/>
      <c r="E65" s="84">
        <v>2360477</v>
      </c>
      <c r="F65" s="84"/>
      <c r="G65" s="84">
        <v>0</v>
      </c>
      <c r="H65" s="84"/>
      <c r="I65" s="84">
        <v>0</v>
      </c>
      <c r="J65" s="84"/>
      <c r="K65" s="84">
        <v>1186575</v>
      </c>
      <c r="L65" s="84"/>
      <c r="M65" s="84">
        <v>17569313</v>
      </c>
      <c r="N65" s="84"/>
      <c r="O65" s="84">
        <v>0</v>
      </c>
      <c r="P65" s="84"/>
      <c r="Q65" s="84">
        <f t="shared" si="0"/>
        <v>57921365</v>
      </c>
      <c r="R65" s="29"/>
      <c r="S65" s="28">
        <f>3090000+6256357+391949+168735</f>
        <v>9907041</v>
      </c>
      <c r="U65" s="56">
        <f>+Q65-'St of Net Assets - GA'!M65-'LT _Lia - GA'!S65</f>
        <v>0</v>
      </c>
    </row>
    <row r="66" spans="1:21" ht="12.75" hidden="1">
      <c r="A66" s="28" t="s">
        <v>60</v>
      </c>
      <c r="B66" s="28"/>
      <c r="C66" s="84">
        <v>0</v>
      </c>
      <c r="D66" s="84"/>
      <c r="E66" s="84">
        <v>0</v>
      </c>
      <c r="F66" s="84"/>
      <c r="G66" s="84">
        <v>0</v>
      </c>
      <c r="H66" s="84"/>
      <c r="I66" s="84">
        <v>0</v>
      </c>
      <c r="J66" s="84"/>
      <c r="K66" s="84">
        <v>0</v>
      </c>
      <c r="L66" s="84"/>
      <c r="M66" s="84">
        <v>0</v>
      </c>
      <c r="N66" s="84"/>
      <c r="O66" s="84">
        <v>0</v>
      </c>
      <c r="P66" s="84"/>
      <c r="Q66" s="84">
        <f t="shared" si="0"/>
        <v>0</v>
      </c>
      <c r="R66" s="29"/>
      <c r="S66" s="28"/>
      <c r="U66" s="56">
        <f>+Q66-'St of Net Assets - GA'!M66-'LT _Lia - GA'!S66</f>
        <v>0</v>
      </c>
    </row>
    <row r="67" spans="1:21" ht="12.75">
      <c r="A67" s="28" t="s">
        <v>98</v>
      </c>
      <c r="B67" s="28"/>
      <c r="C67" s="84">
        <v>2505000</v>
      </c>
      <c r="D67" s="84"/>
      <c r="E67" s="84">
        <v>49184</v>
      </c>
      <c r="F67" s="84"/>
      <c r="G67" s="84">
        <v>2590000</v>
      </c>
      <c r="H67" s="84"/>
      <c r="I67" s="84">
        <f>211051+151830</f>
        <v>362881</v>
      </c>
      <c r="J67" s="84"/>
      <c r="K67" s="84">
        <v>45823</v>
      </c>
      <c r="L67" s="84"/>
      <c r="M67" s="84">
        <v>525545</v>
      </c>
      <c r="N67" s="84"/>
      <c r="O67" s="84">
        <v>0</v>
      </c>
      <c r="P67" s="84"/>
      <c r="Q67" s="84">
        <f t="shared" si="0"/>
        <v>6078433</v>
      </c>
      <c r="R67" s="29"/>
      <c r="S67" s="28">
        <v>3028185</v>
      </c>
      <c r="U67" s="56">
        <f>+Q67-'St of Net Assets - GA'!M67-'LT _Lia - GA'!S67</f>
        <v>0</v>
      </c>
    </row>
    <row r="68" spans="1:21" ht="12.75">
      <c r="A68" s="28" t="s">
        <v>62</v>
      </c>
      <c r="B68" s="28"/>
      <c r="C68" s="84">
        <v>15710000</v>
      </c>
      <c r="D68" s="84"/>
      <c r="E68" s="84">
        <v>1200997</v>
      </c>
      <c r="F68" s="84"/>
      <c r="G68" s="84">
        <v>0</v>
      </c>
      <c r="H68" s="84"/>
      <c r="I68" s="84">
        <v>0</v>
      </c>
      <c r="J68" s="84"/>
      <c r="K68" s="84">
        <v>64735</v>
      </c>
      <c r="L68" s="84"/>
      <c r="M68" s="84">
        <v>2595527</v>
      </c>
      <c r="N68" s="84"/>
      <c r="O68" s="84">
        <f>224086+14559305+167152</f>
        <v>14950543</v>
      </c>
      <c r="P68" s="84"/>
      <c r="Q68" s="84">
        <f t="shared" si="0"/>
        <v>34521802</v>
      </c>
      <c r="R68" s="29"/>
      <c r="S68" s="28">
        <v>2656897</v>
      </c>
      <c r="U68" s="56">
        <f>+Q68-'St of Net Assets - GA'!M68-'LT _Lia - GA'!S68</f>
        <v>0</v>
      </c>
    </row>
    <row r="69" spans="1:21" ht="12.75">
      <c r="A69" s="28" t="s">
        <v>63</v>
      </c>
      <c r="B69" s="28"/>
      <c r="C69" s="84">
        <v>1200000</v>
      </c>
      <c r="D69" s="84"/>
      <c r="E69" s="84">
        <v>0</v>
      </c>
      <c r="F69" s="84"/>
      <c r="G69" s="84">
        <v>23044</v>
      </c>
      <c r="H69" s="84"/>
      <c r="I69" s="84">
        <v>0</v>
      </c>
      <c r="J69" s="84"/>
      <c r="K69" s="84">
        <v>0</v>
      </c>
      <c r="L69" s="84"/>
      <c r="M69" s="84">
        <v>330613</v>
      </c>
      <c r="N69" s="84"/>
      <c r="O69" s="84">
        <v>0</v>
      </c>
      <c r="P69" s="84"/>
      <c r="Q69" s="84">
        <f t="shared" si="0"/>
        <v>1553657</v>
      </c>
      <c r="R69" s="29"/>
      <c r="S69" s="28">
        <v>313009</v>
      </c>
      <c r="U69" s="56">
        <f>+Q69-'St of Net Assets - GA'!M69-'LT _Lia - GA'!S69</f>
        <v>0</v>
      </c>
    </row>
    <row r="70" spans="1:21" ht="12.75">
      <c r="A70" s="28" t="s">
        <v>64</v>
      </c>
      <c r="B70" s="28"/>
      <c r="C70" s="84">
        <f>200000+7491165</f>
        <v>7691165</v>
      </c>
      <c r="D70" s="84"/>
      <c r="E70" s="84">
        <v>5868800</v>
      </c>
      <c r="F70" s="84"/>
      <c r="G70" s="84">
        <v>0</v>
      </c>
      <c r="H70" s="84"/>
      <c r="I70" s="84">
        <v>15778667</v>
      </c>
      <c r="J70" s="84"/>
      <c r="K70" s="84">
        <v>39628</v>
      </c>
      <c r="L70" s="84"/>
      <c r="M70" s="84">
        <v>1301249</v>
      </c>
      <c r="N70" s="84"/>
      <c r="O70" s="84">
        <v>0</v>
      </c>
      <c r="P70" s="84"/>
      <c r="Q70" s="84">
        <f t="shared" si="0"/>
        <v>30679509</v>
      </c>
      <c r="R70" s="29"/>
      <c r="S70" s="28">
        <v>2284932</v>
      </c>
      <c r="U70" s="56">
        <f>+Q70-'St of Net Assets - GA'!M70-'LT _Lia - GA'!S70</f>
        <v>0</v>
      </c>
    </row>
    <row r="71" spans="1:21" ht="12.75" hidden="1">
      <c r="A71" s="28" t="s">
        <v>137</v>
      </c>
      <c r="B71" s="28"/>
      <c r="C71" s="84">
        <v>0</v>
      </c>
      <c r="D71" s="84"/>
      <c r="E71" s="84">
        <v>0</v>
      </c>
      <c r="F71" s="84"/>
      <c r="G71" s="84">
        <v>0</v>
      </c>
      <c r="H71" s="84"/>
      <c r="I71" s="84">
        <v>0</v>
      </c>
      <c r="J71" s="84"/>
      <c r="K71" s="84">
        <v>0</v>
      </c>
      <c r="L71" s="84"/>
      <c r="M71" s="84">
        <v>0</v>
      </c>
      <c r="N71" s="84"/>
      <c r="O71" s="84">
        <v>0</v>
      </c>
      <c r="P71" s="84"/>
      <c r="Q71" s="84">
        <f t="shared" si="0"/>
        <v>0</v>
      </c>
      <c r="R71" s="29"/>
      <c r="S71" s="28"/>
      <c r="U71" s="56">
        <f>+Q71-'St of Net Assets - GA'!M71-'LT _Lia - GA'!S71</f>
        <v>0</v>
      </c>
    </row>
    <row r="72" spans="1:21" ht="12.75" hidden="1">
      <c r="A72" s="28" t="s">
        <v>65</v>
      </c>
      <c r="B72" s="28"/>
      <c r="C72" s="84">
        <v>0</v>
      </c>
      <c r="D72" s="84"/>
      <c r="E72" s="84">
        <v>0</v>
      </c>
      <c r="F72" s="84"/>
      <c r="G72" s="84">
        <v>0</v>
      </c>
      <c r="H72" s="84"/>
      <c r="I72" s="84">
        <v>0</v>
      </c>
      <c r="J72" s="84"/>
      <c r="K72" s="84">
        <v>0</v>
      </c>
      <c r="L72" s="84"/>
      <c r="M72" s="84">
        <v>0</v>
      </c>
      <c r="N72" s="84"/>
      <c r="O72" s="84">
        <v>0</v>
      </c>
      <c r="P72" s="84"/>
      <c r="Q72" s="84">
        <f t="shared" si="0"/>
        <v>0</v>
      </c>
      <c r="R72" s="29"/>
      <c r="S72" s="28"/>
      <c r="U72" s="56">
        <f>+Q72-'St of Net Assets - GA'!M72-'LT _Lia - GA'!S72</f>
        <v>0</v>
      </c>
    </row>
    <row r="73" spans="1:21" ht="12.75">
      <c r="A73" s="28" t="s">
        <v>66</v>
      </c>
      <c r="B73" s="28"/>
      <c r="C73" s="84">
        <v>21985</v>
      </c>
      <c r="D73" s="84"/>
      <c r="E73" s="84">
        <v>138000</v>
      </c>
      <c r="F73" s="84"/>
      <c r="G73" s="84">
        <f>185000+117375+559668+179307+65315+617201</f>
        <v>1723866</v>
      </c>
      <c r="H73" s="84"/>
      <c r="I73" s="84">
        <v>0</v>
      </c>
      <c r="J73" s="84"/>
      <c r="K73" s="84">
        <v>281012</v>
      </c>
      <c r="L73" s="84"/>
      <c r="M73" s="84">
        <v>1059483</v>
      </c>
      <c r="N73" s="84"/>
      <c r="O73" s="84">
        <v>0</v>
      </c>
      <c r="P73" s="84"/>
      <c r="Q73" s="84">
        <f aca="true" t="shared" si="1" ref="Q73:Q95">SUM(C73:O73)</f>
        <v>3224346</v>
      </c>
      <c r="R73" s="29"/>
      <c r="S73" s="28">
        <v>1059954</v>
      </c>
      <c r="U73" s="56">
        <f>+Q73-'St of Net Assets - GA'!M73-'LT _Lia - GA'!S73</f>
        <v>0</v>
      </c>
    </row>
    <row r="74" spans="1:21" ht="12.75">
      <c r="A74" s="28" t="s">
        <v>67</v>
      </c>
      <c r="B74" s="28"/>
      <c r="C74" s="84">
        <f>565593+107812+76875+41625+43996+92578+115625+85500+30000</f>
        <v>1159604</v>
      </c>
      <c r="D74" s="84"/>
      <c r="E74" s="84">
        <v>0</v>
      </c>
      <c r="F74" s="84"/>
      <c r="G74" s="84">
        <v>0</v>
      </c>
      <c r="H74" s="84"/>
      <c r="I74" s="84">
        <v>0</v>
      </c>
      <c r="J74" s="84"/>
      <c r="K74" s="84">
        <v>52073</v>
      </c>
      <c r="L74" s="84"/>
      <c r="M74" s="84">
        <v>0</v>
      </c>
      <c r="N74" s="84"/>
      <c r="O74" s="84">
        <v>0</v>
      </c>
      <c r="P74" s="84"/>
      <c r="Q74" s="84">
        <f t="shared" si="1"/>
        <v>1211677</v>
      </c>
      <c r="R74" s="29"/>
      <c r="S74" s="28">
        <v>124590</v>
      </c>
      <c r="U74" s="56">
        <f>+Q74-'St of Net Assets - GA'!M74-'LT _Lia - GA'!S74</f>
        <v>0</v>
      </c>
    </row>
    <row r="75" spans="1:21" ht="12.75">
      <c r="A75" s="28" t="s">
        <v>68</v>
      </c>
      <c r="B75" s="28"/>
      <c r="C75" s="84">
        <v>17125902</v>
      </c>
      <c r="D75" s="84"/>
      <c r="E75" s="84">
        <v>1298057</v>
      </c>
      <c r="F75" s="84"/>
      <c r="G75" s="84">
        <v>0</v>
      </c>
      <c r="H75" s="84"/>
      <c r="I75" s="84">
        <v>714066</v>
      </c>
      <c r="J75" s="84"/>
      <c r="K75" s="84">
        <v>0</v>
      </c>
      <c r="L75" s="84"/>
      <c r="M75" s="84">
        <v>3589187</v>
      </c>
      <c r="N75" s="84"/>
      <c r="O75" s="84">
        <v>0</v>
      </c>
      <c r="P75" s="84"/>
      <c r="Q75" s="84">
        <f t="shared" si="1"/>
        <v>22727212</v>
      </c>
      <c r="R75" s="29"/>
      <c r="S75" s="28">
        <v>1067009</v>
      </c>
      <c r="U75" s="56">
        <f>+Q75-'St of Net Assets - GA'!M75-'LT _Lia - GA'!S75</f>
        <v>0</v>
      </c>
    </row>
    <row r="76" spans="1:21" ht="12.75">
      <c r="A76" s="28" t="s">
        <v>69</v>
      </c>
      <c r="B76" s="28"/>
      <c r="C76" s="84">
        <v>3557555</v>
      </c>
      <c r="D76" s="84"/>
      <c r="E76" s="84">
        <v>0</v>
      </c>
      <c r="F76" s="84"/>
      <c r="G76" s="84">
        <v>65000</v>
      </c>
      <c r="H76" s="84"/>
      <c r="I76" s="84">
        <v>0</v>
      </c>
      <c r="J76" s="84"/>
      <c r="K76" s="84">
        <v>0</v>
      </c>
      <c r="L76" s="84"/>
      <c r="M76" s="84">
        <v>742726</v>
      </c>
      <c r="N76" s="84"/>
      <c r="O76" s="84">
        <v>0</v>
      </c>
      <c r="P76" s="84"/>
      <c r="Q76" s="84">
        <f t="shared" si="1"/>
        <v>4365281</v>
      </c>
      <c r="R76" s="29"/>
      <c r="S76" s="28">
        <v>490598</v>
      </c>
      <c r="U76" s="56">
        <f>+Q76-'St of Net Assets - GA'!M76-'LT _Lia - GA'!S76</f>
        <v>0</v>
      </c>
    </row>
    <row r="77" spans="1:21" ht="12.75" hidden="1">
      <c r="A77" s="28" t="s">
        <v>185</v>
      </c>
      <c r="B77" s="28"/>
      <c r="C77" s="84">
        <v>0</v>
      </c>
      <c r="D77" s="84"/>
      <c r="E77" s="84">
        <v>0</v>
      </c>
      <c r="F77" s="84"/>
      <c r="G77" s="84">
        <v>0</v>
      </c>
      <c r="H77" s="84"/>
      <c r="I77" s="84">
        <v>0</v>
      </c>
      <c r="J77" s="84"/>
      <c r="K77" s="84">
        <v>0</v>
      </c>
      <c r="L77" s="84"/>
      <c r="M77" s="84">
        <v>0</v>
      </c>
      <c r="N77" s="84"/>
      <c r="O77" s="84">
        <v>0</v>
      </c>
      <c r="P77" s="84"/>
      <c r="Q77" s="84">
        <f t="shared" si="1"/>
        <v>0</v>
      </c>
      <c r="R77" s="29"/>
      <c r="S77" s="28"/>
      <c r="U77" s="56">
        <f>+Q77-'St of Net Assets - GA'!M77-'LT _Lia - GA'!S77</f>
        <v>0</v>
      </c>
    </row>
    <row r="78" spans="1:21" ht="12.75">
      <c r="A78" s="28" t="s">
        <v>190</v>
      </c>
      <c r="B78" s="28"/>
      <c r="C78" s="84">
        <v>8886117</v>
      </c>
      <c r="D78" s="84"/>
      <c r="E78" s="84">
        <v>10286652</v>
      </c>
      <c r="F78" s="84"/>
      <c r="G78" s="84">
        <v>0</v>
      </c>
      <c r="H78" s="84"/>
      <c r="I78" s="84">
        <v>0</v>
      </c>
      <c r="J78" s="84"/>
      <c r="K78" s="84">
        <v>1664244</v>
      </c>
      <c r="L78" s="84"/>
      <c r="M78" s="84">
        <v>2672991</v>
      </c>
      <c r="N78" s="84"/>
      <c r="O78" s="84">
        <v>0</v>
      </c>
      <c r="P78" s="84"/>
      <c r="Q78" s="84">
        <f t="shared" si="1"/>
        <v>23510004</v>
      </c>
      <c r="R78" s="29"/>
      <c r="S78" s="28">
        <v>2938600</v>
      </c>
      <c r="U78" s="56">
        <f>+Q78-'St of Net Assets - GA'!M78-'LT _Lia - GA'!S78</f>
        <v>0</v>
      </c>
    </row>
    <row r="79" spans="1:21" ht="12.75">
      <c r="A79" s="28" t="s">
        <v>70</v>
      </c>
      <c r="B79" s="28"/>
      <c r="C79" s="84">
        <f>4115000+1890000+2135000</f>
        <v>8140000</v>
      </c>
      <c r="D79" s="84"/>
      <c r="E79" s="84">
        <v>0</v>
      </c>
      <c r="F79" s="84"/>
      <c r="G79" s="84">
        <v>0</v>
      </c>
      <c r="H79" s="84"/>
      <c r="I79" s="84">
        <v>0</v>
      </c>
      <c r="J79" s="84"/>
      <c r="K79" s="84">
        <v>244894</v>
      </c>
      <c r="L79" s="84"/>
      <c r="M79" s="84">
        <v>2394088</v>
      </c>
      <c r="N79" s="84"/>
      <c r="O79" s="84">
        <v>0</v>
      </c>
      <c r="P79" s="84"/>
      <c r="Q79" s="84">
        <f t="shared" si="1"/>
        <v>10778982</v>
      </c>
      <c r="R79" s="29"/>
      <c r="S79" s="28">
        <v>1534696</v>
      </c>
      <c r="U79" s="56">
        <f>+Q79-'St of Net Assets - GA'!M79-'LT _Lia - GA'!S79</f>
        <v>0</v>
      </c>
    </row>
    <row r="80" spans="1:21" ht="12.75">
      <c r="A80" s="28" t="s">
        <v>99</v>
      </c>
      <c r="B80" s="28"/>
      <c r="C80" s="84">
        <v>5840000</v>
      </c>
      <c r="D80" s="84"/>
      <c r="E80" s="84">
        <v>34386</v>
      </c>
      <c r="F80" s="84"/>
      <c r="G80" s="84">
        <v>0</v>
      </c>
      <c r="H80" s="84"/>
      <c r="I80" s="84">
        <f>336359+1484969</f>
        <v>1821328</v>
      </c>
      <c r="J80" s="84"/>
      <c r="K80" s="84">
        <v>0</v>
      </c>
      <c r="L80" s="84"/>
      <c r="M80" s="84">
        <v>2488081</v>
      </c>
      <c r="N80" s="84"/>
      <c r="O80" s="84">
        <v>0</v>
      </c>
      <c r="P80" s="84"/>
      <c r="Q80" s="84">
        <f t="shared" si="1"/>
        <v>10183795</v>
      </c>
      <c r="R80" s="29"/>
      <c r="S80" s="28">
        <v>1154188</v>
      </c>
      <c r="U80" s="56">
        <f>+Q80-'St of Net Assets - GA'!M80-'LT _Lia - GA'!S80</f>
        <v>0</v>
      </c>
    </row>
    <row r="81" spans="1:21" ht="12.75">
      <c r="A81" s="28" t="s">
        <v>71</v>
      </c>
      <c r="B81" s="28"/>
      <c r="C81" s="84">
        <v>7938903</v>
      </c>
      <c r="D81" s="84"/>
      <c r="E81" s="84">
        <v>0</v>
      </c>
      <c r="F81" s="84"/>
      <c r="G81" s="84">
        <v>1007000</v>
      </c>
      <c r="H81" s="84"/>
      <c r="I81" s="84">
        <v>66550</v>
      </c>
      <c r="J81" s="84"/>
      <c r="K81" s="84">
        <v>349537</v>
      </c>
      <c r="L81" s="84"/>
      <c r="M81" s="84">
        <v>1952575</v>
      </c>
      <c r="N81" s="84"/>
      <c r="O81" s="84">
        <v>0</v>
      </c>
      <c r="P81" s="84"/>
      <c r="Q81" s="84">
        <f t="shared" si="1"/>
        <v>11314565</v>
      </c>
      <c r="R81" s="29"/>
      <c r="S81" s="28">
        <v>1782117</v>
      </c>
      <c r="U81" s="56">
        <f>+Q81-'St of Net Assets - GA'!M81-'LT _Lia - GA'!S81</f>
        <v>0</v>
      </c>
    </row>
    <row r="82" spans="1:21" ht="12.75">
      <c r="A82" s="28" t="s">
        <v>72</v>
      </c>
      <c r="B82" s="28"/>
      <c r="C82" s="84">
        <v>6790000</v>
      </c>
      <c r="D82" s="84"/>
      <c r="E82" s="84">
        <v>0</v>
      </c>
      <c r="F82" s="84"/>
      <c r="G82" s="84">
        <v>1280000</v>
      </c>
      <c r="H82" s="84"/>
      <c r="I82" s="84">
        <f>103626+14846</f>
        <v>118472</v>
      </c>
      <c r="J82" s="84"/>
      <c r="K82" s="84">
        <v>0</v>
      </c>
      <c r="L82" s="84"/>
      <c r="M82" s="84">
        <v>1256425</v>
      </c>
      <c r="N82" s="84"/>
      <c r="O82" s="84">
        <v>0</v>
      </c>
      <c r="P82" s="84"/>
      <c r="Q82" s="84">
        <f t="shared" si="1"/>
        <v>9444897</v>
      </c>
      <c r="R82" s="29"/>
      <c r="S82" s="28">
        <v>1922722</v>
      </c>
      <c r="U82" s="56">
        <f>+Q82-'St of Net Assets - GA'!M82-'LT _Lia - GA'!S82</f>
        <v>0</v>
      </c>
    </row>
    <row r="83" spans="1:21" ht="12.75">
      <c r="A83" s="28" t="s">
        <v>73</v>
      </c>
      <c r="B83" s="28"/>
      <c r="C83" s="84">
        <v>2437000</v>
      </c>
      <c r="D83" s="84"/>
      <c r="E83" s="84">
        <v>0</v>
      </c>
      <c r="F83" s="84"/>
      <c r="G83" s="84">
        <v>1014100</v>
      </c>
      <c r="H83" s="84"/>
      <c r="I83" s="84">
        <v>39864</v>
      </c>
      <c r="J83" s="84"/>
      <c r="K83" s="84">
        <v>42905</v>
      </c>
      <c r="L83" s="84"/>
      <c r="M83" s="84">
        <v>1253773</v>
      </c>
      <c r="N83" s="84"/>
      <c r="O83" s="84">
        <v>0</v>
      </c>
      <c r="P83" s="84"/>
      <c r="Q83" s="84">
        <f t="shared" si="1"/>
        <v>4787642</v>
      </c>
      <c r="R83" s="29"/>
      <c r="S83" s="28">
        <v>1613432</v>
      </c>
      <c r="U83" s="56">
        <f>+Q83-'St of Net Assets - GA'!M83-'LT _Lia - GA'!S83</f>
        <v>0</v>
      </c>
    </row>
    <row r="84" spans="1:21" ht="12.75">
      <c r="A84" s="28" t="s">
        <v>74</v>
      </c>
      <c r="B84" s="28"/>
      <c r="C84" s="84">
        <v>0</v>
      </c>
      <c r="D84" s="84"/>
      <c r="E84" s="84">
        <v>2742591</v>
      </c>
      <c r="F84" s="84"/>
      <c r="G84" s="84">
        <v>0</v>
      </c>
      <c r="H84" s="84"/>
      <c r="I84" s="84">
        <v>0</v>
      </c>
      <c r="J84" s="84"/>
      <c r="K84" s="84">
        <v>499889</v>
      </c>
      <c r="L84" s="84"/>
      <c r="M84" s="84">
        <v>6725565</v>
      </c>
      <c r="N84" s="84"/>
      <c r="O84" s="84">
        <v>0</v>
      </c>
      <c r="P84" s="84"/>
      <c r="Q84" s="84">
        <f t="shared" si="1"/>
        <v>9968045</v>
      </c>
      <c r="R84" s="29"/>
      <c r="S84" s="28">
        <v>4287385</v>
      </c>
      <c r="U84" s="56">
        <f>+Q84-'St of Net Assets - GA'!M84-'LT _Lia - GA'!S84</f>
        <v>0</v>
      </c>
    </row>
    <row r="85" spans="1:21" ht="12.75">
      <c r="A85" s="28" t="s">
        <v>75</v>
      </c>
      <c r="B85" s="28"/>
      <c r="C85" s="84">
        <v>87704848</v>
      </c>
      <c r="D85" s="84"/>
      <c r="E85" s="84">
        <v>0</v>
      </c>
      <c r="F85" s="84"/>
      <c r="G85" s="84">
        <f>2123605+10980000+2630665</f>
        <v>15734270</v>
      </c>
      <c r="H85" s="84"/>
      <c r="I85" s="84">
        <v>0</v>
      </c>
      <c r="J85" s="84"/>
      <c r="K85" s="84">
        <v>1583159</v>
      </c>
      <c r="L85" s="84"/>
      <c r="M85" s="84">
        <v>19593504</v>
      </c>
      <c r="N85" s="84"/>
      <c r="O85" s="84">
        <v>11453076</v>
      </c>
      <c r="P85" s="84"/>
      <c r="Q85" s="84">
        <f t="shared" si="1"/>
        <v>136068857</v>
      </c>
      <c r="R85" s="29"/>
      <c r="S85" s="28">
        <v>15301767</v>
      </c>
      <c r="U85" s="56">
        <f>+Q85-'St of Net Assets - GA'!M85-'LT _Lia - GA'!S85</f>
        <v>0</v>
      </c>
    </row>
    <row r="86" spans="1:21" ht="12.75">
      <c r="A86" s="28" t="s">
        <v>76</v>
      </c>
      <c r="B86" s="28"/>
      <c r="C86" s="84">
        <v>15260499</v>
      </c>
      <c r="D86" s="84"/>
      <c r="E86" s="84">
        <v>3472164</v>
      </c>
      <c r="F86" s="84"/>
      <c r="G86" s="84">
        <v>5785000</v>
      </c>
      <c r="H86" s="84"/>
      <c r="I86" s="84">
        <f>639320+1531596</f>
        <v>2170916</v>
      </c>
      <c r="J86" s="84"/>
      <c r="K86" s="84">
        <v>210596</v>
      </c>
      <c r="L86" s="84"/>
      <c r="M86" s="84">
        <v>4462254</v>
      </c>
      <c r="N86" s="84"/>
      <c r="O86" s="84">
        <v>0</v>
      </c>
      <c r="P86" s="84"/>
      <c r="Q86" s="84">
        <f t="shared" si="1"/>
        <v>31361429</v>
      </c>
      <c r="R86" s="29"/>
      <c r="S86" s="28">
        <v>2193253</v>
      </c>
      <c r="U86" s="56">
        <f>+Q86-'St of Net Assets - GA'!M86-'LT _Lia - GA'!S86</f>
        <v>0</v>
      </c>
    </row>
    <row r="87" spans="1:21" ht="12.75">
      <c r="A87" s="28" t="s">
        <v>77</v>
      </c>
      <c r="B87" s="28"/>
      <c r="C87" s="84">
        <v>0</v>
      </c>
      <c r="D87" s="84"/>
      <c r="E87" s="84">
        <v>0</v>
      </c>
      <c r="F87" s="84"/>
      <c r="G87" s="84">
        <v>0</v>
      </c>
      <c r="H87" s="84"/>
      <c r="I87" s="84">
        <v>0</v>
      </c>
      <c r="J87" s="84"/>
      <c r="K87" s="84">
        <v>209385</v>
      </c>
      <c r="L87" s="84"/>
      <c r="M87" s="84">
        <v>1404526</v>
      </c>
      <c r="N87" s="84"/>
      <c r="O87" s="84">
        <v>0</v>
      </c>
      <c r="P87" s="84"/>
      <c r="Q87" s="84">
        <f t="shared" si="1"/>
        <v>1613911</v>
      </c>
      <c r="R87" s="29"/>
      <c r="S87" s="28">
        <v>1095286</v>
      </c>
      <c r="U87" s="56">
        <f>+Q87-'St of Net Assets - GA'!M87-'LT _Lia - GA'!S87</f>
        <v>0</v>
      </c>
    </row>
    <row r="88" spans="1:21" ht="12.75">
      <c r="A88" s="28" t="s">
        <v>78</v>
      </c>
      <c r="B88" s="28"/>
      <c r="C88" s="84">
        <v>3655000</v>
      </c>
      <c r="D88" s="84"/>
      <c r="E88" s="84">
        <v>0</v>
      </c>
      <c r="F88" s="84"/>
      <c r="G88" s="84">
        <v>5675000</v>
      </c>
      <c r="H88" s="84"/>
      <c r="I88" s="84">
        <v>129881</v>
      </c>
      <c r="J88" s="84"/>
      <c r="K88" s="84">
        <v>0</v>
      </c>
      <c r="L88" s="84"/>
      <c r="M88" s="84">
        <v>624791</v>
      </c>
      <c r="N88" s="84"/>
      <c r="O88" s="84">
        <v>0</v>
      </c>
      <c r="P88" s="84"/>
      <c r="Q88" s="84">
        <f t="shared" si="1"/>
        <v>10084672</v>
      </c>
      <c r="R88" s="29"/>
      <c r="S88" s="28">
        <v>635850</v>
      </c>
      <c r="U88" s="56">
        <f>+Q88-'St of Net Assets - GA'!M88-'LT _Lia - GA'!S88</f>
        <v>0</v>
      </c>
    </row>
    <row r="89" spans="1:21" ht="12.75">
      <c r="A89" s="28" t="s">
        <v>79</v>
      </c>
      <c r="B89" s="28"/>
      <c r="C89" s="84">
        <v>2815279</v>
      </c>
      <c r="D89" s="84"/>
      <c r="E89" s="84">
        <v>509334</v>
      </c>
      <c r="F89" s="84"/>
      <c r="G89" s="84">
        <v>0</v>
      </c>
      <c r="H89" s="84"/>
      <c r="I89" s="84">
        <v>0</v>
      </c>
      <c r="J89" s="84"/>
      <c r="K89" s="84">
        <v>77355</v>
      </c>
      <c r="L89" s="84"/>
      <c r="M89" s="84">
        <v>557511</v>
      </c>
      <c r="N89" s="84"/>
      <c r="O89" s="84">
        <f>53039</f>
        <v>53039</v>
      </c>
      <c r="P89" s="84"/>
      <c r="Q89" s="84">
        <f t="shared" si="1"/>
        <v>4012518</v>
      </c>
      <c r="R89" s="29"/>
      <c r="S89" s="28">
        <v>731326</v>
      </c>
      <c r="U89" s="56">
        <f>+Q89-'St of Net Assets - GA'!M89-'LT _Lia - GA'!S89</f>
        <v>0</v>
      </c>
    </row>
    <row r="90" spans="1:21" ht="12.75">
      <c r="A90" s="28" t="s">
        <v>80</v>
      </c>
      <c r="B90" s="28"/>
      <c r="C90" s="84">
        <f>2690576-299091</f>
        <v>2391485</v>
      </c>
      <c r="D90" s="84"/>
      <c r="E90" s="84">
        <v>0</v>
      </c>
      <c r="F90" s="84"/>
      <c r="G90" s="84">
        <v>0</v>
      </c>
      <c r="H90" s="84"/>
      <c r="I90" s="84">
        <v>0</v>
      </c>
      <c r="J90" s="84"/>
      <c r="K90" s="84">
        <v>0</v>
      </c>
      <c r="L90" s="84"/>
      <c r="M90" s="84">
        <v>299091</v>
      </c>
      <c r="N90" s="84"/>
      <c r="O90" s="84">
        <v>0</v>
      </c>
      <c r="P90" s="84"/>
      <c r="Q90" s="84">
        <f t="shared" si="1"/>
        <v>2690576</v>
      </c>
      <c r="R90" s="29"/>
      <c r="S90" s="28">
        <v>92078</v>
      </c>
      <c r="U90" s="56">
        <f>+Q90-'St of Net Assets - GA'!M90-'LT _Lia - GA'!S90</f>
        <v>0</v>
      </c>
    </row>
    <row r="91" spans="1:21" ht="12.75">
      <c r="A91" s="28" t="s">
        <v>81</v>
      </c>
      <c r="B91" s="28"/>
      <c r="C91" s="84">
        <v>6505000</v>
      </c>
      <c r="D91" s="84"/>
      <c r="E91" s="84">
        <v>16746000</v>
      </c>
      <c r="F91" s="84"/>
      <c r="G91" s="84">
        <v>0</v>
      </c>
      <c r="H91" s="84"/>
      <c r="I91" s="84">
        <v>6761696</v>
      </c>
      <c r="J91" s="84"/>
      <c r="K91" s="84">
        <v>72905</v>
      </c>
      <c r="L91" s="84"/>
      <c r="M91" s="84">
        <v>4051493</v>
      </c>
      <c r="N91" s="84"/>
      <c r="O91" s="84">
        <v>0</v>
      </c>
      <c r="P91" s="84"/>
      <c r="Q91" s="84">
        <f t="shared" si="1"/>
        <v>34137094</v>
      </c>
      <c r="R91" s="29"/>
      <c r="S91" s="28">
        <v>1468605</v>
      </c>
      <c r="U91" s="56">
        <f>+Q91-'St of Net Assets - GA'!M91-'LT _Lia - GA'!S91</f>
        <v>0</v>
      </c>
    </row>
    <row r="92" spans="1:21" ht="12.75">
      <c r="A92" s="28" t="s">
        <v>82</v>
      </c>
      <c r="B92" s="28"/>
      <c r="C92" s="84">
        <v>3690000</v>
      </c>
      <c r="D92" s="84"/>
      <c r="E92" s="84">
        <v>4427000</v>
      </c>
      <c r="F92" s="84"/>
      <c r="G92" s="84">
        <v>68712</v>
      </c>
      <c r="H92" s="84"/>
      <c r="I92" s="84">
        <v>0</v>
      </c>
      <c r="J92" s="84"/>
      <c r="K92" s="84">
        <v>0</v>
      </c>
      <c r="L92" s="84"/>
      <c r="M92" s="84">
        <v>190520</v>
      </c>
      <c r="N92" s="84"/>
      <c r="O92" s="84">
        <v>42447</v>
      </c>
      <c r="P92" s="84"/>
      <c r="Q92" s="84">
        <f t="shared" si="1"/>
        <v>8418679</v>
      </c>
      <c r="R92" s="29"/>
      <c r="S92" s="28">
        <v>3945144</v>
      </c>
      <c r="U92" s="56">
        <v>0</v>
      </c>
    </row>
    <row r="93" spans="1:21" ht="12.75">
      <c r="A93" s="28" t="s">
        <v>83</v>
      </c>
      <c r="B93" s="28"/>
      <c r="C93" s="84">
        <v>12321500</v>
      </c>
      <c r="D93" s="84"/>
      <c r="E93" s="84">
        <v>0</v>
      </c>
      <c r="F93" s="84"/>
      <c r="G93" s="84">
        <v>0</v>
      </c>
      <c r="H93" s="84"/>
      <c r="I93" s="84">
        <v>43558</v>
      </c>
      <c r="J93" s="84"/>
      <c r="K93" s="84">
        <v>11223</v>
      </c>
      <c r="L93" s="84"/>
      <c r="M93" s="84">
        <v>2446039</v>
      </c>
      <c r="N93" s="84"/>
      <c r="O93" s="84">
        <v>0</v>
      </c>
      <c r="P93" s="84"/>
      <c r="Q93" s="84">
        <f t="shared" si="1"/>
        <v>14822320</v>
      </c>
      <c r="R93" s="29"/>
      <c r="S93" s="28">
        <v>1199924</v>
      </c>
      <c r="U93" s="56">
        <v>0</v>
      </c>
    </row>
    <row r="94" spans="1:21" ht="12.75" hidden="1">
      <c r="A94" s="28" t="s">
        <v>183</v>
      </c>
      <c r="B94" s="28"/>
      <c r="C94" s="84">
        <v>0</v>
      </c>
      <c r="D94" s="84"/>
      <c r="E94" s="84">
        <v>0</v>
      </c>
      <c r="F94" s="84"/>
      <c r="G94" s="84">
        <v>0</v>
      </c>
      <c r="H94" s="84"/>
      <c r="I94" s="84">
        <v>0</v>
      </c>
      <c r="J94" s="84"/>
      <c r="K94" s="84">
        <v>0</v>
      </c>
      <c r="L94" s="84"/>
      <c r="M94" s="84">
        <v>0</v>
      </c>
      <c r="N94" s="84"/>
      <c r="O94" s="84">
        <v>0</v>
      </c>
      <c r="P94" s="84"/>
      <c r="Q94" s="84">
        <f t="shared" si="1"/>
        <v>0</v>
      </c>
      <c r="R94" s="29"/>
      <c r="S94" s="28"/>
      <c r="U94" s="56">
        <v>0</v>
      </c>
    </row>
    <row r="95" spans="1:21" ht="12.75">
      <c r="A95" s="28" t="s">
        <v>84</v>
      </c>
      <c r="B95" s="28"/>
      <c r="C95" s="84">
        <v>13234300</v>
      </c>
      <c r="D95" s="84"/>
      <c r="E95" s="84">
        <v>2709944</v>
      </c>
      <c r="F95" s="84"/>
      <c r="G95" s="84">
        <v>0</v>
      </c>
      <c r="H95" s="84"/>
      <c r="I95" s="84">
        <v>0</v>
      </c>
      <c r="J95" s="84"/>
      <c r="K95" s="84">
        <v>24682</v>
      </c>
      <c r="L95" s="84"/>
      <c r="M95" s="84">
        <v>2963551</v>
      </c>
      <c r="N95" s="84"/>
      <c r="O95" s="84">
        <v>0</v>
      </c>
      <c r="P95" s="84"/>
      <c r="Q95" s="84">
        <f t="shared" si="1"/>
        <v>18932477</v>
      </c>
      <c r="R95" s="29"/>
      <c r="S95" s="28">
        <v>3246901</v>
      </c>
      <c r="U95" s="56">
        <v>0</v>
      </c>
    </row>
    <row r="96" spans="1:19" ht="12.75" hidden="1">
      <c r="A96" s="28" t="s">
        <v>184</v>
      </c>
      <c r="B96" s="28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28"/>
    </row>
    <row r="97" spans="1:19" ht="12.75">
      <c r="A97" s="28"/>
      <c r="B97" s="2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8"/>
    </row>
    <row r="98" spans="1:19" ht="12.75">
      <c r="A98" s="28"/>
      <c r="B98" s="2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8"/>
    </row>
    <row r="99" spans="1:19" ht="12.75">
      <c r="A99" s="28"/>
      <c r="B99" s="2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8"/>
    </row>
    <row r="100" spans="1:19" ht="12.75">
      <c r="A100" s="28"/>
      <c r="B100" s="2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8"/>
    </row>
    <row r="101" spans="1:19" ht="12.75">
      <c r="A101" s="28"/>
      <c r="B101" s="2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8"/>
    </row>
    <row r="102" spans="1:19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</sheetData>
  <printOptions/>
  <pageMargins left="1" right="1" top="0.5" bottom="0.5" header="0" footer="0.25"/>
  <pageSetup firstPageNumber="46" useFirstPageNumber="1" horizontalDpi="600" verticalDpi="600" orientation="portrait" pageOrder="overThenDown" scale="97" r:id="rId1"/>
  <headerFooter alignWithMargins="0">
    <oddFooter>&amp;C&amp;"Times New Roman,Regular"&amp;11&amp;P</oddFooter>
  </headerFooter>
  <rowBreaks count="1" manualBreakCount="1">
    <brk id="72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1"/>
  <sheetViews>
    <sheetView workbookViewId="0" topLeftCell="A1">
      <selection activeCell="A1" sqref="A1:IV40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1"/>
  <sheetViews>
    <sheetView workbookViewId="0" topLeftCell="A1">
      <selection activeCell="A1" sqref="A1:IV36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100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" width="10.7109375" style="50" customWidth="1"/>
    <col min="4" max="4" width="1.7109375" style="50" customWidth="1"/>
    <col min="5" max="5" width="10.7109375" style="50" customWidth="1"/>
    <col min="6" max="6" width="1.7109375" style="50" customWidth="1"/>
    <col min="7" max="7" width="10.7109375" style="50" customWidth="1"/>
    <col min="8" max="8" width="1.7109375" style="50" customWidth="1"/>
    <col min="9" max="9" width="10.7109375" style="50" customWidth="1"/>
    <col min="10" max="10" width="1.7109375" style="50" customWidth="1"/>
    <col min="11" max="12" width="10.7109375" style="50" customWidth="1"/>
    <col min="13" max="13" width="1.7109375" style="50" customWidth="1"/>
    <col min="14" max="14" width="10.7109375" style="50" customWidth="1"/>
    <col min="15" max="15" width="1.7109375" style="50" customWidth="1"/>
    <col min="16" max="16" width="12.7109375" style="50" customWidth="1"/>
    <col min="17" max="17" width="1.7109375" style="50" customWidth="1"/>
    <col min="18" max="18" width="10.7109375" style="50" customWidth="1"/>
    <col min="19" max="19" width="1.7109375" style="50" customWidth="1"/>
    <col min="20" max="20" width="10.7109375" style="50" customWidth="1"/>
    <col min="21" max="21" width="1.7109375" style="50" customWidth="1"/>
    <col min="22" max="22" width="10.7109375" style="50" customWidth="1"/>
    <col min="23" max="23" width="1.7109375" style="50" customWidth="1"/>
    <col min="24" max="24" width="12.7109375" style="50" customWidth="1"/>
  </cols>
  <sheetData>
    <row r="1" spans="1:24" ht="12.75">
      <c r="A1" s="15" t="s">
        <v>214</v>
      </c>
      <c r="B1" s="16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.75">
      <c r="A2" s="15" t="s">
        <v>227</v>
      </c>
      <c r="B2" s="1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2.75">
      <c r="A3" s="16"/>
      <c r="B3" s="1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2.75">
      <c r="A4" s="15" t="s">
        <v>196</v>
      </c>
      <c r="B4" s="1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2.75">
      <c r="A5" s="16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2.75">
      <c r="A6" s="16"/>
      <c r="B6" s="16"/>
      <c r="C6" s="46" t="s">
        <v>152</v>
      </c>
      <c r="D6" s="46"/>
      <c r="E6" s="46"/>
      <c r="F6" s="46"/>
      <c r="G6" s="46"/>
      <c r="H6" s="19"/>
      <c r="I6" s="46" t="s">
        <v>153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70"/>
      <c r="V6" s="48" t="s">
        <v>4</v>
      </c>
      <c r="W6" s="70"/>
      <c r="X6" s="49" t="s">
        <v>4</v>
      </c>
    </row>
    <row r="7" spans="1:24" ht="12.75">
      <c r="A7" s="17"/>
      <c r="B7" s="17"/>
      <c r="C7" s="48" t="s">
        <v>0</v>
      </c>
      <c r="D7" s="48"/>
      <c r="E7" s="48" t="s">
        <v>155</v>
      </c>
      <c r="F7" s="48"/>
      <c r="G7" s="48" t="s">
        <v>88</v>
      </c>
      <c r="H7" s="19"/>
      <c r="I7" s="49" t="s">
        <v>156</v>
      </c>
      <c r="J7" s="49"/>
      <c r="K7" s="49" t="s">
        <v>176</v>
      </c>
      <c r="L7" s="49" t="s">
        <v>106</v>
      </c>
      <c r="M7" s="49"/>
      <c r="N7" s="49" t="s">
        <v>151</v>
      </c>
      <c r="O7" s="49"/>
      <c r="P7" s="48" t="s">
        <v>157</v>
      </c>
      <c r="Q7" s="48"/>
      <c r="R7" s="48"/>
      <c r="S7" s="48"/>
      <c r="T7" s="48"/>
      <c r="U7" s="48"/>
      <c r="V7" s="48" t="s">
        <v>104</v>
      </c>
      <c r="W7" s="48"/>
      <c r="X7" s="48" t="s">
        <v>188</v>
      </c>
    </row>
    <row r="8" spans="1:24" ht="12.75">
      <c r="A8" s="18" t="s">
        <v>5</v>
      </c>
      <c r="B8" s="68"/>
      <c r="C8" s="55" t="s">
        <v>8</v>
      </c>
      <c r="D8" s="19"/>
      <c r="E8" s="55" t="s">
        <v>159</v>
      </c>
      <c r="F8" s="19"/>
      <c r="G8" s="55" t="s">
        <v>160</v>
      </c>
      <c r="H8" s="19"/>
      <c r="I8" s="55" t="s">
        <v>6</v>
      </c>
      <c r="J8" s="19"/>
      <c r="K8" s="55" t="s">
        <v>6</v>
      </c>
      <c r="L8" s="55" t="s">
        <v>6</v>
      </c>
      <c r="M8" s="19"/>
      <c r="N8" s="55" t="s">
        <v>160</v>
      </c>
      <c r="O8" s="19"/>
      <c r="P8" s="69" t="s">
        <v>161</v>
      </c>
      <c r="Q8" s="19"/>
      <c r="R8" s="69" t="s">
        <v>106</v>
      </c>
      <c r="S8" s="19"/>
      <c r="T8" s="69" t="s">
        <v>162</v>
      </c>
      <c r="U8" s="19"/>
      <c r="V8" s="55" t="s">
        <v>12</v>
      </c>
      <c r="W8" s="19"/>
      <c r="X8" s="69" t="s">
        <v>189</v>
      </c>
    </row>
    <row r="9" spans="1:24" ht="12.75" hidden="1">
      <c r="A9" s="68"/>
      <c r="B9" s="68"/>
      <c r="C9" s="49"/>
      <c r="D9" s="19"/>
      <c r="E9" s="49"/>
      <c r="F9" s="19"/>
      <c r="G9" s="49"/>
      <c r="H9" s="19"/>
      <c r="I9" s="49"/>
      <c r="J9" s="19"/>
      <c r="K9" s="49"/>
      <c r="L9" s="49"/>
      <c r="M9" s="19"/>
      <c r="N9" s="49"/>
      <c r="O9" s="19"/>
      <c r="P9" s="72"/>
      <c r="Q9" s="19"/>
      <c r="R9" s="72"/>
      <c r="S9" s="19"/>
      <c r="T9" s="72"/>
      <c r="U9" s="19"/>
      <c r="V9" s="19"/>
      <c r="W9" s="19"/>
      <c r="X9" s="72"/>
    </row>
    <row r="10" spans="1:24" ht="12.75">
      <c r="A10" s="26" t="s">
        <v>13</v>
      </c>
      <c r="B10" s="26"/>
      <c r="C10" s="19">
        <v>10459679</v>
      </c>
      <c r="D10" s="19"/>
      <c r="E10" s="19">
        <v>26873500</v>
      </c>
      <c r="F10" s="19"/>
      <c r="G10" s="19">
        <v>1863919</v>
      </c>
      <c r="H10" s="19"/>
      <c r="I10" s="19">
        <f>3948678+5924248+1675055</f>
        <v>11547981</v>
      </c>
      <c r="J10" s="19"/>
      <c r="K10" s="19">
        <v>12959975</v>
      </c>
      <c r="L10" s="19">
        <v>0</v>
      </c>
      <c r="M10" s="19"/>
      <c r="N10" s="19">
        <v>3494698</v>
      </c>
      <c r="O10" s="19"/>
      <c r="P10" s="19">
        <v>1658211</v>
      </c>
      <c r="Q10" s="19"/>
      <c r="R10" s="19">
        <f>519020+5071+1736805</f>
        <v>2260896</v>
      </c>
      <c r="S10" s="19"/>
      <c r="T10" s="19">
        <v>106000</v>
      </c>
      <c r="U10" s="19"/>
      <c r="V10" s="19">
        <f>SUM(I10:T10)</f>
        <v>32027761</v>
      </c>
      <c r="W10" s="19"/>
      <c r="X10" s="19">
        <f>SUM(B10:U10)</f>
        <v>71224859</v>
      </c>
    </row>
    <row r="11" spans="1:24" ht="12.75">
      <c r="A11" s="26" t="s">
        <v>14</v>
      </c>
      <c r="B11" s="26"/>
      <c r="C11" s="19">
        <v>3403441</v>
      </c>
      <c r="D11" s="19"/>
      <c r="E11" s="19">
        <v>13960790</v>
      </c>
      <c r="F11" s="19"/>
      <c r="G11" s="19">
        <v>0</v>
      </c>
      <c r="H11" s="19"/>
      <c r="I11" s="19">
        <v>4729195</v>
      </c>
      <c r="J11" s="19"/>
      <c r="K11" s="19">
        <v>5191315</v>
      </c>
      <c r="L11" s="19">
        <v>81318</v>
      </c>
      <c r="M11" s="19"/>
      <c r="N11" s="19">
        <v>1662934</v>
      </c>
      <c r="O11" s="19"/>
      <c r="P11" s="19">
        <v>0</v>
      </c>
      <c r="Q11" s="19"/>
      <c r="R11" s="19">
        <f>280121+1552637</f>
        <v>1832758</v>
      </c>
      <c r="S11" s="19"/>
      <c r="T11" s="19">
        <v>-280339</v>
      </c>
      <c r="U11" s="19"/>
      <c r="V11" s="19">
        <f aca="true" t="shared" si="0" ref="V11:V75">SUM(I11:T11)</f>
        <v>13217181</v>
      </c>
      <c r="W11" s="19"/>
      <c r="X11" s="19">
        <f>SUM(B11:U11)</f>
        <v>30581412</v>
      </c>
    </row>
    <row r="12" spans="1:24" ht="12.75">
      <c r="A12" s="26" t="s">
        <v>15</v>
      </c>
      <c r="B12" s="26"/>
      <c r="C12" s="19">
        <v>17821625</v>
      </c>
      <c r="D12" s="19"/>
      <c r="E12" s="19">
        <v>43292148</v>
      </c>
      <c r="F12" s="19"/>
      <c r="G12" s="19">
        <v>3053392</v>
      </c>
      <c r="H12" s="19"/>
      <c r="I12" s="19">
        <f>18299090+1206240+17272</f>
        <v>19522602</v>
      </c>
      <c r="J12" s="19"/>
      <c r="K12" s="19">
        <v>0</v>
      </c>
      <c r="L12" s="19">
        <v>0</v>
      </c>
      <c r="M12" s="19"/>
      <c r="N12" s="19">
        <v>2963934</v>
      </c>
      <c r="O12" s="19"/>
      <c r="P12" s="19">
        <v>643909</v>
      </c>
      <c r="Q12" s="19"/>
      <c r="R12" s="19">
        <v>694162</v>
      </c>
      <c r="S12" s="19"/>
      <c r="T12" s="19">
        <v>-15000</v>
      </c>
      <c r="U12" s="19"/>
      <c r="V12" s="19">
        <f t="shared" si="0"/>
        <v>23809607</v>
      </c>
      <c r="W12" s="19"/>
      <c r="X12" s="19">
        <f aca="true" t="shared" si="1" ref="X12:X75">SUM(B12:U12)</f>
        <v>87976772</v>
      </c>
    </row>
    <row r="13" spans="1:24" ht="12.75">
      <c r="A13" s="26" t="s">
        <v>16</v>
      </c>
      <c r="B13" s="26"/>
      <c r="C13" s="19">
        <v>4494214</v>
      </c>
      <c r="D13" s="19"/>
      <c r="E13" s="19">
        <v>20895636</v>
      </c>
      <c r="F13" s="19"/>
      <c r="G13" s="19">
        <v>1404203</v>
      </c>
      <c r="H13" s="19"/>
      <c r="I13" s="19">
        <f>1531214+1959038+3229990+2012986</f>
        <v>8733228</v>
      </c>
      <c r="J13" s="19"/>
      <c r="K13" s="19">
        <f>4323504+1080412</f>
        <v>5403916</v>
      </c>
      <c r="L13" s="19">
        <v>0</v>
      </c>
      <c r="M13" s="19"/>
      <c r="N13" s="19">
        <v>1622459</v>
      </c>
      <c r="O13" s="19"/>
      <c r="P13" s="19">
        <v>402570</v>
      </c>
      <c r="Q13" s="19"/>
      <c r="R13" s="19">
        <v>3792705</v>
      </c>
      <c r="S13" s="19"/>
      <c r="T13" s="19">
        <v>0</v>
      </c>
      <c r="U13" s="19"/>
      <c r="V13" s="19">
        <f t="shared" si="0"/>
        <v>19954878</v>
      </c>
      <c r="W13" s="19"/>
      <c r="X13" s="19">
        <f t="shared" si="1"/>
        <v>46748931</v>
      </c>
    </row>
    <row r="14" spans="1:24" ht="12.75">
      <c r="A14" s="26" t="s">
        <v>17</v>
      </c>
      <c r="B14" s="26"/>
      <c r="C14" s="19">
        <v>10007643</v>
      </c>
      <c r="D14" s="19"/>
      <c r="E14" s="19">
        <v>5774159</v>
      </c>
      <c r="F14" s="19"/>
      <c r="G14" s="19">
        <v>1085456</v>
      </c>
      <c r="H14" s="19"/>
      <c r="I14" s="19">
        <f>4660639+95253</f>
        <v>4755892</v>
      </c>
      <c r="J14" s="19"/>
      <c r="K14" s="19">
        <f>4816104+1554618</f>
        <v>6370722</v>
      </c>
      <c r="L14" s="19">
        <v>0</v>
      </c>
      <c r="M14" s="19"/>
      <c r="N14" s="19">
        <v>0</v>
      </c>
      <c r="O14" s="19"/>
      <c r="P14" s="19">
        <v>270225</v>
      </c>
      <c r="Q14" s="19"/>
      <c r="R14" s="19">
        <f>920867+52578</f>
        <v>973445</v>
      </c>
      <c r="S14" s="19"/>
      <c r="T14" s="19">
        <v>0</v>
      </c>
      <c r="U14" s="19"/>
      <c r="V14" s="19">
        <f t="shared" si="0"/>
        <v>12370284</v>
      </c>
      <c r="W14" s="19"/>
      <c r="X14" s="19">
        <f t="shared" si="1"/>
        <v>29237542</v>
      </c>
    </row>
    <row r="15" spans="1:24" ht="12.75">
      <c r="A15" s="26" t="s">
        <v>18</v>
      </c>
      <c r="B15" s="26"/>
      <c r="C15" s="19">
        <v>6054555</v>
      </c>
      <c r="D15" s="19"/>
      <c r="E15" s="19">
        <v>22094865</v>
      </c>
      <c r="F15" s="19"/>
      <c r="G15" s="19">
        <v>6804</v>
      </c>
      <c r="H15" s="19"/>
      <c r="I15" s="19">
        <f>1765723+4253114+255897+763552+1216783+368414</f>
        <v>8623483</v>
      </c>
      <c r="J15" s="19"/>
      <c r="K15" s="19">
        <f>11051273+500000</f>
        <v>11551273</v>
      </c>
      <c r="L15" s="19">
        <v>0</v>
      </c>
      <c r="M15" s="19"/>
      <c r="N15" s="19">
        <v>1433321</v>
      </c>
      <c r="O15" s="19"/>
      <c r="P15" s="19">
        <v>739289</v>
      </c>
      <c r="Q15" s="19"/>
      <c r="R15" s="19">
        <v>374320</v>
      </c>
      <c r="S15" s="19"/>
      <c r="T15" s="19">
        <v>0</v>
      </c>
      <c r="U15" s="19"/>
      <c r="V15" s="19">
        <f t="shared" si="0"/>
        <v>22721686</v>
      </c>
      <c r="W15" s="19"/>
      <c r="X15" s="19">
        <f t="shared" si="1"/>
        <v>50877910</v>
      </c>
    </row>
    <row r="16" spans="1:24" ht="12.75" hidden="1">
      <c r="A16" s="26" t="s">
        <v>138</v>
      </c>
      <c r="B16" s="26"/>
      <c r="C16" s="19">
        <v>0</v>
      </c>
      <c r="D16" s="19"/>
      <c r="E16" s="19">
        <v>0</v>
      </c>
      <c r="F16" s="19"/>
      <c r="G16" s="19">
        <v>0</v>
      </c>
      <c r="H16" s="19"/>
      <c r="I16" s="19">
        <v>0</v>
      </c>
      <c r="J16" s="19"/>
      <c r="K16" s="19">
        <v>0</v>
      </c>
      <c r="L16" s="19">
        <v>0</v>
      </c>
      <c r="M16" s="19"/>
      <c r="N16" s="19">
        <v>0</v>
      </c>
      <c r="O16" s="19"/>
      <c r="P16" s="19">
        <v>0</v>
      </c>
      <c r="Q16" s="19"/>
      <c r="R16" s="19">
        <v>0</v>
      </c>
      <c r="S16" s="19"/>
      <c r="T16" s="19">
        <v>0</v>
      </c>
      <c r="U16" s="19"/>
      <c r="V16" s="19">
        <f t="shared" si="0"/>
        <v>0</v>
      </c>
      <c r="W16" s="19"/>
      <c r="X16" s="19">
        <f t="shared" si="1"/>
        <v>0</v>
      </c>
    </row>
    <row r="17" spans="1:24" ht="12.75">
      <c r="A17" s="26" t="s">
        <v>19</v>
      </c>
      <c r="B17" s="26"/>
      <c r="C17" s="19">
        <v>40928467</v>
      </c>
      <c r="D17" s="19"/>
      <c r="E17" s="19">
        <v>86762956</v>
      </c>
      <c r="F17" s="19"/>
      <c r="G17" s="19">
        <v>16038726</v>
      </c>
      <c r="H17" s="19"/>
      <c r="I17" s="19">
        <f>12810448+14890749+8214528+1959018+7583447</f>
        <v>45458190</v>
      </c>
      <c r="J17" s="19"/>
      <c r="K17" s="19">
        <v>17182889</v>
      </c>
      <c r="L17" s="19">
        <v>2278929</v>
      </c>
      <c r="M17" s="19"/>
      <c r="N17" s="19">
        <v>6266355</v>
      </c>
      <c r="O17" s="19"/>
      <c r="P17" s="19">
        <v>-746510</v>
      </c>
      <c r="Q17" s="19"/>
      <c r="R17" s="19">
        <f>2771852+3676735</f>
        <v>6448587</v>
      </c>
      <c r="S17" s="19"/>
      <c r="T17" s="19">
        <v>119000</v>
      </c>
      <c r="U17" s="19"/>
      <c r="V17" s="19">
        <f t="shared" si="0"/>
        <v>77007440</v>
      </c>
      <c r="W17" s="19"/>
      <c r="X17" s="19">
        <f t="shared" si="1"/>
        <v>220737589</v>
      </c>
    </row>
    <row r="18" spans="1:24" ht="12.75">
      <c r="A18" s="26" t="s">
        <v>20</v>
      </c>
      <c r="B18" s="26"/>
      <c r="C18" s="19">
        <v>2519884</v>
      </c>
      <c r="D18" s="19"/>
      <c r="E18" s="19">
        <v>9561245</v>
      </c>
      <c r="F18" s="19"/>
      <c r="G18" s="19">
        <v>248412</v>
      </c>
      <c r="H18" s="19"/>
      <c r="I18" s="19">
        <f>1348884+1455459+571638+226982</f>
        <v>3602963</v>
      </c>
      <c r="J18" s="19"/>
      <c r="K18" s="19">
        <v>1585980</v>
      </c>
      <c r="L18" s="19">
        <v>0</v>
      </c>
      <c r="M18" s="19"/>
      <c r="N18" s="19">
        <v>1090408</v>
      </c>
      <c r="O18" s="19"/>
      <c r="P18" s="19">
        <v>67984</v>
      </c>
      <c r="Q18" s="19"/>
      <c r="R18" s="19">
        <v>1119359</v>
      </c>
      <c r="S18" s="19"/>
      <c r="T18" s="19">
        <v>0</v>
      </c>
      <c r="U18" s="19"/>
      <c r="V18" s="19">
        <f t="shared" si="0"/>
        <v>7466694</v>
      </c>
      <c r="W18" s="19"/>
      <c r="X18" s="19">
        <f t="shared" si="1"/>
        <v>19796235</v>
      </c>
    </row>
    <row r="19" spans="1:24" ht="12.75" hidden="1">
      <c r="A19" s="26" t="s">
        <v>182</v>
      </c>
      <c r="B19" s="26"/>
      <c r="C19" s="19">
        <v>0</v>
      </c>
      <c r="D19" s="19"/>
      <c r="E19" s="19">
        <v>0</v>
      </c>
      <c r="F19" s="19"/>
      <c r="G19" s="19">
        <v>0</v>
      </c>
      <c r="H19" s="19"/>
      <c r="I19" s="19">
        <v>0</v>
      </c>
      <c r="J19" s="19"/>
      <c r="K19" s="19">
        <v>0</v>
      </c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/>
      <c r="T19" s="19">
        <v>0</v>
      </c>
      <c r="U19" s="19"/>
      <c r="V19" s="19">
        <f t="shared" si="0"/>
        <v>0</v>
      </c>
      <c r="W19" s="19"/>
      <c r="X19" s="19">
        <f t="shared" si="1"/>
        <v>0</v>
      </c>
    </row>
    <row r="20" spans="1:24" ht="12.75">
      <c r="A20" s="26" t="s">
        <v>21</v>
      </c>
      <c r="B20" s="26"/>
      <c r="C20" s="19">
        <v>12971453</v>
      </c>
      <c r="D20" s="19"/>
      <c r="E20" s="19">
        <v>50633488</v>
      </c>
      <c r="F20" s="19"/>
      <c r="G20" s="19">
        <v>2494722</v>
      </c>
      <c r="H20" s="19"/>
      <c r="I20" s="19">
        <f>3213145+2792431+8339616+1296344</f>
        <v>15641536</v>
      </c>
      <c r="J20" s="19"/>
      <c r="K20" s="19">
        <v>0</v>
      </c>
      <c r="L20" s="19">
        <v>12243341</v>
      </c>
      <c r="M20" s="19"/>
      <c r="N20" s="19">
        <v>3742624</v>
      </c>
      <c r="O20" s="19"/>
      <c r="P20" s="19">
        <v>918956</v>
      </c>
      <c r="Q20" s="19"/>
      <c r="R20" s="19">
        <v>5610718</v>
      </c>
      <c r="S20" s="19"/>
      <c r="T20" s="19">
        <v>0</v>
      </c>
      <c r="U20" s="19"/>
      <c r="V20" s="19">
        <f t="shared" si="0"/>
        <v>38157175</v>
      </c>
      <c r="W20" s="19"/>
      <c r="X20" s="19">
        <f t="shared" si="1"/>
        <v>104256838</v>
      </c>
    </row>
    <row r="21" spans="1:24" ht="12.75">
      <c r="A21" s="26" t="s">
        <v>193</v>
      </c>
      <c r="B21" s="26"/>
      <c r="C21" s="19">
        <v>22859265</v>
      </c>
      <c r="D21" s="19"/>
      <c r="E21" s="19">
        <v>34308860</v>
      </c>
      <c r="F21" s="19"/>
      <c r="G21" s="19">
        <v>5468069</v>
      </c>
      <c r="H21" s="19"/>
      <c r="I21" s="19">
        <f>6822981+5623183+3242143</f>
        <v>15688307</v>
      </c>
      <c r="J21" s="19"/>
      <c r="K21" s="19">
        <v>20068147</v>
      </c>
      <c r="L21" s="19">
        <v>443691</v>
      </c>
      <c r="M21" s="19"/>
      <c r="N21" s="19">
        <v>5928244</v>
      </c>
      <c r="O21" s="19"/>
      <c r="P21" s="19">
        <v>1944506</v>
      </c>
      <c r="Q21" s="19"/>
      <c r="R21" s="19">
        <v>212823</v>
      </c>
      <c r="S21" s="19"/>
      <c r="T21" s="19">
        <v>-240000</v>
      </c>
      <c r="U21" s="19"/>
      <c r="V21" s="19">
        <f t="shared" si="0"/>
        <v>44045718</v>
      </c>
      <c r="W21" s="19"/>
      <c r="X21" s="19">
        <f t="shared" si="1"/>
        <v>106681912</v>
      </c>
    </row>
    <row r="22" spans="1:24" ht="12.75">
      <c r="A22" s="26" t="s">
        <v>22</v>
      </c>
      <c r="B22" s="26"/>
      <c r="C22" s="19">
        <v>3561375</v>
      </c>
      <c r="D22" s="19"/>
      <c r="E22" s="19">
        <v>11505664</v>
      </c>
      <c r="F22" s="19"/>
      <c r="G22" s="19">
        <v>393098</v>
      </c>
      <c r="H22" s="19"/>
      <c r="I22" s="19">
        <f>1693653+373430+1024690+24198+6735+149127+1712198</f>
        <v>4984031</v>
      </c>
      <c r="J22" s="19"/>
      <c r="K22" s="19">
        <v>0</v>
      </c>
      <c r="L22" s="19">
        <v>4408523</v>
      </c>
      <c r="M22" s="19"/>
      <c r="N22" s="19">
        <v>1671237</v>
      </c>
      <c r="O22" s="19"/>
      <c r="P22" s="19">
        <v>339000</v>
      </c>
      <c r="Q22" s="19"/>
      <c r="R22" s="19">
        <f>3215581+40181</f>
        <v>3255762</v>
      </c>
      <c r="S22" s="19"/>
      <c r="T22" s="19">
        <v>0</v>
      </c>
      <c r="U22" s="19"/>
      <c r="V22" s="19">
        <f t="shared" si="0"/>
        <v>14658553</v>
      </c>
      <c r="W22" s="19"/>
      <c r="X22" s="19">
        <f t="shared" si="1"/>
        <v>30118690</v>
      </c>
    </row>
    <row r="23" spans="1:24" ht="12.75" hidden="1">
      <c r="A23" s="26" t="s">
        <v>23</v>
      </c>
      <c r="B23" s="26"/>
      <c r="C23" s="19">
        <v>0</v>
      </c>
      <c r="D23" s="19"/>
      <c r="E23" s="19">
        <v>0</v>
      </c>
      <c r="F23" s="19"/>
      <c r="G23" s="19">
        <v>0</v>
      </c>
      <c r="H23" s="19"/>
      <c r="I23" s="19">
        <v>0</v>
      </c>
      <c r="J23" s="19"/>
      <c r="K23" s="19">
        <v>0</v>
      </c>
      <c r="L23" s="19">
        <v>0</v>
      </c>
      <c r="M23" s="19"/>
      <c r="N23" s="19">
        <v>0</v>
      </c>
      <c r="O23" s="19"/>
      <c r="P23" s="19">
        <v>0</v>
      </c>
      <c r="Q23" s="19"/>
      <c r="R23" s="19">
        <v>0</v>
      </c>
      <c r="S23" s="19"/>
      <c r="T23" s="19">
        <v>0</v>
      </c>
      <c r="U23" s="19"/>
      <c r="V23" s="19">
        <f t="shared" si="0"/>
        <v>0</v>
      </c>
      <c r="W23" s="19"/>
      <c r="X23" s="19">
        <f t="shared" si="1"/>
        <v>0</v>
      </c>
    </row>
    <row r="24" spans="1:24" ht="12.75" hidden="1">
      <c r="A24" s="26" t="s">
        <v>24</v>
      </c>
      <c r="B24" s="26"/>
      <c r="C24" s="19">
        <v>0</v>
      </c>
      <c r="D24" s="19"/>
      <c r="E24" s="19">
        <v>0</v>
      </c>
      <c r="F24" s="19"/>
      <c r="G24" s="19">
        <v>0</v>
      </c>
      <c r="H24" s="19"/>
      <c r="I24" s="19">
        <v>0</v>
      </c>
      <c r="J24" s="19"/>
      <c r="K24" s="19">
        <v>0</v>
      </c>
      <c r="L24" s="19">
        <v>0</v>
      </c>
      <c r="M24" s="19"/>
      <c r="N24" s="19">
        <v>0</v>
      </c>
      <c r="O24" s="19"/>
      <c r="P24" s="19">
        <v>0</v>
      </c>
      <c r="Q24" s="19"/>
      <c r="R24" s="19">
        <v>0</v>
      </c>
      <c r="S24" s="19"/>
      <c r="T24" s="19">
        <v>0</v>
      </c>
      <c r="U24" s="19"/>
      <c r="V24" s="19">
        <f t="shared" si="0"/>
        <v>0</v>
      </c>
      <c r="W24" s="19"/>
      <c r="X24" s="19">
        <f t="shared" si="1"/>
        <v>0</v>
      </c>
    </row>
    <row r="25" spans="1:24" ht="12.75">
      <c r="A25" s="26" t="s">
        <v>191</v>
      </c>
      <c r="B25" s="26"/>
      <c r="C25" s="19">
        <v>5642304</v>
      </c>
      <c r="D25" s="19"/>
      <c r="E25" s="19">
        <v>12213903</v>
      </c>
      <c r="F25" s="19"/>
      <c r="G25" s="19">
        <v>323468</v>
      </c>
      <c r="H25" s="19"/>
      <c r="I25" s="19">
        <f>1260830+424800+1531991+231757+460678+301286</f>
        <v>4211342</v>
      </c>
      <c r="J25" s="19"/>
      <c r="K25" s="19">
        <f>3220382+1618930</f>
        <v>4839312</v>
      </c>
      <c r="L25" s="19">
        <v>0</v>
      </c>
      <c r="M25" s="19"/>
      <c r="N25" s="19">
        <v>1637839</v>
      </c>
      <c r="O25" s="19"/>
      <c r="P25" s="19">
        <v>0</v>
      </c>
      <c r="Q25" s="19"/>
      <c r="R25" s="19">
        <f>602026+1217684</f>
        <v>1819710</v>
      </c>
      <c r="S25" s="19"/>
      <c r="T25" s="19">
        <v>-6037</v>
      </c>
      <c r="U25" s="19"/>
      <c r="V25" s="19">
        <f t="shared" si="0"/>
        <v>12502166</v>
      </c>
      <c r="W25" s="19"/>
      <c r="X25" s="19">
        <f t="shared" si="1"/>
        <v>30681841</v>
      </c>
    </row>
    <row r="26" spans="1:24" ht="12.75">
      <c r="A26" s="26" t="s">
        <v>25</v>
      </c>
      <c r="B26" s="26"/>
      <c r="C26" s="19">
        <v>90848</v>
      </c>
      <c r="D26" s="19"/>
      <c r="E26" s="19">
        <v>551540</v>
      </c>
      <c r="F26" s="19"/>
      <c r="G26" s="19">
        <v>27942</v>
      </c>
      <c r="H26" s="19"/>
      <c r="I26" s="19">
        <v>257640</v>
      </c>
      <c r="J26" s="19"/>
      <c r="K26" s="19">
        <v>159029</v>
      </c>
      <c r="L26" s="19">
        <v>29284</v>
      </c>
      <c r="M26" s="19"/>
      <c r="N26" s="19">
        <v>35556</v>
      </c>
      <c r="O26" s="19"/>
      <c r="P26" s="19">
        <v>10615</v>
      </c>
      <c r="Q26" s="19"/>
      <c r="R26" s="19">
        <f>11872+37873</f>
        <v>49745</v>
      </c>
      <c r="S26" s="19"/>
      <c r="T26" s="19">
        <v>-940</v>
      </c>
      <c r="U26" s="19"/>
      <c r="V26" s="19">
        <f t="shared" si="0"/>
        <v>540929</v>
      </c>
      <c r="W26" s="19"/>
      <c r="X26" s="19">
        <f t="shared" si="1"/>
        <v>1211259</v>
      </c>
    </row>
    <row r="27" spans="1:24" ht="12.75">
      <c r="A27" s="26" t="s">
        <v>26</v>
      </c>
      <c r="B27" s="26"/>
      <c r="C27" s="19">
        <v>3943973</v>
      </c>
      <c r="D27" s="19"/>
      <c r="E27" s="19">
        <v>6138070</v>
      </c>
      <c r="F27" s="19"/>
      <c r="G27" s="19">
        <v>9044</v>
      </c>
      <c r="H27" s="19"/>
      <c r="I27" s="19">
        <f>2408540+2583600</f>
        <v>4992140</v>
      </c>
      <c r="J27" s="19"/>
      <c r="K27" s="19">
        <v>4415874</v>
      </c>
      <c r="L27" s="19">
        <v>5653863</v>
      </c>
      <c r="M27" s="19"/>
      <c r="N27" s="19">
        <v>0</v>
      </c>
      <c r="O27" s="19"/>
      <c r="P27" s="19">
        <v>443229</v>
      </c>
      <c r="Q27" s="19"/>
      <c r="R27" s="19">
        <v>1255878</v>
      </c>
      <c r="S27" s="19"/>
      <c r="T27" s="19">
        <v>0</v>
      </c>
      <c r="U27" s="19"/>
      <c r="V27" s="19">
        <f>SUM(I27:T27)</f>
        <v>16760984</v>
      </c>
      <c r="W27" s="19"/>
      <c r="X27" s="19">
        <f>SUM(B27:U27)</f>
        <v>26852071</v>
      </c>
    </row>
    <row r="28" spans="1:24" ht="12.75">
      <c r="A28" s="26" t="s">
        <v>27</v>
      </c>
      <c r="B28" s="26"/>
      <c r="C28" s="19">
        <v>4149102</v>
      </c>
      <c r="D28" s="19"/>
      <c r="E28" s="19">
        <v>10928958</v>
      </c>
      <c r="F28" s="19"/>
      <c r="G28" s="19">
        <v>3639153</v>
      </c>
      <c r="H28" s="19"/>
      <c r="I28" s="19">
        <f>1665452+300050+1991467+699217</f>
        <v>4656186</v>
      </c>
      <c r="J28" s="19"/>
      <c r="K28" s="19">
        <v>4254885</v>
      </c>
      <c r="L28" s="19">
        <v>80000</v>
      </c>
      <c r="M28" s="19"/>
      <c r="N28" s="19">
        <v>1054052</v>
      </c>
      <c r="O28" s="19"/>
      <c r="P28" s="19">
        <v>0</v>
      </c>
      <c r="Q28" s="19"/>
      <c r="R28" s="19">
        <f>1477565+786024</f>
        <v>2263589</v>
      </c>
      <c r="S28" s="19"/>
      <c r="T28" s="19">
        <v>0</v>
      </c>
      <c r="U28" s="19"/>
      <c r="V28" s="19">
        <f t="shared" si="0"/>
        <v>12308712</v>
      </c>
      <c r="W28" s="19"/>
      <c r="X28" s="19">
        <f t="shared" si="1"/>
        <v>31025925</v>
      </c>
    </row>
    <row r="29" spans="1:24" ht="12.75">
      <c r="A29" s="26" t="s">
        <v>28</v>
      </c>
      <c r="B29" s="26"/>
      <c r="C29" s="19">
        <v>20845644</v>
      </c>
      <c r="D29" s="19"/>
      <c r="E29" s="19">
        <v>18532118</v>
      </c>
      <c r="F29" s="19"/>
      <c r="G29" s="19">
        <v>3685658</v>
      </c>
      <c r="H29" s="19"/>
      <c r="I29" s="19">
        <f>3802630+893724+6918513+377447</f>
        <v>11992314</v>
      </c>
      <c r="J29" s="19"/>
      <c r="K29" s="19">
        <f>17466322+11645466</f>
        <v>29111788</v>
      </c>
      <c r="L29" s="19">
        <v>39374</v>
      </c>
      <c r="M29" s="19"/>
      <c r="N29" s="19">
        <v>3767401</v>
      </c>
      <c r="O29" s="19"/>
      <c r="P29" s="19">
        <v>0</v>
      </c>
      <c r="Q29" s="19"/>
      <c r="R29" s="19">
        <f>1436471+1158458</f>
        <v>2594929</v>
      </c>
      <c r="S29" s="19"/>
      <c r="T29" s="19">
        <v>-27128</v>
      </c>
      <c r="U29" s="19"/>
      <c r="V29" s="19">
        <f t="shared" si="0"/>
        <v>47478678</v>
      </c>
      <c r="W29" s="19"/>
      <c r="X29" s="19">
        <f t="shared" si="1"/>
        <v>90542098</v>
      </c>
    </row>
    <row r="30" spans="1:24" ht="12.75">
      <c r="A30" s="26" t="s">
        <v>29</v>
      </c>
      <c r="B30" s="26"/>
      <c r="C30" s="19">
        <v>10520679</v>
      </c>
      <c r="D30" s="19"/>
      <c r="E30" s="19">
        <v>17670092</v>
      </c>
      <c r="F30" s="19"/>
      <c r="G30" s="19">
        <v>216512</v>
      </c>
      <c r="H30" s="19"/>
      <c r="I30" s="19">
        <f>4532306+3856026+840776</f>
        <v>9229108</v>
      </c>
      <c r="J30" s="19"/>
      <c r="K30" s="19">
        <v>12823655</v>
      </c>
      <c r="L30" s="19">
        <v>0</v>
      </c>
      <c r="M30" s="19"/>
      <c r="N30" s="19">
        <v>2457921</v>
      </c>
      <c r="O30" s="19"/>
      <c r="P30" s="19">
        <v>1099049</v>
      </c>
      <c r="Q30" s="19"/>
      <c r="R30" s="19">
        <v>1446627</v>
      </c>
      <c r="S30" s="19"/>
      <c r="T30" s="19">
        <v>-349462</v>
      </c>
      <c r="U30" s="19"/>
      <c r="V30" s="19">
        <f t="shared" si="0"/>
        <v>26706898</v>
      </c>
      <c r="W30" s="19"/>
      <c r="X30" s="19">
        <f t="shared" si="1"/>
        <v>55114181</v>
      </c>
    </row>
    <row r="31" spans="1:24" ht="12.75">
      <c r="A31" s="26" t="s">
        <v>30</v>
      </c>
      <c r="B31" s="26"/>
      <c r="C31" s="19">
        <v>11098862</v>
      </c>
      <c r="D31" s="19"/>
      <c r="E31" s="19">
        <v>31068560</v>
      </c>
      <c r="F31" s="19"/>
      <c r="G31" s="19">
        <v>3909515</v>
      </c>
      <c r="H31" s="19"/>
      <c r="I31" s="19">
        <f>6437678+1114672+4837807</f>
        <v>12390157</v>
      </c>
      <c r="J31" s="19"/>
      <c r="K31" s="19">
        <v>9978566</v>
      </c>
      <c r="L31" s="19">
        <v>0</v>
      </c>
      <c r="M31" s="19"/>
      <c r="N31" s="19">
        <v>3669640</v>
      </c>
      <c r="O31" s="19"/>
      <c r="P31" s="19">
        <v>1185946</v>
      </c>
      <c r="Q31" s="19"/>
      <c r="R31" s="19">
        <f>810108+590000+753346</f>
        <v>2153454</v>
      </c>
      <c r="S31" s="19"/>
      <c r="T31" s="19">
        <v>0</v>
      </c>
      <c r="U31" s="19"/>
      <c r="V31" s="19">
        <f t="shared" si="0"/>
        <v>29377763</v>
      </c>
      <c r="W31" s="19"/>
      <c r="X31" s="19">
        <f t="shared" si="1"/>
        <v>75454700</v>
      </c>
    </row>
    <row r="32" spans="1:24" ht="12.75" hidden="1">
      <c r="A32" s="26" t="s">
        <v>31</v>
      </c>
      <c r="B32" s="26"/>
      <c r="C32" s="19">
        <v>0</v>
      </c>
      <c r="D32" s="19"/>
      <c r="E32" s="19">
        <v>0</v>
      </c>
      <c r="F32" s="19"/>
      <c r="G32" s="19">
        <v>0</v>
      </c>
      <c r="H32" s="19"/>
      <c r="I32" s="19">
        <v>0</v>
      </c>
      <c r="J32" s="19"/>
      <c r="K32" s="19">
        <v>0</v>
      </c>
      <c r="L32" s="19">
        <v>0</v>
      </c>
      <c r="M32" s="19"/>
      <c r="N32" s="19">
        <v>0</v>
      </c>
      <c r="O32" s="19"/>
      <c r="P32" s="19">
        <v>0</v>
      </c>
      <c r="Q32" s="19"/>
      <c r="R32" s="19">
        <v>0</v>
      </c>
      <c r="S32" s="19"/>
      <c r="T32" s="19">
        <v>0</v>
      </c>
      <c r="U32" s="19"/>
      <c r="V32" s="19">
        <f t="shared" si="0"/>
        <v>0</v>
      </c>
      <c r="W32" s="19"/>
      <c r="X32" s="19">
        <f t="shared" si="1"/>
        <v>0</v>
      </c>
    </row>
    <row r="33" spans="1:24" ht="12.75">
      <c r="A33" s="26" t="s">
        <v>32</v>
      </c>
      <c r="B33" s="26"/>
      <c r="C33" s="19">
        <v>99933</v>
      </c>
      <c r="D33" s="19"/>
      <c r="E33" s="19">
        <v>337647</v>
      </c>
      <c r="F33" s="19"/>
      <c r="G33" s="19">
        <v>18875</v>
      </c>
      <c r="H33" s="19"/>
      <c r="I33" s="19">
        <v>308448</v>
      </c>
      <c r="J33" s="19"/>
      <c r="K33" s="19">
        <v>82728</v>
      </c>
      <c r="L33" s="19">
        <v>0</v>
      </c>
      <c r="M33" s="19"/>
      <c r="N33" s="19">
        <v>66242</v>
      </c>
      <c r="O33" s="19"/>
      <c r="P33" s="19">
        <v>9219</v>
      </c>
      <c r="Q33" s="19"/>
      <c r="R33" s="19">
        <v>0</v>
      </c>
      <c r="S33" s="19"/>
      <c r="T33" s="19">
        <v>-2037</v>
      </c>
      <c r="U33" s="19"/>
      <c r="V33" s="19">
        <f t="shared" si="0"/>
        <v>464600</v>
      </c>
      <c r="W33" s="19"/>
      <c r="X33" s="19">
        <f t="shared" si="1"/>
        <v>921055</v>
      </c>
    </row>
    <row r="34" spans="1:24" ht="12.75">
      <c r="A34" s="26" t="s">
        <v>33</v>
      </c>
      <c r="B34" s="26"/>
      <c r="C34" s="19">
        <v>5048263</v>
      </c>
      <c r="D34" s="19"/>
      <c r="E34" s="19">
        <v>11237009</v>
      </c>
      <c r="F34" s="19"/>
      <c r="G34" s="19">
        <v>0</v>
      </c>
      <c r="H34" s="19"/>
      <c r="I34" s="19">
        <f>1583409+2414898+648275+1443647+338916+307618</f>
        <v>6736763</v>
      </c>
      <c r="J34" s="19"/>
      <c r="K34" s="19">
        <v>4470035</v>
      </c>
      <c r="L34" s="19">
        <v>0</v>
      </c>
      <c r="M34" s="19"/>
      <c r="N34" s="19">
        <v>2690435</v>
      </c>
      <c r="O34" s="19"/>
      <c r="P34" s="19">
        <v>359203</v>
      </c>
      <c r="Q34" s="19"/>
      <c r="R34" s="19">
        <f>87303+1680317</f>
        <v>1767620</v>
      </c>
      <c r="S34" s="19"/>
      <c r="T34" s="19">
        <v>-109277</v>
      </c>
      <c r="U34" s="19"/>
      <c r="V34" s="19">
        <f t="shared" si="0"/>
        <v>15914779</v>
      </c>
      <c r="W34" s="19"/>
      <c r="X34" s="19">
        <f t="shared" si="1"/>
        <v>32200051</v>
      </c>
    </row>
    <row r="35" spans="1:24" ht="12.75">
      <c r="A35" s="26" t="s">
        <v>34</v>
      </c>
      <c r="B35" s="26"/>
      <c r="C35" s="19">
        <v>1895771</v>
      </c>
      <c r="D35" s="19"/>
      <c r="E35" s="19">
        <v>16274076</v>
      </c>
      <c r="F35" s="19"/>
      <c r="G35" s="19">
        <v>330227</v>
      </c>
      <c r="H35" s="19"/>
      <c r="I35" s="19">
        <f>1508731+532823</f>
        <v>2041554</v>
      </c>
      <c r="J35" s="19"/>
      <c r="K35" s="19">
        <f>3056610+719402</f>
        <v>3776012</v>
      </c>
      <c r="L35" s="19">
        <v>0</v>
      </c>
      <c r="M35" s="19"/>
      <c r="N35" s="19">
        <v>1122653</v>
      </c>
      <c r="O35" s="19"/>
      <c r="P35" s="19">
        <v>377376</v>
      </c>
      <c r="Q35" s="19"/>
      <c r="R35" s="19">
        <v>2199229</v>
      </c>
      <c r="S35" s="19"/>
      <c r="T35" s="19">
        <v>0</v>
      </c>
      <c r="U35" s="19"/>
      <c r="V35" s="19">
        <f t="shared" si="0"/>
        <v>9516824</v>
      </c>
      <c r="W35" s="19"/>
      <c r="X35" s="19">
        <f t="shared" si="1"/>
        <v>28016898</v>
      </c>
    </row>
    <row r="36" spans="1:24" ht="12.75">
      <c r="A36" s="26" t="s">
        <v>35</v>
      </c>
      <c r="B36" s="26"/>
      <c r="C36" s="19">
        <v>7221878</v>
      </c>
      <c r="D36" s="19"/>
      <c r="E36" s="19">
        <v>23049477</v>
      </c>
      <c r="F36" s="19"/>
      <c r="G36" s="19">
        <v>4344987</v>
      </c>
      <c r="H36" s="19"/>
      <c r="I36" s="19">
        <f>6814822+1692284+796692+1306903+6327606+721945+2829170</f>
        <v>20489422</v>
      </c>
      <c r="J36" s="19"/>
      <c r="K36" s="19">
        <v>5032737</v>
      </c>
      <c r="L36" s="19">
        <v>494674</v>
      </c>
      <c r="M36" s="19"/>
      <c r="N36" s="19">
        <v>1519152</v>
      </c>
      <c r="O36" s="19"/>
      <c r="P36" s="19">
        <v>0</v>
      </c>
      <c r="Q36" s="19"/>
      <c r="R36" s="19">
        <f>953351+2028161</f>
        <v>2981512</v>
      </c>
      <c r="S36" s="19"/>
      <c r="T36" s="19">
        <v>-82125</v>
      </c>
      <c r="U36" s="19"/>
      <c r="V36" s="19">
        <f t="shared" si="0"/>
        <v>30435372</v>
      </c>
      <c r="W36" s="19"/>
      <c r="X36" s="19">
        <f t="shared" si="1"/>
        <v>65051714</v>
      </c>
    </row>
    <row r="37" spans="1:24" ht="12.75">
      <c r="A37" s="26" t="s">
        <v>194</v>
      </c>
      <c r="B37" s="26"/>
      <c r="C37" s="19">
        <v>17305814</v>
      </c>
      <c r="D37" s="19"/>
      <c r="E37" s="19">
        <v>30850229</v>
      </c>
      <c r="F37" s="19"/>
      <c r="G37" s="19">
        <v>150818</v>
      </c>
      <c r="H37" s="19"/>
      <c r="I37" s="19">
        <f>6128186+620348+3464669+2309778+5367781+1693267+636418</f>
        <v>20220447</v>
      </c>
      <c r="J37" s="19"/>
      <c r="K37" s="19">
        <v>18393495</v>
      </c>
      <c r="L37" s="19">
        <v>694163</v>
      </c>
      <c r="M37" s="19"/>
      <c r="N37" s="19">
        <v>4197650</v>
      </c>
      <c r="O37" s="19"/>
      <c r="P37" s="19">
        <v>2067309</v>
      </c>
      <c r="Q37" s="19"/>
      <c r="R37" s="19">
        <v>2229130</v>
      </c>
      <c r="S37" s="19"/>
      <c r="T37" s="19">
        <v>-267952</v>
      </c>
      <c r="U37" s="19"/>
      <c r="V37" s="19">
        <f t="shared" si="0"/>
        <v>47534242</v>
      </c>
      <c r="W37" s="19"/>
      <c r="X37" s="19">
        <f t="shared" si="1"/>
        <v>95841103</v>
      </c>
    </row>
    <row r="38" spans="1:24" ht="12.75">
      <c r="A38" s="26" t="s">
        <v>36</v>
      </c>
      <c r="B38" s="26"/>
      <c r="C38" s="19">
        <v>3595104</v>
      </c>
      <c r="D38" s="19"/>
      <c r="E38" s="19">
        <v>19889349</v>
      </c>
      <c r="F38" s="19"/>
      <c r="G38" s="19">
        <v>110470</v>
      </c>
      <c r="H38" s="19"/>
      <c r="I38" s="19">
        <f>1206038+331419+42752+427509+2348441+925262</f>
        <v>5281421</v>
      </c>
      <c r="J38" s="19"/>
      <c r="K38" s="19">
        <f>4747108+476581</f>
        <v>5223689</v>
      </c>
      <c r="L38" s="19">
        <v>145581</v>
      </c>
      <c r="M38" s="19"/>
      <c r="N38" s="19">
        <v>1856331</v>
      </c>
      <c r="O38" s="19"/>
      <c r="P38" s="19">
        <v>412940</v>
      </c>
      <c r="Q38" s="19"/>
      <c r="R38" s="19">
        <v>362096</v>
      </c>
      <c r="S38" s="19"/>
      <c r="T38" s="19">
        <v>-78663</v>
      </c>
      <c r="U38" s="19"/>
      <c r="V38" s="19">
        <f t="shared" si="0"/>
        <v>13203395</v>
      </c>
      <c r="W38" s="19"/>
      <c r="X38" s="19">
        <f t="shared" si="1"/>
        <v>36798318</v>
      </c>
    </row>
    <row r="39" spans="1:24" ht="12.75">
      <c r="A39" s="26" t="s">
        <v>37</v>
      </c>
      <c r="B39" s="26"/>
      <c r="C39" s="19">
        <v>239399</v>
      </c>
      <c r="D39" s="19"/>
      <c r="E39" s="19">
        <v>314352</v>
      </c>
      <c r="F39" s="19"/>
      <c r="G39" s="19">
        <v>1913</v>
      </c>
      <c r="H39" s="19"/>
      <c r="I39" s="19">
        <v>245094</v>
      </c>
      <c r="J39" s="19"/>
      <c r="K39" s="19">
        <v>61104</v>
      </c>
      <c r="L39" s="19">
        <f>13547+31596</f>
        <v>45143</v>
      </c>
      <c r="M39" s="19"/>
      <c r="N39" s="19">
        <v>0</v>
      </c>
      <c r="O39" s="19"/>
      <c r="P39" s="19">
        <v>17227</v>
      </c>
      <c r="Q39" s="19"/>
      <c r="R39" s="19">
        <v>-2542</v>
      </c>
      <c r="S39" s="19"/>
      <c r="T39" s="19">
        <v>-198</v>
      </c>
      <c r="U39" s="19"/>
      <c r="V39" s="19">
        <f t="shared" si="0"/>
        <v>365828</v>
      </c>
      <c r="W39" s="19"/>
      <c r="X39" s="19">
        <f t="shared" si="1"/>
        <v>921492</v>
      </c>
    </row>
    <row r="40" spans="1:24" ht="12.75">
      <c r="A40" s="26" t="s">
        <v>38</v>
      </c>
      <c r="B40" s="26"/>
      <c r="C40" s="19">
        <v>7535560</v>
      </c>
      <c r="D40" s="19"/>
      <c r="E40" s="19">
        <v>21883116</v>
      </c>
      <c r="F40" s="19"/>
      <c r="G40" s="19">
        <v>1328756</v>
      </c>
      <c r="H40" s="19"/>
      <c r="I40" s="19">
        <f>1487479+1314416+3192362+543998+137505+460699</f>
        <v>7136459</v>
      </c>
      <c r="J40" s="19"/>
      <c r="K40" s="19">
        <v>6074559</v>
      </c>
      <c r="L40" s="19">
        <v>1515381</v>
      </c>
      <c r="M40" s="19"/>
      <c r="N40" s="19">
        <v>0</v>
      </c>
      <c r="O40" s="19"/>
      <c r="P40" s="19">
        <v>0</v>
      </c>
      <c r="Q40" s="19"/>
      <c r="R40" s="19">
        <f>2627985+510770+1207315</f>
        <v>4346070</v>
      </c>
      <c r="S40" s="19"/>
      <c r="T40" s="19">
        <v>72743</v>
      </c>
      <c r="U40" s="19"/>
      <c r="V40" s="19">
        <f t="shared" si="0"/>
        <v>19145212</v>
      </c>
      <c r="W40" s="19"/>
      <c r="X40" s="19">
        <f t="shared" si="1"/>
        <v>49892644</v>
      </c>
    </row>
    <row r="41" spans="1:24" ht="12.75" hidden="1">
      <c r="A41" s="26" t="s">
        <v>177</v>
      </c>
      <c r="B41" s="26"/>
      <c r="C41" s="19">
        <v>0</v>
      </c>
      <c r="D41" s="19"/>
      <c r="E41" s="19">
        <v>0</v>
      </c>
      <c r="F41" s="19"/>
      <c r="G41" s="19">
        <v>0</v>
      </c>
      <c r="H41" s="19"/>
      <c r="I41" s="19">
        <v>0</v>
      </c>
      <c r="J41" s="19"/>
      <c r="K41" s="19">
        <v>0</v>
      </c>
      <c r="L41" s="19">
        <v>0</v>
      </c>
      <c r="M41" s="19"/>
      <c r="N41" s="19">
        <v>0</v>
      </c>
      <c r="O41" s="19"/>
      <c r="P41" s="19">
        <v>0</v>
      </c>
      <c r="Q41" s="19"/>
      <c r="R41" s="19">
        <v>0</v>
      </c>
      <c r="S41" s="19"/>
      <c r="T41" s="19">
        <v>0</v>
      </c>
      <c r="U41" s="19"/>
      <c r="V41" s="19">
        <f t="shared" si="0"/>
        <v>0</v>
      </c>
      <c r="W41" s="19"/>
      <c r="X41" s="19">
        <f t="shared" si="1"/>
        <v>0</v>
      </c>
    </row>
    <row r="42" spans="1:24" ht="12.75" hidden="1">
      <c r="A42" s="26" t="s">
        <v>39</v>
      </c>
      <c r="B42" s="26"/>
      <c r="C42" s="19">
        <v>0</v>
      </c>
      <c r="D42" s="19"/>
      <c r="E42" s="19">
        <v>0</v>
      </c>
      <c r="F42" s="19"/>
      <c r="G42" s="19">
        <v>0</v>
      </c>
      <c r="H42" s="19"/>
      <c r="I42" s="19">
        <v>0</v>
      </c>
      <c r="J42" s="19"/>
      <c r="K42" s="19">
        <v>0</v>
      </c>
      <c r="L42" s="19">
        <v>0</v>
      </c>
      <c r="M42" s="19"/>
      <c r="N42" s="19">
        <v>0</v>
      </c>
      <c r="O42" s="19"/>
      <c r="P42" s="19">
        <v>0</v>
      </c>
      <c r="Q42" s="19"/>
      <c r="R42" s="19">
        <v>0</v>
      </c>
      <c r="S42" s="19"/>
      <c r="T42" s="19">
        <v>0</v>
      </c>
      <c r="U42" s="19"/>
      <c r="V42" s="19">
        <f t="shared" si="0"/>
        <v>0</v>
      </c>
      <c r="W42" s="19"/>
      <c r="X42" s="19">
        <f t="shared" si="1"/>
        <v>0</v>
      </c>
    </row>
    <row r="43" spans="1:24" ht="12.75">
      <c r="A43" s="26" t="s">
        <v>40</v>
      </c>
      <c r="B43" s="26"/>
      <c r="C43" s="19">
        <v>4308209</v>
      </c>
      <c r="D43" s="19"/>
      <c r="E43" s="19">
        <v>8977384</v>
      </c>
      <c r="F43" s="19"/>
      <c r="G43" s="19">
        <v>185941</v>
      </c>
      <c r="H43" s="19"/>
      <c r="I43" s="19">
        <f>1723650+3375226+859170+644282</f>
        <v>6602328</v>
      </c>
      <c r="J43" s="19"/>
      <c r="K43" s="19">
        <v>2877357</v>
      </c>
      <c r="L43" s="19">
        <v>0</v>
      </c>
      <c r="M43" s="19"/>
      <c r="N43" s="19">
        <v>1585579</v>
      </c>
      <c r="O43" s="19"/>
      <c r="P43" s="19">
        <v>369580</v>
      </c>
      <c r="Q43" s="19"/>
      <c r="R43" s="19">
        <f>245489+966229</f>
        <v>1211718</v>
      </c>
      <c r="S43" s="19"/>
      <c r="T43" s="19">
        <v>-156800</v>
      </c>
      <c r="U43" s="19"/>
      <c r="V43" s="19">
        <f t="shared" si="0"/>
        <v>12489762</v>
      </c>
      <c r="W43" s="19"/>
      <c r="X43" s="19">
        <f t="shared" si="1"/>
        <v>25961296</v>
      </c>
    </row>
    <row r="44" spans="1:24" ht="12.75" hidden="1">
      <c r="A44" s="26" t="s">
        <v>41</v>
      </c>
      <c r="B44" s="26"/>
      <c r="C44" s="19">
        <v>0</v>
      </c>
      <c r="D44" s="19"/>
      <c r="E44" s="19">
        <v>0</v>
      </c>
      <c r="F44" s="19"/>
      <c r="G44" s="19">
        <v>0</v>
      </c>
      <c r="H44" s="19"/>
      <c r="I44" s="19">
        <v>0</v>
      </c>
      <c r="J44" s="19"/>
      <c r="K44" s="19">
        <v>0</v>
      </c>
      <c r="L44" s="19">
        <v>0</v>
      </c>
      <c r="M44" s="19"/>
      <c r="N44" s="19">
        <v>0</v>
      </c>
      <c r="O44" s="19"/>
      <c r="P44" s="19">
        <v>0</v>
      </c>
      <c r="Q44" s="19"/>
      <c r="R44" s="19">
        <v>0</v>
      </c>
      <c r="S44" s="19"/>
      <c r="T44" s="19">
        <v>0</v>
      </c>
      <c r="U44" s="19"/>
      <c r="V44" s="19">
        <f t="shared" si="0"/>
        <v>0</v>
      </c>
      <c r="W44" s="19"/>
      <c r="X44" s="19">
        <f t="shared" si="1"/>
        <v>0</v>
      </c>
    </row>
    <row r="45" spans="1:24" ht="12.75">
      <c r="A45" s="26" t="s">
        <v>42</v>
      </c>
      <c r="B45" s="26"/>
      <c r="C45" s="19">
        <v>2550435</v>
      </c>
      <c r="D45" s="19"/>
      <c r="E45" s="19">
        <v>9733287</v>
      </c>
      <c r="F45" s="19"/>
      <c r="G45" s="19">
        <v>1587915</v>
      </c>
      <c r="H45" s="19"/>
      <c r="I45" s="19">
        <f>1309051+2480785</f>
        <v>3789836</v>
      </c>
      <c r="J45" s="19"/>
      <c r="K45" s="19">
        <f>2305938+858547</f>
        <v>3164485</v>
      </c>
      <c r="L45" s="19">
        <v>0</v>
      </c>
      <c r="M45" s="19"/>
      <c r="N45" s="19">
        <v>719111</v>
      </c>
      <c r="O45" s="19"/>
      <c r="P45" s="19">
        <v>110098</v>
      </c>
      <c r="Q45" s="19"/>
      <c r="R45" s="19">
        <v>616013</v>
      </c>
      <c r="S45" s="19"/>
      <c r="T45" s="19">
        <v>0</v>
      </c>
      <c r="U45" s="19"/>
      <c r="V45" s="19">
        <f t="shared" si="0"/>
        <v>8399543</v>
      </c>
      <c r="W45" s="19"/>
      <c r="X45" s="19">
        <f t="shared" si="1"/>
        <v>22271180</v>
      </c>
    </row>
    <row r="46" spans="1:24" ht="12.75">
      <c r="A46" s="26" t="s">
        <v>43</v>
      </c>
      <c r="B46" s="26"/>
      <c r="C46" s="19">
        <v>4439975</v>
      </c>
      <c r="D46" s="19"/>
      <c r="E46" s="19">
        <v>10567126</v>
      </c>
      <c r="F46" s="19"/>
      <c r="G46" s="19">
        <v>292021</v>
      </c>
      <c r="H46" s="19"/>
      <c r="I46" s="19">
        <f>1892805+2799463+822563</f>
        <v>5514831</v>
      </c>
      <c r="J46" s="19"/>
      <c r="K46" s="19">
        <v>4494544</v>
      </c>
      <c r="L46" s="19">
        <v>0</v>
      </c>
      <c r="M46" s="19"/>
      <c r="N46" s="19">
        <v>1060162</v>
      </c>
      <c r="O46" s="19"/>
      <c r="P46" s="19">
        <v>312680</v>
      </c>
      <c r="Q46" s="19"/>
      <c r="R46" s="19">
        <v>627380</v>
      </c>
      <c r="S46" s="19"/>
      <c r="T46" s="19">
        <v>0</v>
      </c>
      <c r="U46" s="19"/>
      <c r="V46" s="19">
        <f t="shared" si="0"/>
        <v>12009597</v>
      </c>
      <c r="W46" s="19"/>
      <c r="X46" s="19">
        <f t="shared" si="1"/>
        <v>27308719</v>
      </c>
    </row>
    <row r="47" spans="1:24" ht="12.75">
      <c r="A47" s="26" t="s">
        <v>44</v>
      </c>
      <c r="B47" s="26"/>
      <c r="C47" s="19">
        <v>2964948</v>
      </c>
      <c r="D47" s="19"/>
      <c r="E47" s="19">
        <v>19046041</v>
      </c>
      <c r="F47" s="19"/>
      <c r="G47" s="19">
        <v>0</v>
      </c>
      <c r="H47" s="19"/>
      <c r="I47" s="19">
        <v>9248906</v>
      </c>
      <c r="J47" s="19"/>
      <c r="K47" s="19">
        <v>7136717</v>
      </c>
      <c r="L47" s="19">
        <v>695745</v>
      </c>
      <c r="M47" s="19"/>
      <c r="N47" s="19">
        <v>0</v>
      </c>
      <c r="O47" s="19"/>
      <c r="P47" s="19">
        <v>498605</v>
      </c>
      <c r="Q47" s="19"/>
      <c r="R47" s="19">
        <v>1933353</v>
      </c>
      <c r="S47" s="19"/>
      <c r="T47" s="19">
        <v>-249220</v>
      </c>
      <c r="U47" s="19"/>
      <c r="V47" s="19">
        <f t="shared" si="0"/>
        <v>19264106</v>
      </c>
      <c r="W47" s="19"/>
      <c r="X47" s="19">
        <f t="shared" si="1"/>
        <v>41275095</v>
      </c>
    </row>
    <row r="48" spans="1:24" ht="12.75" hidden="1">
      <c r="A48" s="26" t="s">
        <v>45</v>
      </c>
      <c r="B48" s="26"/>
      <c r="C48" s="19">
        <v>0</v>
      </c>
      <c r="D48" s="19"/>
      <c r="E48" s="19">
        <v>0</v>
      </c>
      <c r="F48" s="19"/>
      <c r="G48" s="19">
        <v>0</v>
      </c>
      <c r="H48" s="19"/>
      <c r="I48" s="19">
        <v>0</v>
      </c>
      <c r="J48" s="19"/>
      <c r="K48" s="19">
        <v>0</v>
      </c>
      <c r="L48" s="19">
        <v>0</v>
      </c>
      <c r="M48" s="19"/>
      <c r="N48" s="19">
        <v>0</v>
      </c>
      <c r="O48" s="19"/>
      <c r="P48" s="19">
        <v>0</v>
      </c>
      <c r="Q48" s="19"/>
      <c r="R48" s="19">
        <v>0</v>
      </c>
      <c r="S48" s="19"/>
      <c r="T48" s="19">
        <v>0</v>
      </c>
      <c r="U48" s="19"/>
      <c r="V48" s="19">
        <f t="shared" si="0"/>
        <v>0</v>
      </c>
      <c r="W48" s="19"/>
      <c r="X48" s="19">
        <f t="shared" si="1"/>
        <v>0</v>
      </c>
    </row>
    <row r="49" spans="1:24" ht="12.75">
      <c r="A49" s="26" t="s">
        <v>46</v>
      </c>
      <c r="B49" s="26"/>
      <c r="C49" s="19">
        <v>8641792</v>
      </c>
      <c r="D49" s="19"/>
      <c r="E49" s="19">
        <v>36293210</v>
      </c>
      <c r="F49" s="19"/>
      <c r="G49" s="19">
        <v>96212</v>
      </c>
      <c r="H49" s="19"/>
      <c r="I49" s="19">
        <f>1746042+321411+1263163+30+714730+2544047+1110788+1038742</f>
        <v>8738953</v>
      </c>
      <c r="J49" s="19"/>
      <c r="K49" s="19">
        <f>4031020+2532938+200000+1665129+349960</f>
        <v>8779047</v>
      </c>
      <c r="L49" s="19">
        <v>0</v>
      </c>
      <c r="M49" s="19"/>
      <c r="N49" s="19">
        <v>4959388</v>
      </c>
      <c r="O49" s="19"/>
      <c r="P49" s="19">
        <v>239436</v>
      </c>
      <c r="Q49" s="19"/>
      <c r="R49" s="19">
        <v>402091</v>
      </c>
      <c r="S49" s="19"/>
      <c r="T49" s="19">
        <v>0</v>
      </c>
      <c r="U49" s="19"/>
      <c r="V49" s="19">
        <f t="shared" si="0"/>
        <v>23118915</v>
      </c>
      <c r="W49" s="19"/>
      <c r="X49" s="19">
        <f t="shared" si="1"/>
        <v>68150129</v>
      </c>
    </row>
    <row r="50" spans="1:24" ht="12.75">
      <c r="A50" s="26" t="s">
        <v>47</v>
      </c>
      <c r="B50" s="26"/>
      <c r="C50" s="19">
        <v>3324131</v>
      </c>
      <c r="D50" s="19"/>
      <c r="E50" s="19">
        <v>11219722</v>
      </c>
      <c r="F50" s="19"/>
      <c r="G50" s="19">
        <v>657936</v>
      </c>
      <c r="H50" s="19"/>
      <c r="I50" s="19">
        <f>4529804+1898784</f>
        <v>6428588</v>
      </c>
      <c r="J50" s="19"/>
      <c r="K50" s="19">
        <v>4599207</v>
      </c>
      <c r="L50" s="19">
        <v>0</v>
      </c>
      <c r="M50" s="19"/>
      <c r="N50" s="19">
        <v>0</v>
      </c>
      <c r="O50" s="19"/>
      <c r="P50" s="19">
        <v>336429</v>
      </c>
      <c r="Q50" s="19"/>
      <c r="R50" s="19">
        <f>2311657+945500</f>
        <v>3257157</v>
      </c>
      <c r="S50" s="19"/>
      <c r="T50" s="19">
        <v>-797113</v>
      </c>
      <c r="U50" s="19"/>
      <c r="V50" s="19">
        <f t="shared" si="0"/>
        <v>13824268</v>
      </c>
      <c r="W50" s="19"/>
      <c r="X50" s="19">
        <f t="shared" si="1"/>
        <v>29026057</v>
      </c>
    </row>
    <row r="51" spans="1:24" ht="12.75">
      <c r="A51" s="26" t="s">
        <v>48</v>
      </c>
      <c r="B51" s="26"/>
      <c r="C51" s="19">
        <v>21215486</v>
      </c>
      <c r="D51" s="19"/>
      <c r="E51" s="19">
        <v>53940546</v>
      </c>
      <c r="F51" s="19"/>
      <c r="G51" s="19">
        <v>1468529</v>
      </c>
      <c r="H51" s="19"/>
      <c r="I51" s="19">
        <f>9349110+17758008+5564169+2849891+1032839+1224660+1378818</f>
        <v>39157495</v>
      </c>
      <c r="J51" s="19"/>
      <c r="K51" s="19">
        <v>15817126</v>
      </c>
      <c r="L51" s="19">
        <v>4088580</v>
      </c>
      <c r="M51" s="19"/>
      <c r="N51" s="19">
        <v>3383675</v>
      </c>
      <c r="O51" s="19"/>
      <c r="P51" s="19">
        <v>0</v>
      </c>
      <c r="Q51" s="19"/>
      <c r="R51" s="19">
        <f>2072468+7203558</f>
        <v>9276026</v>
      </c>
      <c r="S51" s="19"/>
      <c r="T51" s="19">
        <v>0</v>
      </c>
      <c r="U51" s="19"/>
      <c r="V51" s="19">
        <f t="shared" si="0"/>
        <v>71722902</v>
      </c>
      <c r="W51" s="19"/>
      <c r="X51" s="19">
        <f t="shared" si="1"/>
        <v>148347463</v>
      </c>
    </row>
    <row r="52" spans="1:24" ht="12.75" hidden="1">
      <c r="A52" s="26" t="s">
        <v>246</v>
      </c>
      <c r="B52" s="26"/>
      <c r="C52" s="19">
        <v>0</v>
      </c>
      <c r="D52" s="19"/>
      <c r="E52" s="19">
        <v>0</v>
      </c>
      <c r="F52" s="19"/>
      <c r="G52" s="19">
        <v>0</v>
      </c>
      <c r="H52" s="19"/>
      <c r="I52" s="19">
        <v>0</v>
      </c>
      <c r="J52" s="19"/>
      <c r="K52" s="19">
        <v>0</v>
      </c>
      <c r="L52" s="19">
        <v>0</v>
      </c>
      <c r="M52" s="19"/>
      <c r="N52" s="19">
        <v>0</v>
      </c>
      <c r="O52" s="19"/>
      <c r="P52" s="19">
        <v>0</v>
      </c>
      <c r="Q52" s="19"/>
      <c r="R52" s="19">
        <v>0</v>
      </c>
      <c r="S52" s="19"/>
      <c r="T52" s="19">
        <v>0</v>
      </c>
      <c r="U52" s="19"/>
      <c r="V52" s="19">
        <f t="shared" si="0"/>
        <v>0</v>
      </c>
      <c r="W52" s="19"/>
      <c r="X52" s="19">
        <f t="shared" si="1"/>
        <v>0</v>
      </c>
    </row>
    <row r="53" spans="1:24" ht="12.75">
      <c r="A53" s="26" t="s">
        <v>49</v>
      </c>
      <c r="B53" s="26"/>
      <c r="C53" s="19">
        <v>11228371</v>
      </c>
      <c r="D53" s="19"/>
      <c r="E53" s="19">
        <v>26576488</v>
      </c>
      <c r="F53" s="19"/>
      <c r="G53" s="19">
        <v>0</v>
      </c>
      <c r="H53" s="19"/>
      <c r="I53" s="19">
        <v>18109509</v>
      </c>
      <c r="J53" s="19"/>
      <c r="K53" s="19">
        <v>15400816</v>
      </c>
      <c r="L53" s="19">
        <f>11095136</f>
        <v>11095136</v>
      </c>
      <c r="M53" s="19"/>
      <c r="N53" s="19">
        <v>0</v>
      </c>
      <c r="O53" s="19"/>
      <c r="P53" s="19">
        <v>816069</v>
      </c>
      <c r="Q53" s="19"/>
      <c r="R53" s="19">
        <v>1826113</v>
      </c>
      <c r="S53" s="19"/>
      <c r="T53" s="19">
        <v>22985</v>
      </c>
      <c r="U53" s="19"/>
      <c r="V53" s="19">
        <f t="shared" si="0"/>
        <v>47270628</v>
      </c>
      <c r="W53" s="19"/>
      <c r="X53" s="19">
        <f t="shared" si="1"/>
        <v>85075487</v>
      </c>
    </row>
    <row r="54" spans="1:24" ht="12.75">
      <c r="A54" s="26" t="s">
        <v>50</v>
      </c>
      <c r="B54" s="26"/>
      <c r="C54" s="19">
        <v>5210286</v>
      </c>
      <c r="D54" s="19"/>
      <c r="E54" s="19">
        <v>10627622</v>
      </c>
      <c r="F54" s="19"/>
      <c r="G54" s="19">
        <v>960000</v>
      </c>
      <c r="H54" s="19"/>
      <c r="I54" s="19">
        <v>6671826</v>
      </c>
      <c r="J54" s="19"/>
      <c r="K54" s="19">
        <v>4897209</v>
      </c>
      <c r="L54" s="19">
        <v>338481</v>
      </c>
      <c r="M54" s="19"/>
      <c r="N54" s="19">
        <v>3754085</v>
      </c>
      <c r="O54" s="19"/>
      <c r="P54" s="19">
        <v>728442</v>
      </c>
      <c r="Q54" s="19"/>
      <c r="R54" s="19">
        <v>1240773</v>
      </c>
      <c r="S54" s="19"/>
      <c r="T54" s="19">
        <v>1080278</v>
      </c>
      <c r="U54" s="19"/>
      <c r="V54" s="19">
        <f t="shared" si="0"/>
        <v>18711094</v>
      </c>
      <c r="W54" s="19"/>
      <c r="X54" s="19">
        <f t="shared" si="1"/>
        <v>35509002</v>
      </c>
    </row>
    <row r="55" spans="1:24" ht="12.75">
      <c r="A55" s="26" t="s">
        <v>51</v>
      </c>
      <c r="B55" s="26"/>
      <c r="C55" s="19">
        <v>33655828</v>
      </c>
      <c r="D55" s="19"/>
      <c r="E55" s="19">
        <v>77784499</v>
      </c>
      <c r="F55" s="19"/>
      <c r="G55" s="19">
        <v>7236058</v>
      </c>
      <c r="H55" s="19"/>
      <c r="I55" s="19">
        <v>46305545</v>
      </c>
      <c r="J55" s="19"/>
      <c r="K55" s="19">
        <v>20611360</v>
      </c>
      <c r="L55" s="19">
        <v>0</v>
      </c>
      <c r="M55" s="19"/>
      <c r="N55" s="19">
        <v>0</v>
      </c>
      <c r="O55" s="19"/>
      <c r="P55" s="19">
        <v>1900526</v>
      </c>
      <c r="Q55" s="19"/>
      <c r="R55" s="19">
        <f>10824152+654881</f>
        <v>11479033</v>
      </c>
      <c r="S55" s="19"/>
      <c r="T55" s="19">
        <v>0</v>
      </c>
      <c r="U55" s="19"/>
      <c r="V55" s="19">
        <f t="shared" si="0"/>
        <v>80296464</v>
      </c>
      <c r="W55" s="19"/>
      <c r="X55" s="19">
        <f t="shared" si="1"/>
        <v>198972849</v>
      </c>
    </row>
    <row r="56" spans="1:24" ht="12.75">
      <c r="A56" s="26" t="s">
        <v>200</v>
      </c>
      <c r="B56" s="26"/>
      <c r="C56" s="19">
        <v>26507</v>
      </c>
      <c r="D56" s="19"/>
      <c r="E56" s="19">
        <v>175913</v>
      </c>
      <c r="F56" s="19"/>
      <c r="G56" s="19">
        <v>1839</v>
      </c>
      <c r="H56" s="19"/>
      <c r="I56" s="19">
        <v>106578</v>
      </c>
      <c r="J56" s="19"/>
      <c r="K56" s="19">
        <v>67087</v>
      </c>
      <c r="L56" s="19">
        <v>6496</v>
      </c>
      <c r="M56" s="19"/>
      <c r="N56" s="19">
        <v>0</v>
      </c>
      <c r="O56" s="19"/>
      <c r="P56" s="19">
        <v>4124</v>
      </c>
      <c r="Q56" s="19"/>
      <c r="R56" s="19">
        <f>47504+7508+33</f>
        <v>55045</v>
      </c>
      <c r="S56" s="19"/>
      <c r="T56" s="19">
        <v>1134</v>
      </c>
      <c r="U56" s="19"/>
      <c r="V56" s="19">
        <f t="shared" si="0"/>
        <v>240464</v>
      </c>
      <c r="W56" s="19"/>
      <c r="X56" s="19">
        <f t="shared" si="1"/>
        <v>444723</v>
      </c>
    </row>
    <row r="57" spans="1:24" ht="12.75" hidden="1">
      <c r="A57" s="26" t="s">
        <v>52</v>
      </c>
      <c r="B57" s="26"/>
      <c r="C57" s="19">
        <v>0</v>
      </c>
      <c r="D57" s="19"/>
      <c r="E57" s="19">
        <v>0</v>
      </c>
      <c r="F57" s="19"/>
      <c r="G57" s="19">
        <v>0</v>
      </c>
      <c r="H57" s="19"/>
      <c r="I57" s="19">
        <v>0</v>
      </c>
      <c r="J57" s="19"/>
      <c r="K57" s="19">
        <v>0</v>
      </c>
      <c r="L57" s="19">
        <v>0</v>
      </c>
      <c r="M57" s="19"/>
      <c r="N57" s="19">
        <v>0</v>
      </c>
      <c r="O57" s="19"/>
      <c r="P57" s="19">
        <v>0</v>
      </c>
      <c r="Q57" s="19"/>
      <c r="R57" s="19">
        <v>0</v>
      </c>
      <c r="S57" s="19"/>
      <c r="T57" s="19">
        <v>0</v>
      </c>
      <c r="U57" s="19"/>
      <c r="V57" s="19">
        <f t="shared" si="0"/>
        <v>0</v>
      </c>
      <c r="W57" s="19"/>
      <c r="X57" s="19">
        <f t="shared" si="1"/>
        <v>0</v>
      </c>
    </row>
    <row r="58" spans="1:24" ht="12.75">
      <c r="A58" s="26" t="s">
        <v>53</v>
      </c>
      <c r="B58" s="26"/>
      <c r="C58" s="19">
        <v>25085469</v>
      </c>
      <c r="D58" s="19"/>
      <c r="E58" s="19">
        <v>78974967</v>
      </c>
      <c r="F58" s="19"/>
      <c r="G58" s="19">
        <v>5327007</v>
      </c>
      <c r="H58" s="19"/>
      <c r="I58" s="19">
        <v>25827235</v>
      </c>
      <c r="J58" s="19"/>
      <c r="K58" s="19">
        <v>26803475</v>
      </c>
      <c r="L58" s="19">
        <v>10644478</v>
      </c>
      <c r="M58" s="19"/>
      <c r="N58" s="19">
        <v>10015678</v>
      </c>
      <c r="O58" s="19"/>
      <c r="P58" s="19">
        <f>1918927-463503</f>
        <v>1455424</v>
      </c>
      <c r="Q58" s="19"/>
      <c r="R58" s="19">
        <v>0</v>
      </c>
      <c r="S58" s="19"/>
      <c r="T58" s="19">
        <v>55548</v>
      </c>
      <c r="U58" s="19"/>
      <c r="V58" s="19">
        <f t="shared" si="0"/>
        <v>74801838</v>
      </c>
      <c r="W58" s="19"/>
      <c r="X58" s="19">
        <f t="shared" si="1"/>
        <v>184189281</v>
      </c>
    </row>
    <row r="59" spans="1:24" ht="12.75">
      <c r="A59" s="26" t="s">
        <v>54</v>
      </c>
      <c r="B59" s="26"/>
      <c r="C59" s="19">
        <v>5228601</v>
      </c>
      <c r="D59" s="19"/>
      <c r="E59" s="19">
        <v>18044777</v>
      </c>
      <c r="F59" s="19"/>
      <c r="G59" s="19">
        <v>276307</v>
      </c>
      <c r="H59" s="19"/>
      <c r="I59" s="19">
        <f>2123288+594917+2873363+1525292+304954+240466</f>
        <v>7662280</v>
      </c>
      <c r="J59" s="19"/>
      <c r="K59" s="19">
        <v>6171612</v>
      </c>
      <c r="L59" s="19">
        <v>0</v>
      </c>
      <c r="M59" s="19"/>
      <c r="N59" s="19">
        <v>1677185</v>
      </c>
      <c r="O59" s="19"/>
      <c r="P59" s="19">
        <v>0</v>
      </c>
      <c r="Q59" s="19"/>
      <c r="R59" s="19">
        <f>1241178+827799</f>
        <v>2068977</v>
      </c>
      <c r="S59" s="19"/>
      <c r="T59" s="19">
        <v>0</v>
      </c>
      <c r="U59" s="19"/>
      <c r="V59" s="19">
        <f t="shared" si="0"/>
        <v>17580054</v>
      </c>
      <c r="W59" s="19"/>
      <c r="X59" s="19">
        <f t="shared" si="1"/>
        <v>41129739</v>
      </c>
    </row>
    <row r="60" spans="1:24" ht="12.75">
      <c r="A60" s="26" t="s">
        <v>55</v>
      </c>
      <c r="B60" s="26"/>
      <c r="C60" s="19">
        <v>17486646</v>
      </c>
      <c r="D60" s="19"/>
      <c r="E60" s="19">
        <v>32038382</v>
      </c>
      <c r="F60" s="19"/>
      <c r="G60" s="19">
        <v>2284176</v>
      </c>
      <c r="H60" s="19"/>
      <c r="I60" s="19">
        <f>8720422+1281357+9990673+504044+1159203</f>
        <v>21655699</v>
      </c>
      <c r="J60" s="19"/>
      <c r="K60" s="19">
        <v>8465661</v>
      </c>
      <c r="L60" s="19">
        <v>0</v>
      </c>
      <c r="M60" s="19"/>
      <c r="N60" s="19">
        <v>4351795</v>
      </c>
      <c r="O60" s="19"/>
      <c r="P60" s="19">
        <v>0</v>
      </c>
      <c r="Q60" s="19"/>
      <c r="R60" s="19">
        <f>1148945+2960053</f>
        <v>4108998</v>
      </c>
      <c r="S60" s="19"/>
      <c r="T60" s="19">
        <v>-4000</v>
      </c>
      <c r="U60" s="19"/>
      <c r="V60" s="19">
        <f t="shared" si="0"/>
        <v>38578153</v>
      </c>
      <c r="W60" s="19"/>
      <c r="X60" s="19">
        <f t="shared" si="1"/>
        <v>90387357</v>
      </c>
    </row>
    <row r="61" spans="1:24" ht="12.75" hidden="1">
      <c r="A61" s="26" t="s">
        <v>180</v>
      </c>
      <c r="B61" s="26"/>
      <c r="C61" s="19">
        <v>0</v>
      </c>
      <c r="D61" s="19"/>
      <c r="E61" s="19">
        <v>0</v>
      </c>
      <c r="F61" s="19"/>
      <c r="G61" s="19">
        <v>0</v>
      </c>
      <c r="H61" s="19"/>
      <c r="I61" s="19">
        <v>0</v>
      </c>
      <c r="J61" s="19"/>
      <c r="K61" s="19">
        <v>0</v>
      </c>
      <c r="L61" s="19">
        <v>0</v>
      </c>
      <c r="M61" s="19"/>
      <c r="N61" s="19">
        <v>0</v>
      </c>
      <c r="O61" s="19"/>
      <c r="P61" s="19">
        <v>0</v>
      </c>
      <c r="Q61" s="19"/>
      <c r="R61" s="19">
        <v>0</v>
      </c>
      <c r="S61" s="19"/>
      <c r="T61" s="19">
        <v>0</v>
      </c>
      <c r="U61" s="19"/>
      <c r="V61" s="19">
        <f t="shared" si="0"/>
        <v>0</v>
      </c>
      <c r="W61" s="19"/>
      <c r="X61" s="19">
        <f t="shared" si="1"/>
        <v>0</v>
      </c>
    </row>
    <row r="62" spans="1:24" ht="12.75" hidden="1">
      <c r="A62" s="26" t="s">
        <v>56</v>
      </c>
      <c r="B62" s="26"/>
      <c r="C62" s="19">
        <v>0</v>
      </c>
      <c r="D62" s="19"/>
      <c r="E62" s="19">
        <v>0</v>
      </c>
      <c r="F62" s="19"/>
      <c r="G62" s="19">
        <v>0</v>
      </c>
      <c r="H62" s="19"/>
      <c r="I62" s="19">
        <v>0</v>
      </c>
      <c r="J62" s="19"/>
      <c r="K62" s="19">
        <v>0</v>
      </c>
      <c r="L62" s="19">
        <v>0</v>
      </c>
      <c r="M62" s="19"/>
      <c r="N62" s="19">
        <v>0</v>
      </c>
      <c r="O62" s="19"/>
      <c r="P62" s="19">
        <v>0</v>
      </c>
      <c r="Q62" s="19"/>
      <c r="R62" s="19">
        <v>0</v>
      </c>
      <c r="S62" s="19"/>
      <c r="T62" s="19">
        <v>0</v>
      </c>
      <c r="U62" s="19"/>
      <c r="V62" s="19">
        <f t="shared" si="0"/>
        <v>0</v>
      </c>
      <c r="W62" s="19"/>
      <c r="X62" s="19">
        <f t="shared" si="1"/>
        <v>0</v>
      </c>
    </row>
    <row r="63" spans="1:24" ht="12.75">
      <c r="A63" s="26" t="s">
        <v>57</v>
      </c>
      <c r="B63" s="26"/>
      <c r="C63" s="19">
        <v>15744054</v>
      </c>
      <c r="D63" s="19"/>
      <c r="E63" s="19">
        <v>13254316</v>
      </c>
      <c r="F63" s="19"/>
      <c r="G63" s="19">
        <v>1079269</v>
      </c>
      <c r="H63" s="19"/>
      <c r="I63" s="19">
        <v>11644400</v>
      </c>
      <c r="J63" s="19"/>
      <c r="K63" s="19">
        <v>9648557</v>
      </c>
      <c r="L63" s="19">
        <f>2873288+4154581</f>
        <v>7027869</v>
      </c>
      <c r="M63" s="19"/>
      <c r="N63" s="19">
        <v>0</v>
      </c>
      <c r="O63" s="19"/>
      <c r="P63" s="19">
        <v>856489</v>
      </c>
      <c r="Q63" s="19"/>
      <c r="R63" s="19">
        <v>335284</v>
      </c>
      <c r="S63" s="19"/>
      <c r="T63" s="19">
        <v>0</v>
      </c>
      <c r="U63" s="19"/>
      <c r="V63" s="19">
        <f t="shared" si="0"/>
        <v>29512599</v>
      </c>
      <c r="W63" s="19"/>
      <c r="X63" s="19">
        <f t="shared" si="1"/>
        <v>59590238</v>
      </c>
    </row>
    <row r="64" spans="1:24" ht="12.75">
      <c r="A64" s="26" t="s">
        <v>58</v>
      </c>
      <c r="B64" s="26"/>
      <c r="C64" s="19">
        <v>602509</v>
      </c>
      <c r="D64" s="19"/>
      <c r="E64" s="19">
        <v>6497677</v>
      </c>
      <c r="F64" s="19"/>
      <c r="G64" s="19">
        <v>302868</v>
      </c>
      <c r="H64" s="19"/>
      <c r="I64" s="19">
        <f>791618+711292</f>
        <v>1502910</v>
      </c>
      <c r="J64" s="19"/>
      <c r="K64" s="19">
        <v>2651445</v>
      </c>
      <c r="L64" s="19">
        <v>395949</v>
      </c>
      <c r="M64" s="19"/>
      <c r="N64" s="19">
        <v>1156999</v>
      </c>
      <c r="O64" s="19"/>
      <c r="P64" s="19">
        <v>61497</v>
      </c>
      <c r="Q64" s="19"/>
      <c r="R64" s="19">
        <v>1614981</v>
      </c>
      <c r="S64" s="19"/>
      <c r="T64" s="19">
        <v>0</v>
      </c>
      <c r="U64" s="19"/>
      <c r="V64" s="19">
        <f t="shared" si="0"/>
        <v>7383781</v>
      </c>
      <c r="W64" s="19"/>
      <c r="X64" s="19">
        <f t="shared" si="1"/>
        <v>14786835</v>
      </c>
    </row>
    <row r="65" spans="1:24" ht="12.75">
      <c r="A65" s="26" t="s">
        <v>59</v>
      </c>
      <c r="B65" s="26"/>
      <c r="C65" s="19">
        <v>49333247</v>
      </c>
      <c r="D65" s="19"/>
      <c r="E65" s="19">
        <v>192487242</v>
      </c>
      <c r="F65" s="19"/>
      <c r="G65" s="19">
        <v>7021003</v>
      </c>
      <c r="H65" s="19"/>
      <c r="I65" s="19">
        <f>16254315+3849843+69006700</f>
        <v>89110858</v>
      </c>
      <c r="J65" s="19"/>
      <c r="K65" s="19">
        <v>64515981</v>
      </c>
      <c r="L65" s="19">
        <v>8523529</v>
      </c>
      <c r="M65" s="19"/>
      <c r="N65" s="19">
        <v>21534566</v>
      </c>
      <c r="O65" s="19"/>
      <c r="P65" s="19">
        <f>9057075+218291</f>
        <v>9275366</v>
      </c>
      <c r="Q65" s="19"/>
      <c r="R65" s="19">
        <v>9355171</v>
      </c>
      <c r="S65" s="19"/>
      <c r="T65" s="19">
        <v>-3474100</v>
      </c>
      <c r="U65" s="19"/>
      <c r="V65" s="19">
        <f t="shared" si="0"/>
        <v>198841371</v>
      </c>
      <c r="W65" s="19"/>
      <c r="X65" s="19">
        <f t="shared" si="1"/>
        <v>447682863</v>
      </c>
    </row>
    <row r="66" spans="1:24" ht="12.75" hidden="1">
      <c r="A66" s="26" t="s">
        <v>60</v>
      </c>
      <c r="B66" s="26"/>
      <c r="C66" s="19">
        <v>0</v>
      </c>
      <c r="D66" s="19"/>
      <c r="E66" s="19">
        <v>0</v>
      </c>
      <c r="F66" s="19"/>
      <c r="G66" s="19">
        <v>0</v>
      </c>
      <c r="H66" s="19"/>
      <c r="I66" s="19">
        <v>0</v>
      </c>
      <c r="J66" s="19"/>
      <c r="K66" s="19">
        <v>0</v>
      </c>
      <c r="L66" s="19">
        <v>0</v>
      </c>
      <c r="M66" s="19"/>
      <c r="N66" s="19">
        <v>0</v>
      </c>
      <c r="O66" s="19"/>
      <c r="P66" s="19">
        <v>0</v>
      </c>
      <c r="Q66" s="19"/>
      <c r="R66" s="19">
        <v>0</v>
      </c>
      <c r="S66" s="19"/>
      <c r="T66" s="19">
        <v>0</v>
      </c>
      <c r="U66" s="19"/>
      <c r="V66" s="19">
        <f t="shared" si="0"/>
        <v>0</v>
      </c>
      <c r="W66" s="19"/>
      <c r="X66" s="19">
        <f t="shared" si="1"/>
        <v>0</v>
      </c>
    </row>
    <row r="67" spans="1:24" ht="12.75">
      <c r="A67" s="26" t="s">
        <v>98</v>
      </c>
      <c r="B67" s="26"/>
      <c r="C67" s="19">
        <v>3837066</v>
      </c>
      <c r="D67" s="19"/>
      <c r="E67" s="19">
        <v>11072017</v>
      </c>
      <c r="F67" s="19"/>
      <c r="G67" s="19">
        <v>0</v>
      </c>
      <c r="H67" s="19"/>
      <c r="I67" s="19">
        <f>1955369+1262416</f>
        <v>3217785</v>
      </c>
      <c r="J67" s="19"/>
      <c r="K67" s="19">
        <v>2489471</v>
      </c>
      <c r="L67" s="19">
        <v>0</v>
      </c>
      <c r="M67" s="19"/>
      <c r="N67" s="19">
        <v>855107</v>
      </c>
      <c r="O67" s="19"/>
      <c r="P67" s="19">
        <v>340933</v>
      </c>
      <c r="Q67" s="19"/>
      <c r="R67" s="19">
        <f>14066+1239178</f>
        <v>1253244</v>
      </c>
      <c r="S67" s="19"/>
      <c r="T67" s="19">
        <v>10737</v>
      </c>
      <c r="U67" s="19"/>
      <c r="V67" s="19">
        <f t="shared" si="0"/>
        <v>8167277</v>
      </c>
      <c r="W67" s="19"/>
      <c r="X67" s="19">
        <f t="shared" si="1"/>
        <v>23076360</v>
      </c>
    </row>
    <row r="68" spans="1:24" ht="12.75">
      <c r="A68" s="26" t="s">
        <v>62</v>
      </c>
      <c r="B68" s="26"/>
      <c r="C68" s="19">
        <v>9513086</v>
      </c>
      <c r="D68" s="19"/>
      <c r="E68" s="19">
        <v>30751343</v>
      </c>
      <c r="F68" s="19"/>
      <c r="G68" s="19">
        <v>1288966</v>
      </c>
      <c r="H68" s="19"/>
      <c r="I68" s="19">
        <f>2417067+381621+1310675+7320364</f>
        <v>11429727</v>
      </c>
      <c r="J68" s="19"/>
      <c r="K68" s="19">
        <v>13816525</v>
      </c>
      <c r="L68" s="19">
        <v>0</v>
      </c>
      <c r="M68" s="19"/>
      <c r="N68" s="19">
        <v>1830285</v>
      </c>
      <c r="O68" s="19"/>
      <c r="P68" s="19">
        <v>1064382</v>
      </c>
      <c r="Q68" s="19"/>
      <c r="R68" s="19">
        <f>388076+767335</f>
        <v>1155411</v>
      </c>
      <c r="S68" s="19"/>
      <c r="T68" s="19">
        <v>-537210</v>
      </c>
      <c r="U68" s="19"/>
      <c r="V68" s="19">
        <f t="shared" si="0"/>
        <v>28759120</v>
      </c>
      <c r="W68" s="19"/>
      <c r="X68" s="19">
        <f t="shared" si="1"/>
        <v>70312515</v>
      </c>
    </row>
    <row r="69" spans="1:24" ht="12.75">
      <c r="A69" s="26" t="s">
        <v>63</v>
      </c>
      <c r="B69" s="26"/>
      <c r="C69" s="19">
        <v>1232517</v>
      </c>
      <c r="D69" s="19"/>
      <c r="E69" s="19">
        <v>6804907</v>
      </c>
      <c r="F69" s="19"/>
      <c r="G69" s="19">
        <v>75894</v>
      </c>
      <c r="H69" s="19"/>
      <c r="I69" s="19">
        <f>657772+44638+471109+199960+145150</f>
        <v>1518629</v>
      </c>
      <c r="J69" s="19"/>
      <c r="K69" s="19">
        <v>919947</v>
      </c>
      <c r="L69" s="19">
        <v>0</v>
      </c>
      <c r="M69" s="19"/>
      <c r="N69" s="19">
        <v>741268</v>
      </c>
      <c r="O69" s="19"/>
      <c r="P69" s="19">
        <v>123714</v>
      </c>
      <c r="Q69" s="19"/>
      <c r="R69" s="19">
        <v>739578</v>
      </c>
      <c r="S69" s="19"/>
      <c r="T69" s="19">
        <v>0</v>
      </c>
      <c r="U69" s="19"/>
      <c r="V69" s="19">
        <f t="shared" si="0"/>
        <v>4043136</v>
      </c>
      <c r="W69" s="19"/>
      <c r="X69" s="19">
        <f t="shared" si="1"/>
        <v>12156454</v>
      </c>
    </row>
    <row r="70" spans="1:24" ht="12.75">
      <c r="A70" s="26" t="s">
        <v>64</v>
      </c>
      <c r="B70" s="26"/>
      <c r="C70" s="19">
        <v>5955538</v>
      </c>
      <c r="D70" s="19"/>
      <c r="E70" s="19">
        <v>11459608</v>
      </c>
      <c r="F70" s="19"/>
      <c r="G70" s="19">
        <v>0</v>
      </c>
      <c r="H70" s="19"/>
      <c r="I70" s="19">
        <f>2707039+3014220+217610</f>
        <v>5938869</v>
      </c>
      <c r="J70" s="19"/>
      <c r="K70" s="19">
        <v>4674252</v>
      </c>
      <c r="L70" s="19">
        <v>224318</v>
      </c>
      <c r="M70" s="19"/>
      <c r="N70" s="19">
        <v>1351611</v>
      </c>
      <c r="O70" s="19"/>
      <c r="P70" s="19">
        <v>0</v>
      </c>
      <c r="Q70" s="19"/>
      <c r="R70" s="19">
        <f>1794566+1341703</f>
        <v>3136269</v>
      </c>
      <c r="S70" s="19"/>
      <c r="T70" s="19">
        <v>-25736</v>
      </c>
      <c r="U70" s="19"/>
      <c r="V70" s="19">
        <f t="shared" si="0"/>
        <v>15299583</v>
      </c>
      <c r="W70" s="19"/>
      <c r="X70" s="19">
        <f t="shared" si="1"/>
        <v>32714729</v>
      </c>
    </row>
    <row r="71" spans="1:24" ht="12.75" hidden="1">
      <c r="A71" s="26" t="s">
        <v>137</v>
      </c>
      <c r="B71" s="26"/>
      <c r="C71" s="19">
        <v>0</v>
      </c>
      <c r="D71" s="19"/>
      <c r="E71" s="19">
        <v>0</v>
      </c>
      <c r="F71" s="19"/>
      <c r="G71" s="19">
        <v>0</v>
      </c>
      <c r="H71" s="19"/>
      <c r="I71" s="19">
        <v>0</v>
      </c>
      <c r="J71" s="19"/>
      <c r="K71" s="19">
        <v>0</v>
      </c>
      <c r="L71" s="19">
        <v>0</v>
      </c>
      <c r="M71" s="19"/>
      <c r="N71" s="19">
        <v>0</v>
      </c>
      <c r="O71" s="19"/>
      <c r="P71" s="19">
        <v>0</v>
      </c>
      <c r="Q71" s="19"/>
      <c r="R71" s="19">
        <v>0</v>
      </c>
      <c r="S71" s="19"/>
      <c r="T71" s="19">
        <v>0</v>
      </c>
      <c r="U71" s="19"/>
      <c r="V71" s="19">
        <f t="shared" si="0"/>
        <v>0</v>
      </c>
      <c r="W71" s="19"/>
      <c r="X71" s="19">
        <f t="shared" si="1"/>
        <v>0</v>
      </c>
    </row>
    <row r="72" spans="1:24" ht="12.75" hidden="1">
      <c r="A72" s="26" t="s">
        <v>65</v>
      </c>
      <c r="B72" s="26"/>
      <c r="C72" s="19">
        <v>0</v>
      </c>
      <c r="D72" s="19"/>
      <c r="E72" s="19">
        <v>0</v>
      </c>
      <c r="F72" s="19"/>
      <c r="G72" s="19">
        <v>0</v>
      </c>
      <c r="H72" s="19"/>
      <c r="I72" s="19">
        <v>0</v>
      </c>
      <c r="J72" s="19"/>
      <c r="K72" s="19">
        <v>0</v>
      </c>
      <c r="L72" s="19">
        <v>0</v>
      </c>
      <c r="M72" s="19"/>
      <c r="N72" s="19">
        <v>0</v>
      </c>
      <c r="O72" s="19"/>
      <c r="P72" s="19">
        <v>0</v>
      </c>
      <c r="Q72" s="19"/>
      <c r="R72" s="19">
        <v>0</v>
      </c>
      <c r="S72" s="19"/>
      <c r="T72" s="19">
        <v>0</v>
      </c>
      <c r="U72" s="19"/>
      <c r="V72" s="19">
        <f t="shared" si="0"/>
        <v>0</v>
      </c>
      <c r="W72" s="19"/>
      <c r="X72" s="19">
        <f t="shared" si="1"/>
        <v>0</v>
      </c>
    </row>
    <row r="73" spans="1:24" ht="12.75">
      <c r="A73" s="26" t="s">
        <v>66</v>
      </c>
      <c r="B73" s="26"/>
      <c r="C73" s="19">
        <v>3091891</v>
      </c>
      <c r="D73" s="19"/>
      <c r="E73" s="19">
        <v>10462480</v>
      </c>
      <c r="F73" s="19"/>
      <c r="G73" s="19">
        <v>1575936</v>
      </c>
      <c r="H73" s="19"/>
      <c r="I73" s="19">
        <f>2690723+2346590</f>
        <v>5037313</v>
      </c>
      <c r="J73" s="19"/>
      <c r="K73" s="19">
        <f>5114304+284901</f>
        <v>5399205</v>
      </c>
      <c r="L73" s="19">
        <v>0</v>
      </c>
      <c r="M73" s="19"/>
      <c r="N73" s="19">
        <v>1386007</v>
      </c>
      <c r="O73" s="19"/>
      <c r="P73" s="19">
        <v>350076</v>
      </c>
      <c r="Q73" s="19"/>
      <c r="R73" s="19">
        <v>1583203</v>
      </c>
      <c r="S73" s="19"/>
      <c r="T73" s="19">
        <v>0</v>
      </c>
      <c r="U73" s="19"/>
      <c r="V73" s="19">
        <f t="shared" si="0"/>
        <v>13755804</v>
      </c>
      <c r="W73" s="19"/>
      <c r="X73" s="19">
        <f t="shared" si="1"/>
        <v>28886111</v>
      </c>
    </row>
    <row r="74" spans="1:24" ht="12.75">
      <c r="A74" s="26" t="s">
        <v>67</v>
      </c>
      <c r="B74" s="26"/>
      <c r="C74" s="19">
        <v>1789193</v>
      </c>
      <c r="D74" s="19"/>
      <c r="E74" s="19">
        <v>9489184</v>
      </c>
      <c r="F74" s="19"/>
      <c r="G74" s="19">
        <v>2670233</v>
      </c>
      <c r="H74" s="19"/>
      <c r="I74" s="19">
        <v>2994328</v>
      </c>
      <c r="J74" s="19"/>
      <c r="K74" s="19">
        <v>1756436</v>
      </c>
      <c r="L74" s="19">
        <v>0</v>
      </c>
      <c r="M74" s="19"/>
      <c r="N74" s="19">
        <v>378274</v>
      </c>
      <c r="O74" s="19"/>
      <c r="P74" s="19">
        <v>72070</v>
      </c>
      <c r="Q74" s="19"/>
      <c r="R74" s="19">
        <f>2587255+4142+89451</f>
        <v>2680848</v>
      </c>
      <c r="S74" s="19"/>
      <c r="T74" s="19">
        <v>-21772</v>
      </c>
      <c r="U74" s="19"/>
      <c r="V74" s="19">
        <f t="shared" si="0"/>
        <v>7860184</v>
      </c>
      <c r="W74" s="19"/>
      <c r="X74" s="19">
        <f t="shared" si="1"/>
        <v>21808794</v>
      </c>
    </row>
    <row r="75" spans="1:24" ht="12.75">
      <c r="A75" s="26" t="s">
        <v>68</v>
      </c>
      <c r="B75" s="26"/>
      <c r="C75" s="19">
        <v>14432465</v>
      </c>
      <c r="D75" s="19"/>
      <c r="E75" s="19">
        <v>39001211</v>
      </c>
      <c r="F75" s="19"/>
      <c r="G75" s="19">
        <v>1079038</v>
      </c>
      <c r="H75" s="19"/>
      <c r="I75" s="19">
        <f>5462076+2256801+10998419+2432578+1370836</f>
        <v>22520710</v>
      </c>
      <c r="J75" s="19"/>
      <c r="K75" s="19">
        <f>13178507+9135</f>
        <v>13187642</v>
      </c>
      <c r="L75" s="19">
        <v>0</v>
      </c>
      <c r="M75" s="19"/>
      <c r="N75" s="19">
        <v>2393322</v>
      </c>
      <c r="O75" s="19"/>
      <c r="P75" s="19">
        <v>1828958</v>
      </c>
      <c r="Q75" s="19"/>
      <c r="R75" s="19">
        <f>91980+528224</f>
        <v>620204</v>
      </c>
      <c r="S75" s="19"/>
      <c r="T75" s="19">
        <v>23164</v>
      </c>
      <c r="U75" s="19"/>
      <c r="V75" s="19">
        <f t="shared" si="0"/>
        <v>40574000</v>
      </c>
      <c r="W75" s="19"/>
      <c r="X75" s="19">
        <f t="shared" si="1"/>
        <v>95086714</v>
      </c>
    </row>
    <row r="76" spans="1:24" ht="12.75">
      <c r="A76" s="26" t="s">
        <v>69</v>
      </c>
      <c r="B76" s="26"/>
      <c r="C76" s="19">
        <v>4386447</v>
      </c>
      <c r="D76" s="19"/>
      <c r="E76" s="19">
        <v>11503363</v>
      </c>
      <c r="F76" s="19"/>
      <c r="G76" s="19">
        <v>613166</v>
      </c>
      <c r="H76" s="19"/>
      <c r="I76" s="19">
        <f>1615805+254982+350646+1019001+217879</f>
        <v>3458313</v>
      </c>
      <c r="J76" s="19"/>
      <c r="K76" s="19">
        <v>4002410</v>
      </c>
      <c r="L76" s="19">
        <v>0</v>
      </c>
      <c r="M76" s="19"/>
      <c r="N76" s="19">
        <v>1292547</v>
      </c>
      <c r="O76" s="19"/>
      <c r="P76" s="19">
        <v>160541</v>
      </c>
      <c r="Q76" s="19"/>
      <c r="R76" s="19">
        <v>93878</v>
      </c>
      <c r="S76" s="19"/>
      <c r="T76" s="19">
        <v>0</v>
      </c>
      <c r="U76" s="19"/>
      <c r="V76" s="19">
        <f aca="true" t="shared" si="2" ref="V76:V96">SUM(I76:T76)</f>
        <v>9007689</v>
      </c>
      <c r="W76" s="19"/>
      <c r="X76" s="19">
        <f aca="true" t="shared" si="3" ref="X76:X96">SUM(B76:U76)</f>
        <v>25510665</v>
      </c>
    </row>
    <row r="77" spans="1:24" ht="12.75" hidden="1">
      <c r="A77" s="26" t="s">
        <v>185</v>
      </c>
      <c r="B77" s="26"/>
      <c r="C77" s="19">
        <v>0</v>
      </c>
      <c r="D77" s="19"/>
      <c r="E77" s="19">
        <v>0</v>
      </c>
      <c r="F77" s="19"/>
      <c r="G77" s="19">
        <v>0</v>
      </c>
      <c r="H77" s="19"/>
      <c r="I77" s="19">
        <v>0</v>
      </c>
      <c r="J77" s="19"/>
      <c r="K77" s="19">
        <v>0</v>
      </c>
      <c r="L77" s="19">
        <v>0</v>
      </c>
      <c r="M77" s="19"/>
      <c r="N77" s="19">
        <v>0</v>
      </c>
      <c r="O77" s="19"/>
      <c r="P77" s="19">
        <v>0</v>
      </c>
      <c r="Q77" s="19"/>
      <c r="R77" s="19">
        <v>0</v>
      </c>
      <c r="S77" s="19"/>
      <c r="T77" s="19">
        <v>0</v>
      </c>
      <c r="U77" s="19"/>
      <c r="V77" s="19">
        <f t="shared" si="2"/>
        <v>0</v>
      </c>
      <c r="W77" s="19"/>
      <c r="X77" s="19">
        <f t="shared" si="3"/>
        <v>0</v>
      </c>
    </row>
    <row r="78" spans="1:24" ht="12.75">
      <c r="A78" s="26" t="s">
        <v>190</v>
      </c>
      <c r="B78" s="26"/>
      <c r="C78" s="19">
        <v>10852362</v>
      </c>
      <c r="D78" s="19"/>
      <c r="E78" s="19">
        <v>48529257</v>
      </c>
      <c r="F78" s="19"/>
      <c r="G78" s="19">
        <v>3115038</v>
      </c>
      <c r="H78" s="19"/>
      <c r="I78" s="19">
        <f>1404904+8105123+2806618+459727</f>
        <v>12776372</v>
      </c>
      <c r="J78" s="19"/>
      <c r="K78" s="19">
        <v>17844725</v>
      </c>
      <c r="L78" s="19">
        <v>0</v>
      </c>
      <c r="M78" s="19"/>
      <c r="N78" s="19">
        <v>4345584</v>
      </c>
      <c r="O78" s="19"/>
      <c r="P78" s="19">
        <v>857238</v>
      </c>
      <c r="Q78" s="19"/>
      <c r="R78" s="19">
        <v>2412341</v>
      </c>
      <c r="S78" s="19"/>
      <c r="T78" s="19">
        <v>293259</v>
      </c>
      <c r="U78" s="19"/>
      <c r="V78" s="19">
        <f t="shared" si="2"/>
        <v>38529519</v>
      </c>
      <c r="W78" s="19"/>
      <c r="X78" s="19">
        <f t="shared" si="3"/>
        <v>101026176</v>
      </c>
    </row>
    <row r="79" spans="1:24" ht="12.75">
      <c r="A79" s="26" t="s">
        <v>70</v>
      </c>
      <c r="B79" s="26"/>
      <c r="C79" s="19">
        <v>4673173</v>
      </c>
      <c r="D79" s="19"/>
      <c r="E79" s="19">
        <v>18220582</v>
      </c>
      <c r="F79" s="19"/>
      <c r="G79" s="19">
        <v>868549</v>
      </c>
      <c r="H79" s="19"/>
      <c r="I79" s="19">
        <f>750569+4027830+224964+1578705</f>
        <v>6582068</v>
      </c>
      <c r="J79" s="19"/>
      <c r="K79" s="19">
        <v>10235263</v>
      </c>
      <c r="L79" s="19">
        <v>0</v>
      </c>
      <c r="M79" s="19"/>
      <c r="N79" s="19">
        <v>2489333</v>
      </c>
      <c r="O79" s="19"/>
      <c r="P79" s="19">
        <v>212671</v>
      </c>
      <c r="Q79" s="19"/>
      <c r="R79" s="19">
        <f>92027+2699352</f>
        <v>2791379</v>
      </c>
      <c r="S79" s="19"/>
      <c r="T79" s="19">
        <v>354</v>
      </c>
      <c r="U79" s="19"/>
      <c r="V79" s="19">
        <f t="shared" si="2"/>
        <v>22311068</v>
      </c>
      <c r="W79" s="19"/>
      <c r="X79" s="19">
        <f t="shared" si="3"/>
        <v>46073372</v>
      </c>
    </row>
    <row r="80" spans="1:24" ht="12.75">
      <c r="A80" s="26" t="s">
        <v>99</v>
      </c>
      <c r="B80" s="26"/>
      <c r="C80" s="19">
        <v>6099299</v>
      </c>
      <c r="D80" s="19"/>
      <c r="E80" s="19">
        <v>20979338</v>
      </c>
      <c r="F80" s="19"/>
      <c r="G80" s="19">
        <v>3069096</v>
      </c>
      <c r="H80" s="19"/>
      <c r="I80" s="19">
        <f>2478986+4185990+159522+258382</f>
        <v>7082880</v>
      </c>
      <c r="J80" s="19"/>
      <c r="K80" s="19">
        <v>6065965</v>
      </c>
      <c r="L80" s="19">
        <v>0</v>
      </c>
      <c r="M80" s="19"/>
      <c r="N80" s="19">
        <v>2049956</v>
      </c>
      <c r="O80" s="19"/>
      <c r="P80" s="19">
        <v>415338</v>
      </c>
      <c r="Q80" s="19"/>
      <c r="R80" s="19">
        <v>1320687</v>
      </c>
      <c r="S80" s="19"/>
      <c r="T80" s="19">
        <v>131365</v>
      </c>
      <c r="U80" s="19"/>
      <c r="V80" s="19">
        <f t="shared" si="2"/>
        <v>17066191</v>
      </c>
      <c r="W80" s="19"/>
      <c r="X80" s="19">
        <f t="shared" si="3"/>
        <v>47213924</v>
      </c>
    </row>
    <row r="81" spans="1:24" ht="12.75">
      <c r="A81" s="26" t="s">
        <v>71</v>
      </c>
      <c r="B81" s="26"/>
      <c r="C81" s="19">
        <v>5978286</v>
      </c>
      <c r="D81" s="19"/>
      <c r="E81" s="19">
        <v>26298877</v>
      </c>
      <c r="F81" s="19"/>
      <c r="G81" s="19">
        <v>929362</v>
      </c>
      <c r="H81" s="19"/>
      <c r="I81" s="19">
        <f>1448056+2748264</f>
        <v>4196320</v>
      </c>
      <c r="J81" s="19"/>
      <c r="K81" s="19">
        <v>8250582</v>
      </c>
      <c r="L81" s="19">
        <v>0</v>
      </c>
      <c r="M81" s="19"/>
      <c r="N81" s="19">
        <v>1372006</v>
      </c>
      <c r="O81" s="19"/>
      <c r="P81" s="19">
        <v>165624</v>
      </c>
      <c r="Q81" s="19"/>
      <c r="R81" s="19">
        <f>935347+323921</f>
        <v>1259268</v>
      </c>
      <c r="S81" s="19"/>
      <c r="T81" s="19">
        <v>0</v>
      </c>
      <c r="U81" s="19"/>
      <c r="V81" s="19">
        <f t="shared" si="2"/>
        <v>15243800</v>
      </c>
      <c r="W81" s="19"/>
      <c r="X81" s="19">
        <f t="shared" si="3"/>
        <v>48450325</v>
      </c>
    </row>
    <row r="82" spans="1:24" ht="12.75">
      <c r="A82" s="26" t="s">
        <v>72</v>
      </c>
      <c r="B82" s="26"/>
      <c r="C82" s="19">
        <v>4329245</v>
      </c>
      <c r="D82" s="19"/>
      <c r="E82" s="19">
        <v>17517667</v>
      </c>
      <c r="F82" s="19"/>
      <c r="G82" s="19">
        <v>3035436</v>
      </c>
      <c r="H82" s="19"/>
      <c r="I82" s="19">
        <v>6027354</v>
      </c>
      <c r="J82" s="19"/>
      <c r="K82" s="19">
        <v>5249131</v>
      </c>
      <c r="L82" s="19">
        <v>0</v>
      </c>
      <c r="M82" s="19"/>
      <c r="N82" s="19">
        <v>1539153</v>
      </c>
      <c r="O82" s="19"/>
      <c r="P82" s="19">
        <v>313666</v>
      </c>
      <c r="Q82" s="19"/>
      <c r="R82" s="19">
        <f>786793+28825+2451996</f>
        <v>3267614</v>
      </c>
      <c r="S82" s="19"/>
      <c r="T82" s="19">
        <v>-152353</v>
      </c>
      <c r="U82" s="19"/>
      <c r="V82" s="19">
        <f t="shared" si="2"/>
        <v>16244565</v>
      </c>
      <c r="W82" s="19"/>
      <c r="X82" s="19">
        <f t="shared" si="3"/>
        <v>41126913</v>
      </c>
    </row>
    <row r="83" spans="1:24" ht="12.75">
      <c r="A83" s="26" t="s">
        <v>73</v>
      </c>
      <c r="B83" s="26"/>
      <c r="C83" s="19">
        <v>4884305</v>
      </c>
      <c r="D83" s="19"/>
      <c r="E83" s="19">
        <v>12925851</v>
      </c>
      <c r="F83" s="19"/>
      <c r="G83" s="19">
        <v>201</v>
      </c>
      <c r="H83" s="19"/>
      <c r="I83" s="19">
        <f>2162492+4749546+699478</f>
        <v>7611516</v>
      </c>
      <c r="J83" s="19"/>
      <c r="K83" s="19">
        <f>3752744+20428+2499471+1230488</f>
        <v>7503131</v>
      </c>
      <c r="L83" s="19">
        <v>129775</v>
      </c>
      <c r="M83" s="19"/>
      <c r="N83" s="19">
        <v>1810102</v>
      </c>
      <c r="O83" s="19"/>
      <c r="P83" s="19">
        <v>294088</v>
      </c>
      <c r="Q83" s="19"/>
      <c r="R83" s="19">
        <f>59705</f>
        <v>59705</v>
      </c>
      <c r="S83" s="19"/>
      <c r="T83" s="19">
        <v>-564783</v>
      </c>
      <c r="U83" s="19"/>
      <c r="V83" s="19">
        <f t="shared" si="2"/>
        <v>16843534</v>
      </c>
      <c r="W83" s="19"/>
      <c r="X83" s="19">
        <f t="shared" si="3"/>
        <v>34653891</v>
      </c>
    </row>
    <row r="84" spans="1:24" ht="12.75">
      <c r="A84" s="26" t="s">
        <v>74</v>
      </c>
      <c r="B84" s="26"/>
      <c r="C84" s="19">
        <v>26261806</v>
      </c>
      <c r="D84" s="19"/>
      <c r="E84" s="19">
        <v>104033353</v>
      </c>
      <c r="F84" s="19"/>
      <c r="G84" s="19">
        <v>5849264</v>
      </c>
      <c r="H84" s="19"/>
      <c r="I84" s="19">
        <f>12603356+18218265+502487+5101318+5315963</f>
        <v>41741389</v>
      </c>
      <c r="J84" s="19"/>
      <c r="K84" s="19">
        <v>5459627</v>
      </c>
      <c r="L84" s="19">
        <v>0</v>
      </c>
      <c r="M84" s="19"/>
      <c r="N84" s="19">
        <v>11864912</v>
      </c>
      <c r="O84" s="19"/>
      <c r="P84" s="19">
        <v>1978888</v>
      </c>
      <c r="Q84" s="19"/>
      <c r="R84" s="19">
        <f>3564674+8254</f>
        <v>3572928</v>
      </c>
      <c r="S84" s="19"/>
      <c r="T84" s="19">
        <v>0</v>
      </c>
      <c r="U84" s="19"/>
      <c r="V84" s="19">
        <f t="shared" si="2"/>
        <v>64617744</v>
      </c>
      <c r="W84" s="19"/>
      <c r="X84" s="19">
        <f t="shared" si="3"/>
        <v>200762167</v>
      </c>
    </row>
    <row r="85" spans="1:24" ht="12.75">
      <c r="A85" s="26" t="s">
        <v>75</v>
      </c>
      <c r="B85" s="26"/>
      <c r="C85" s="19">
        <v>42497142</v>
      </c>
      <c r="D85" s="19"/>
      <c r="E85" s="19">
        <v>142733812</v>
      </c>
      <c r="F85" s="19"/>
      <c r="G85" s="19">
        <v>1746004</v>
      </c>
      <c r="H85" s="19"/>
      <c r="I85" s="19">
        <f>119612761+7769251</f>
        <v>127382012</v>
      </c>
      <c r="J85" s="19"/>
      <c r="K85" s="19">
        <v>34128696</v>
      </c>
      <c r="L85" s="19">
        <v>12570880</v>
      </c>
      <c r="M85" s="19"/>
      <c r="N85" s="19">
        <v>11012971</v>
      </c>
      <c r="O85" s="19"/>
      <c r="P85" s="19">
        <v>4039858</v>
      </c>
      <c r="Q85" s="19"/>
      <c r="R85" s="19">
        <f>2525832+9167</f>
        <v>2534999</v>
      </c>
      <c r="S85" s="19"/>
      <c r="T85" s="19">
        <v>91051</v>
      </c>
      <c r="U85" s="19"/>
      <c r="V85" s="19">
        <f t="shared" si="2"/>
        <v>191760467</v>
      </c>
      <c r="W85" s="19"/>
      <c r="X85" s="19">
        <f t="shared" si="3"/>
        <v>378737425</v>
      </c>
    </row>
    <row r="86" spans="1:24" ht="12.75">
      <c r="A86" s="26" t="s">
        <v>76</v>
      </c>
      <c r="B86" s="26"/>
      <c r="C86" s="19">
        <v>15053430</v>
      </c>
      <c r="D86" s="19"/>
      <c r="E86" s="19">
        <v>70796292</v>
      </c>
      <c r="F86" s="19"/>
      <c r="G86" s="19">
        <v>1738466</v>
      </c>
      <c r="H86" s="19"/>
      <c r="I86" s="19">
        <f>6953699+10289550+2081661+5377394+388881</f>
        <v>25091185</v>
      </c>
      <c r="J86" s="19"/>
      <c r="K86" s="19">
        <f>12589055+3618119+350000</f>
        <v>16557174</v>
      </c>
      <c r="L86" s="19">
        <v>0</v>
      </c>
      <c r="M86" s="19"/>
      <c r="N86" s="19">
        <v>8599257</v>
      </c>
      <c r="O86" s="19"/>
      <c r="P86" s="19">
        <v>0</v>
      </c>
      <c r="Q86" s="19"/>
      <c r="R86" s="19">
        <f>1696390+187787</f>
        <v>1884177</v>
      </c>
      <c r="S86" s="19"/>
      <c r="T86" s="19">
        <v>518716</v>
      </c>
      <c r="U86" s="19"/>
      <c r="V86" s="19">
        <f t="shared" si="2"/>
        <v>52650509</v>
      </c>
      <c r="W86" s="19"/>
      <c r="X86" s="19">
        <f t="shared" si="3"/>
        <v>140238697</v>
      </c>
    </row>
    <row r="87" spans="1:24" ht="12.75">
      <c r="A87" s="26" t="s">
        <v>77</v>
      </c>
      <c r="B87" s="26"/>
      <c r="C87" s="19">
        <v>6648334</v>
      </c>
      <c r="D87" s="19"/>
      <c r="E87" s="19">
        <v>19251122</v>
      </c>
      <c r="F87" s="19"/>
      <c r="G87" s="19">
        <v>871590</v>
      </c>
      <c r="H87" s="19"/>
      <c r="I87" s="19">
        <f>3251188+4909407+769199+421831</f>
        <v>9351625</v>
      </c>
      <c r="J87" s="19"/>
      <c r="K87" s="19">
        <v>8692705</v>
      </c>
      <c r="L87" s="19">
        <v>0</v>
      </c>
      <c r="M87" s="19"/>
      <c r="N87" s="19">
        <v>2864539</v>
      </c>
      <c r="O87" s="19"/>
      <c r="P87" s="19">
        <v>917004</v>
      </c>
      <c r="Q87" s="19"/>
      <c r="R87" s="19">
        <v>656889</v>
      </c>
      <c r="S87" s="19"/>
      <c r="T87" s="19">
        <v>0</v>
      </c>
      <c r="U87" s="19"/>
      <c r="V87" s="19">
        <f t="shared" si="2"/>
        <v>22482762</v>
      </c>
      <c r="W87" s="19"/>
      <c r="X87" s="19">
        <f t="shared" si="3"/>
        <v>49253808</v>
      </c>
    </row>
    <row r="88" spans="1:24" ht="12.75">
      <c r="A88" s="26" t="s">
        <v>78</v>
      </c>
      <c r="B88" s="26"/>
      <c r="C88" s="19">
        <v>5796891</v>
      </c>
      <c r="D88" s="19"/>
      <c r="E88" s="19">
        <v>7869472</v>
      </c>
      <c r="F88" s="19"/>
      <c r="G88" s="19">
        <v>2059035</v>
      </c>
      <c r="H88" s="19"/>
      <c r="I88" s="19">
        <f>3106124+6085356+238223</f>
        <v>9429703</v>
      </c>
      <c r="J88" s="19"/>
      <c r="K88" s="19">
        <v>8388571</v>
      </c>
      <c r="L88" s="19">
        <v>0</v>
      </c>
      <c r="M88" s="19"/>
      <c r="N88" s="19">
        <v>7232467</v>
      </c>
      <c r="O88" s="19"/>
      <c r="P88" s="19">
        <v>0</v>
      </c>
      <c r="Q88" s="19"/>
      <c r="R88" s="19">
        <f>542185+244571+1261106</f>
        <v>2047862</v>
      </c>
      <c r="S88" s="19"/>
      <c r="T88" s="19">
        <v>4879</v>
      </c>
      <c r="U88" s="19"/>
      <c r="V88" s="19">
        <f t="shared" si="2"/>
        <v>27103482</v>
      </c>
      <c r="W88" s="19"/>
      <c r="X88" s="19">
        <f t="shared" si="3"/>
        <v>42828880</v>
      </c>
    </row>
    <row r="89" spans="1:24" ht="12.75">
      <c r="A89" s="26" t="s">
        <v>79</v>
      </c>
      <c r="B89" s="26"/>
      <c r="C89" s="19">
        <v>3507946</v>
      </c>
      <c r="D89" s="19"/>
      <c r="E89" s="19">
        <v>9521227</v>
      </c>
      <c r="F89" s="19"/>
      <c r="G89" s="19">
        <v>82884</v>
      </c>
      <c r="H89" s="19"/>
      <c r="I89" s="19">
        <f>916146+1206049+669700</f>
        <v>2791895</v>
      </c>
      <c r="J89" s="19"/>
      <c r="K89" s="19">
        <v>3490105</v>
      </c>
      <c r="L89" s="19">
        <v>101684</v>
      </c>
      <c r="M89" s="19"/>
      <c r="N89" s="19">
        <v>1154734</v>
      </c>
      <c r="O89" s="19"/>
      <c r="P89" s="19">
        <v>470091</v>
      </c>
      <c r="Q89" s="19"/>
      <c r="R89" s="19">
        <f>28989+24520+187153</f>
        <v>240662</v>
      </c>
      <c r="S89" s="19"/>
      <c r="T89" s="19">
        <v>-45000</v>
      </c>
      <c r="U89" s="19"/>
      <c r="V89" s="19">
        <f t="shared" si="2"/>
        <v>8204171</v>
      </c>
      <c r="W89" s="19"/>
      <c r="X89" s="19">
        <f t="shared" si="3"/>
        <v>21316228</v>
      </c>
    </row>
    <row r="90" spans="1:24" ht="12.75">
      <c r="A90" s="26" t="s">
        <v>80</v>
      </c>
      <c r="B90" s="26"/>
      <c r="C90" s="19">
        <v>955794</v>
      </c>
      <c r="D90" s="19"/>
      <c r="E90" s="19">
        <v>10249174</v>
      </c>
      <c r="F90" s="19"/>
      <c r="G90" s="19">
        <v>432641</v>
      </c>
      <c r="H90" s="19"/>
      <c r="I90" s="19">
        <v>1738837</v>
      </c>
      <c r="J90" s="19"/>
      <c r="K90" s="19">
        <v>726460</v>
      </c>
      <c r="L90" s="19">
        <v>0</v>
      </c>
      <c r="M90" s="19"/>
      <c r="N90" s="19">
        <v>514209</v>
      </c>
      <c r="O90" s="19"/>
      <c r="P90" s="19">
        <v>178278</v>
      </c>
      <c r="Q90" s="19"/>
      <c r="R90" s="19">
        <f>9299+1015302</f>
        <v>1024601</v>
      </c>
      <c r="S90" s="19"/>
      <c r="T90" s="19">
        <v>0</v>
      </c>
      <c r="U90" s="19"/>
      <c r="V90" s="19">
        <f t="shared" si="2"/>
        <v>4182385</v>
      </c>
      <c r="W90" s="19"/>
      <c r="X90" s="19">
        <f t="shared" si="3"/>
        <v>15819994</v>
      </c>
    </row>
    <row r="91" spans="1:24" ht="12.75">
      <c r="A91" s="26" t="s">
        <v>81</v>
      </c>
      <c r="B91" s="26"/>
      <c r="C91" s="19">
        <v>15708084</v>
      </c>
      <c r="D91" s="19"/>
      <c r="E91" s="19">
        <v>15848191</v>
      </c>
      <c r="F91" s="19"/>
      <c r="G91" s="19">
        <v>5471404</v>
      </c>
      <c r="H91" s="19"/>
      <c r="I91" s="19">
        <v>24144523</v>
      </c>
      <c r="J91" s="19"/>
      <c r="K91" s="19">
        <v>21559525</v>
      </c>
      <c r="L91" s="19">
        <f>223732+6547876+5826401</f>
        <v>12598009</v>
      </c>
      <c r="M91" s="19"/>
      <c r="N91" s="19">
        <v>0</v>
      </c>
      <c r="O91" s="19"/>
      <c r="P91" s="19">
        <v>1816825</v>
      </c>
      <c r="Q91" s="19"/>
      <c r="R91" s="19">
        <v>3251</v>
      </c>
      <c r="S91" s="19"/>
      <c r="T91" s="19">
        <v>0</v>
      </c>
      <c r="U91" s="19"/>
      <c r="V91" s="19">
        <f t="shared" si="2"/>
        <v>60122133</v>
      </c>
      <c r="W91" s="19"/>
      <c r="X91" s="19">
        <f t="shared" si="3"/>
        <v>97149812</v>
      </c>
    </row>
    <row r="92" spans="1:24" ht="12.75">
      <c r="A92" s="26" t="s">
        <v>82</v>
      </c>
      <c r="B92" s="26"/>
      <c r="C92" s="19">
        <v>4350867</v>
      </c>
      <c r="D92" s="19"/>
      <c r="E92" s="19">
        <v>21476511</v>
      </c>
      <c r="F92" s="19"/>
      <c r="G92" s="19">
        <v>5481992</v>
      </c>
      <c r="H92" s="19"/>
      <c r="I92" s="19">
        <f>2285466+1787870+2635667+760181+190415</f>
        <v>7659599</v>
      </c>
      <c r="J92" s="19"/>
      <c r="K92" s="19">
        <v>5890286</v>
      </c>
      <c r="L92" s="19">
        <v>2867016</v>
      </c>
      <c r="M92" s="19"/>
      <c r="N92" s="19">
        <v>2225035</v>
      </c>
      <c r="O92" s="19"/>
      <c r="P92" s="19">
        <v>0</v>
      </c>
      <c r="Q92" s="19"/>
      <c r="R92" s="19">
        <f>794190+12618+900+517004</f>
        <v>1324712</v>
      </c>
      <c r="S92" s="19"/>
      <c r="T92" s="19">
        <v>0</v>
      </c>
      <c r="U92" s="19"/>
      <c r="V92" s="19">
        <f t="shared" si="2"/>
        <v>19966648</v>
      </c>
      <c r="W92" s="19"/>
      <c r="X92" s="19">
        <f t="shared" si="3"/>
        <v>51276018</v>
      </c>
    </row>
    <row r="93" spans="1:24" ht="12.75">
      <c r="A93" s="26" t="s">
        <v>83</v>
      </c>
      <c r="B93" s="26"/>
      <c r="C93" s="19">
        <v>9553876</v>
      </c>
      <c r="D93" s="19"/>
      <c r="E93" s="19">
        <v>23689588</v>
      </c>
      <c r="F93" s="19"/>
      <c r="G93" s="19">
        <v>1275079</v>
      </c>
      <c r="H93" s="19"/>
      <c r="I93" s="19">
        <f>3506201+6505586+1234983+1044506</f>
        <v>12291276</v>
      </c>
      <c r="J93" s="19"/>
      <c r="K93" s="19">
        <v>8990237</v>
      </c>
      <c r="L93" s="19">
        <v>0</v>
      </c>
      <c r="M93" s="19"/>
      <c r="N93" s="19">
        <v>4698400</v>
      </c>
      <c r="O93" s="19"/>
      <c r="P93" s="19">
        <v>864271</v>
      </c>
      <c r="Q93" s="19"/>
      <c r="R93" s="19">
        <v>2115648</v>
      </c>
      <c r="S93" s="19"/>
      <c r="T93" s="19">
        <v>-1410162</v>
      </c>
      <c r="U93" s="19"/>
      <c r="V93" s="19">
        <f t="shared" si="2"/>
        <v>27549670</v>
      </c>
      <c r="W93" s="19"/>
      <c r="X93" s="19">
        <f t="shared" si="3"/>
        <v>62068213</v>
      </c>
    </row>
    <row r="94" spans="1:24" ht="12.75" hidden="1">
      <c r="A94" s="26" t="s">
        <v>183</v>
      </c>
      <c r="B94" s="26"/>
      <c r="C94" s="19">
        <v>0</v>
      </c>
      <c r="D94" s="19"/>
      <c r="E94" s="19">
        <v>0</v>
      </c>
      <c r="F94" s="19"/>
      <c r="G94" s="19">
        <v>0</v>
      </c>
      <c r="H94" s="19"/>
      <c r="I94" s="19">
        <v>0</v>
      </c>
      <c r="J94" s="19"/>
      <c r="K94" s="19">
        <v>0</v>
      </c>
      <c r="L94" s="19">
        <v>0</v>
      </c>
      <c r="M94" s="19"/>
      <c r="N94" s="19">
        <v>0</v>
      </c>
      <c r="O94" s="19"/>
      <c r="P94" s="19">
        <v>0</v>
      </c>
      <c r="Q94" s="19"/>
      <c r="R94" s="19">
        <v>0</v>
      </c>
      <c r="S94" s="19"/>
      <c r="T94" s="19">
        <v>0</v>
      </c>
      <c r="U94" s="19"/>
      <c r="V94" s="19">
        <f t="shared" si="2"/>
        <v>0</v>
      </c>
      <c r="W94" s="19"/>
      <c r="X94" s="19">
        <f t="shared" si="3"/>
        <v>0</v>
      </c>
    </row>
    <row r="95" spans="1:24" ht="12.75">
      <c r="A95" s="26" t="s">
        <v>84</v>
      </c>
      <c r="B95" s="26"/>
      <c r="C95" s="19">
        <v>18615309</v>
      </c>
      <c r="D95" s="19"/>
      <c r="E95" s="19">
        <v>30256632</v>
      </c>
      <c r="F95" s="19"/>
      <c r="G95" s="19">
        <v>606263</v>
      </c>
      <c r="H95" s="19"/>
      <c r="I95" s="19">
        <f>5252747+3641047+2312532+10768986+1513464+111850</f>
        <v>23600626</v>
      </c>
      <c r="J95" s="19"/>
      <c r="K95" s="19">
        <v>13635950</v>
      </c>
      <c r="L95" s="19">
        <v>178233</v>
      </c>
      <c r="M95" s="19"/>
      <c r="N95" s="19">
        <v>4700440</v>
      </c>
      <c r="O95" s="19"/>
      <c r="P95" s="19">
        <v>0</v>
      </c>
      <c r="Q95" s="19"/>
      <c r="R95" s="19">
        <f>1714107+783632</f>
        <v>2497739</v>
      </c>
      <c r="S95" s="19"/>
      <c r="T95" s="19">
        <v>-271895</v>
      </c>
      <c r="U95" s="19"/>
      <c r="V95" s="19">
        <f t="shared" si="2"/>
        <v>44341093</v>
      </c>
      <c r="W95" s="19"/>
      <c r="X95" s="19">
        <f t="shared" si="3"/>
        <v>93819297</v>
      </c>
    </row>
    <row r="96" spans="1:24" ht="12.75" hidden="1">
      <c r="A96" s="26" t="s">
        <v>184</v>
      </c>
      <c r="B96" s="26"/>
      <c r="C96" s="19">
        <v>0</v>
      </c>
      <c r="D96" s="19"/>
      <c r="E96" s="19">
        <v>0</v>
      </c>
      <c r="F96" s="19"/>
      <c r="G96" s="19">
        <v>0</v>
      </c>
      <c r="H96" s="19"/>
      <c r="I96" s="19">
        <v>0</v>
      </c>
      <c r="J96" s="19"/>
      <c r="K96" s="19">
        <v>0</v>
      </c>
      <c r="L96" s="19">
        <v>0</v>
      </c>
      <c r="M96" s="19"/>
      <c r="N96" s="19">
        <v>0</v>
      </c>
      <c r="O96" s="19"/>
      <c r="P96" s="19">
        <v>0</v>
      </c>
      <c r="Q96" s="19"/>
      <c r="R96" s="19">
        <v>0</v>
      </c>
      <c r="S96" s="19"/>
      <c r="T96" s="19">
        <v>0</v>
      </c>
      <c r="U96" s="19"/>
      <c r="V96" s="19">
        <f t="shared" si="2"/>
        <v>0</v>
      </c>
      <c r="W96" s="19"/>
      <c r="X96" s="19">
        <f t="shared" si="3"/>
        <v>0</v>
      </c>
    </row>
    <row r="97" spans="1:24" ht="12.75">
      <c r="A97" s="26"/>
      <c r="B97" s="26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2.75">
      <c r="A98" s="26"/>
      <c r="B98" s="26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2.75">
      <c r="A99" s="16"/>
      <c r="B99" s="16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2.75">
      <c r="A100" s="16"/>
      <c r="B100" s="16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</sheetData>
  <printOptions horizontalCentered="1"/>
  <pageMargins left="1" right="1" top="0.5" bottom="0.5" header="0" footer="0.25"/>
  <pageSetup firstPageNumber="4" useFirstPageNumber="1" horizontalDpi="600" verticalDpi="600" orientation="portrait" pageOrder="overThenDown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H107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" sqref="A5"/>
    </sheetView>
  </sheetViews>
  <sheetFormatPr defaultColWidth="9.140625" defaultRowHeight="12.75"/>
  <cols>
    <col min="1" max="1" width="15.7109375" style="66" customWidth="1"/>
    <col min="2" max="2" width="1.7109375" style="66" customWidth="1"/>
    <col min="3" max="3" width="11.7109375" style="66" customWidth="1"/>
    <col min="4" max="4" width="1.7109375" style="66" customWidth="1"/>
    <col min="5" max="5" width="11.7109375" style="66" customWidth="1"/>
    <col min="6" max="6" width="1.7109375" style="66" customWidth="1"/>
    <col min="7" max="7" width="11.7109375" style="66" customWidth="1"/>
    <col min="8" max="8" width="1.7109375" style="66" customWidth="1"/>
    <col min="9" max="9" width="11.7109375" style="66" customWidth="1"/>
    <col min="10" max="10" width="1.7109375" style="66" customWidth="1"/>
    <col min="11" max="11" width="11.7109375" style="66" customWidth="1"/>
    <col min="12" max="12" width="1.7109375" style="66" customWidth="1"/>
    <col min="13" max="13" width="11.7109375" style="66" customWidth="1"/>
    <col min="14" max="14" width="1.7109375" style="66" customWidth="1"/>
    <col min="15" max="15" width="11.7109375" style="66" customWidth="1"/>
    <col min="16" max="16" width="1.7109375" style="66" customWidth="1"/>
    <col min="17" max="17" width="11.7109375" style="66" customWidth="1"/>
    <col min="18" max="18" width="1.7109375" style="66" customWidth="1"/>
    <col min="19" max="19" width="11.7109375" style="66" customWidth="1"/>
    <col min="20" max="20" width="1.7109375" style="66" customWidth="1"/>
    <col min="21" max="21" width="11.7109375" style="66" customWidth="1"/>
    <col min="22" max="22" width="1.7109375" style="66" customWidth="1"/>
    <col min="23" max="23" width="11.7109375" style="66" customWidth="1"/>
    <col min="24" max="24" width="1.7109375" style="66" customWidth="1"/>
    <col min="25" max="25" width="11.7109375" style="66" customWidth="1"/>
    <col min="26" max="26" width="2.7109375" style="66" customWidth="1"/>
    <col min="27" max="27" width="12.7109375" style="66" customWidth="1"/>
    <col min="28" max="28" width="2.7109375" style="66" customWidth="1"/>
    <col min="29" max="29" width="12.7109375" style="66" customWidth="1"/>
    <col min="30" max="30" width="2.7109375" style="66" customWidth="1"/>
    <col min="31" max="31" width="12.7109375" style="66" customWidth="1"/>
    <col min="32" max="32" width="2.7109375" style="66" customWidth="1"/>
    <col min="33" max="33" width="12.7109375" style="66" customWidth="1"/>
    <col min="34" max="16384" width="9.140625" style="66" customWidth="1"/>
  </cols>
  <sheetData>
    <row r="1" spans="1:32" ht="12.75">
      <c r="A1" s="15" t="s">
        <v>252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2.75">
      <c r="A2" s="15" t="s">
        <v>227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2.75">
      <c r="A3" s="1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.75">
      <c r="A4" s="15" t="s">
        <v>196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ht="12.75">
      <c r="A5" s="16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2.75">
      <c r="A6" s="16"/>
      <c r="B6" s="19"/>
      <c r="C6" s="124" t="s">
        <v>154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70"/>
      <c r="Y6" s="19"/>
      <c r="Z6" s="19"/>
      <c r="AA6" s="19"/>
      <c r="AB6" s="19"/>
      <c r="AC6" s="19"/>
      <c r="AD6" s="19"/>
      <c r="AE6" s="19"/>
      <c r="AF6" s="19"/>
    </row>
    <row r="7" spans="1:33" ht="12.75">
      <c r="A7" s="17"/>
      <c r="B7" s="19"/>
      <c r="C7" s="44" t="s">
        <v>197</v>
      </c>
      <c r="D7" s="44"/>
      <c r="E7" s="44"/>
      <c r="F7" s="44"/>
      <c r="G7" s="44" t="s">
        <v>85</v>
      </c>
      <c r="H7" s="44"/>
      <c r="I7" s="44" t="s">
        <v>85</v>
      </c>
      <c r="J7" s="44"/>
      <c r="K7" s="44"/>
      <c r="L7" s="44"/>
      <c r="M7" s="44" t="s">
        <v>86</v>
      </c>
      <c r="N7" s="44"/>
      <c r="O7" s="44" t="s">
        <v>174</v>
      </c>
      <c r="P7" s="44"/>
      <c r="Q7" s="44" t="s">
        <v>87</v>
      </c>
      <c r="R7" s="44"/>
      <c r="S7" s="44" t="s">
        <v>100</v>
      </c>
      <c r="T7" s="44"/>
      <c r="U7" s="44" t="s">
        <v>1</v>
      </c>
      <c r="V7" s="44"/>
      <c r="W7" s="48" t="s">
        <v>101</v>
      </c>
      <c r="X7" s="48"/>
      <c r="Y7" s="49" t="s">
        <v>4</v>
      </c>
      <c r="Z7" s="48"/>
      <c r="AA7" s="48" t="s">
        <v>158</v>
      </c>
      <c r="AB7" s="48"/>
      <c r="AC7" s="48" t="s">
        <v>146</v>
      </c>
      <c r="AD7" s="48"/>
      <c r="AE7" s="48" t="s">
        <v>146</v>
      </c>
      <c r="AF7" s="48"/>
      <c r="AG7" s="109" t="s">
        <v>253</v>
      </c>
    </row>
    <row r="8" spans="1:33" ht="12.75">
      <c r="A8" s="18" t="s">
        <v>5</v>
      </c>
      <c r="B8" s="19"/>
      <c r="C8" s="59" t="s">
        <v>198</v>
      </c>
      <c r="D8" s="19"/>
      <c r="E8" s="59" t="s">
        <v>89</v>
      </c>
      <c r="F8" s="19"/>
      <c r="G8" s="59" t="s">
        <v>90</v>
      </c>
      <c r="H8" s="19"/>
      <c r="I8" s="59" t="s">
        <v>91</v>
      </c>
      <c r="J8" s="19"/>
      <c r="K8" s="59" t="s">
        <v>92</v>
      </c>
      <c r="L8" s="19"/>
      <c r="M8" s="59" t="s">
        <v>8</v>
      </c>
      <c r="N8" s="19"/>
      <c r="O8" s="59" t="s">
        <v>175</v>
      </c>
      <c r="P8" s="19"/>
      <c r="Q8" s="59" t="s">
        <v>201</v>
      </c>
      <c r="R8" s="19"/>
      <c r="S8" s="59" t="s">
        <v>93</v>
      </c>
      <c r="T8" s="19"/>
      <c r="U8" s="59" t="s">
        <v>9</v>
      </c>
      <c r="V8" s="19"/>
      <c r="W8" s="55" t="s">
        <v>96</v>
      </c>
      <c r="X8" s="19"/>
      <c r="Y8" s="120" t="s">
        <v>254</v>
      </c>
      <c r="Z8" s="19"/>
      <c r="AA8" s="55" t="s">
        <v>146</v>
      </c>
      <c r="AB8" s="19"/>
      <c r="AC8" s="71">
        <v>37622</v>
      </c>
      <c r="AD8" s="19"/>
      <c r="AE8" s="71">
        <v>37986</v>
      </c>
      <c r="AF8" s="123"/>
      <c r="AG8" s="120" t="s">
        <v>250</v>
      </c>
    </row>
    <row r="9" spans="1:32" s="82" customFormat="1" ht="12.75" hidden="1">
      <c r="A9" s="79"/>
      <c r="B9" s="76"/>
      <c r="C9" s="80"/>
      <c r="D9" s="76"/>
      <c r="E9" s="80"/>
      <c r="F9" s="76"/>
      <c r="G9" s="80"/>
      <c r="H9" s="76"/>
      <c r="I9" s="80"/>
      <c r="J9" s="76"/>
      <c r="K9" s="80"/>
      <c r="L9" s="76"/>
      <c r="M9" s="80"/>
      <c r="N9" s="76"/>
      <c r="O9" s="80"/>
      <c r="P9" s="76"/>
      <c r="Q9" s="80"/>
      <c r="R9" s="76"/>
      <c r="S9" s="80"/>
      <c r="T9" s="76"/>
      <c r="U9" s="80"/>
      <c r="V9" s="76"/>
      <c r="W9" s="72"/>
      <c r="X9" s="76"/>
      <c r="Y9" s="72"/>
      <c r="Z9" s="76"/>
      <c r="AA9" s="72"/>
      <c r="AB9" s="76"/>
      <c r="AC9" s="81"/>
      <c r="AD9" s="76"/>
      <c r="AE9" s="81"/>
      <c r="AF9" s="81"/>
    </row>
    <row r="10" spans="1:33" s="82" customFormat="1" ht="12.75">
      <c r="A10" s="75" t="s">
        <v>13</v>
      </c>
      <c r="B10" s="76"/>
      <c r="C10" s="76">
        <v>11178551</v>
      </c>
      <c r="D10" s="76"/>
      <c r="E10" s="76">
        <v>8289975</v>
      </c>
      <c r="F10" s="76"/>
      <c r="G10" s="76">
        <v>8638906</v>
      </c>
      <c r="H10" s="76"/>
      <c r="I10" s="76">
        <v>8989885</v>
      </c>
      <c r="J10" s="76"/>
      <c r="K10" s="76">
        <f>11319600+601158</f>
        <v>11920758</v>
      </c>
      <c r="L10" s="76"/>
      <c r="M10" s="76">
        <f>9714355+5144793+821698</f>
        <v>15680846</v>
      </c>
      <c r="N10" s="76"/>
      <c r="O10" s="76">
        <v>0</v>
      </c>
      <c r="P10" s="76"/>
      <c r="Q10" s="76">
        <v>1724589</v>
      </c>
      <c r="R10" s="76"/>
      <c r="S10" s="76">
        <v>30801</v>
      </c>
      <c r="T10" s="76"/>
      <c r="U10" s="76">
        <v>43000</v>
      </c>
      <c r="V10" s="76"/>
      <c r="W10" s="76">
        <v>1255550</v>
      </c>
      <c r="X10" s="76"/>
      <c r="Y10" s="76">
        <f aca="true" t="shared" si="0" ref="Y10:Y24">SUM(C10:W10)</f>
        <v>67752861</v>
      </c>
      <c r="Z10" s="76"/>
      <c r="AA10" s="76">
        <f>+'St of Activities - GA Rev'!X10-'St of Activities - GA Exp'!Y10</f>
        <v>3471998</v>
      </c>
      <c r="AB10" s="76"/>
      <c r="AC10" s="76">
        <v>41958712</v>
      </c>
      <c r="AD10" s="76"/>
      <c r="AE10" s="76">
        <f>+AC10+AA10</f>
        <v>45430710</v>
      </c>
      <c r="AF10" s="76"/>
      <c r="AG10" s="77">
        <f>+'St of Net Assets - GA'!W10-'St of Activities - GA Exp'!AE10</f>
        <v>0</v>
      </c>
    </row>
    <row r="11" spans="1:33" s="82" customFormat="1" ht="12.75">
      <c r="A11" s="75" t="s">
        <v>14</v>
      </c>
      <c r="B11" s="76"/>
      <c r="C11" s="76">
        <v>4552049</v>
      </c>
      <c r="D11" s="76"/>
      <c r="E11" s="76">
        <v>1523001</v>
      </c>
      <c r="F11" s="76"/>
      <c r="G11" s="76">
        <f>4966932+84411</f>
        <v>5051343</v>
      </c>
      <c r="H11" s="76"/>
      <c r="I11" s="76">
        <v>5336211</v>
      </c>
      <c r="J11" s="76"/>
      <c r="K11" s="76">
        <f>5299215+3768936+304506</f>
        <v>9372657</v>
      </c>
      <c r="L11" s="76"/>
      <c r="M11" s="76">
        <f>1229250+3335998+1423167</f>
        <v>5988415</v>
      </c>
      <c r="N11" s="76"/>
      <c r="O11" s="76">
        <v>0</v>
      </c>
      <c r="P11" s="76"/>
      <c r="Q11" s="76">
        <v>42409</v>
      </c>
      <c r="R11" s="76"/>
      <c r="S11" s="76">
        <f>270968+116433</f>
        <v>387401</v>
      </c>
      <c r="T11" s="76"/>
      <c r="U11" s="76">
        <v>355655</v>
      </c>
      <c r="V11" s="76"/>
      <c r="W11" s="76">
        <v>312939</v>
      </c>
      <c r="X11" s="76"/>
      <c r="Y11" s="76">
        <f t="shared" si="0"/>
        <v>32922080</v>
      </c>
      <c r="Z11" s="76"/>
      <c r="AA11" s="76">
        <f>+'St of Activities - GA Rev'!X11-'St of Activities - GA Exp'!Y11</f>
        <v>-2340668</v>
      </c>
      <c r="AB11" s="76"/>
      <c r="AC11" s="76">
        <v>39384948</v>
      </c>
      <c r="AD11" s="76"/>
      <c r="AE11" s="76">
        <f>+AC11+AA11</f>
        <v>37044280</v>
      </c>
      <c r="AF11" s="76"/>
      <c r="AG11" s="77">
        <f>+'St of Net Assets - GA'!W11-'St of Activities - GA Exp'!AE11</f>
        <v>0</v>
      </c>
    </row>
    <row r="12" spans="1:33" s="82" customFormat="1" ht="12.75">
      <c r="A12" s="75" t="s">
        <v>15</v>
      </c>
      <c r="B12" s="76"/>
      <c r="C12" s="76">
        <v>8606358</v>
      </c>
      <c r="D12" s="76"/>
      <c r="E12" s="76">
        <v>3821326</v>
      </c>
      <c r="F12" s="76"/>
      <c r="G12" s="76">
        <v>8036807</v>
      </c>
      <c r="H12" s="76"/>
      <c r="I12" s="76">
        <v>7654851</v>
      </c>
      <c r="J12" s="76"/>
      <c r="K12" s="76">
        <v>20610334</v>
      </c>
      <c r="L12" s="76"/>
      <c r="M12" s="76">
        <v>34463519</v>
      </c>
      <c r="N12" s="76"/>
      <c r="O12" s="76">
        <v>0</v>
      </c>
      <c r="P12" s="76"/>
      <c r="Q12" s="76">
        <v>366868</v>
      </c>
      <c r="R12" s="76"/>
      <c r="S12" s="76">
        <v>3781013</v>
      </c>
      <c r="T12" s="76"/>
      <c r="U12" s="76">
        <v>0</v>
      </c>
      <c r="V12" s="76"/>
      <c r="W12" s="76">
        <v>413402</v>
      </c>
      <c r="X12" s="76"/>
      <c r="Y12" s="76">
        <f t="shared" si="0"/>
        <v>87754478</v>
      </c>
      <c r="Z12" s="76"/>
      <c r="AA12" s="76">
        <f>+'St of Activities - GA Rev'!X12-'St of Activities - GA Exp'!Y12</f>
        <v>222294</v>
      </c>
      <c r="AB12" s="76"/>
      <c r="AC12" s="76">
        <v>298232333</v>
      </c>
      <c r="AD12" s="76"/>
      <c r="AE12" s="76">
        <f aca="true" t="shared" si="1" ref="AE12:AE75">+AC12+AA12</f>
        <v>298454627</v>
      </c>
      <c r="AF12" s="76"/>
      <c r="AG12" s="77">
        <f>+'St of Net Assets - GA'!W12-'St of Activities - GA Exp'!AE12</f>
        <v>0</v>
      </c>
    </row>
    <row r="13" spans="1:33" s="82" customFormat="1" ht="12.75">
      <c r="A13" s="75" t="s">
        <v>16</v>
      </c>
      <c r="B13" s="76"/>
      <c r="C13" s="76">
        <v>6832070</v>
      </c>
      <c r="D13" s="76"/>
      <c r="E13" s="76">
        <v>2502352</v>
      </c>
      <c r="F13" s="76"/>
      <c r="G13" s="76">
        <v>3833523</v>
      </c>
      <c r="H13" s="76"/>
      <c r="I13" s="76">
        <v>4623659</v>
      </c>
      <c r="J13" s="76"/>
      <c r="K13" s="76">
        <v>2121326</v>
      </c>
      <c r="L13" s="76"/>
      <c r="M13" s="76">
        <v>26114837</v>
      </c>
      <c r="N13" s="76"/>
      <c r="O13" s="76">
        <v>20873</v>
      </c>
      <c r="P13" s="76"/>
      <c r="Q13" s="76">
        <v>10627</v>
      </c>
      <c r="R13" s="76"/>
      <c r="S13" s="76">
        <v>0</v>
      </c>
      <c r="T13" s="76"/>
      <c r="U13" s="76">
        <v>0</v>
      </c>
      <c r="V13" s="76"/>
      <c r="W13" s="76">
        <v>190929</v>
      </c>
      <c r="X13" s="76"/>
      <c r="Y13" s="76">
        <f t="shared" si="0"/>
        <v>46250196</v>
      </c>
      <c r="Z13" s="76"/>
      <c r="AA13" s="76">
        <f>+'St of Activities - GA Rev'!X13-'St of Activities - GA Exp'!Y13</f>
        <v>498735</v>
      </c>
      <c r="AB13" s="76"/>
      <c r="AC13" s="76">
        <v>71888527</v>
      </c>
      <c r="AD13" s="76"/>
      <c r="AE13" s="76">
        <f t="shared" si="1"/>
        <v>72387262</v>
      </c>
      <c r="AF13" s="76"/>
      <c r="AG13" s="77">
        <f>+'St of Net Assets - GA'!W13-'St of Activities - GA Exp'!AE13</f>
        <v>0</v>
      </c>
    </row>
    <row r="14" spans="1:33" s="82" customFormat="1" ht="12.75">
      <c r="A14" s="75" t="s">
        <v>17</v>
      </c>
      <c r="B14" s="76"/>
      <c r="C14" s="76">
        <v>3318386</v>
      </c>
      <c r="D14" s="76"/>
      <c r="E14" s="76">
        <v>1967086</v>
      </c>
      <c r="F14" s="76"/>
      <c r="G14" s="76">
        <v>4622176</v>
      </c>
      <c r="H14" s="76"/>
      <c r="I14" s="76">
        <v>5358080</v>
      </c>
      <c r="J14" s="76"/>
      <c r="K14" s="76">
        <v>4907093</v>
      </c>
      <c r="L14" s="76"/>
      <c r="M14" s="76">
        <v>4092386</v>
      </c>
      <c r="N14" s="76"/>
      <c r="O14" s="76">
        <v>0</v>
      </c>
      <c r="P14" s="76"/>
      <c r="Q14" s="76">
        <v>0</v>
      </c>
      <c r="R14" s="76"/>
      <c r="S14" s="76">
        <f>1126346+415529</f>
        <v>1541875</v>
      </c>
      <c r="T14" s="76"/>
      <c r="U14" s="76">
        <v>0</v>
      </c>
      <c r="V14" s="76"/>
      <c r="W14" s="76">
        <v>360598</v>
      </c>
      <c r="X14" s="76"/>
      <c r="Y14" s="76">
        <f t="shared" si="0"/>
        <v>26167680</v>
      </c>
      <c r="Z14" s="76"/>
      <c r="AA14" s="76">
        <f>+'St of Activities - GA Rev'!X14-'St of Activities - GA Exp'!Y14</f>
        <v>3069862</v>
      </c>
      <c r="AB14" s="76"/>
      <c r="AC14" s="76">
        <v>30411559</v>
      </c>
      <c r="AD14" s="76"/>
      <c r="AE14" s="76">
        <f t="shared" si="1"/>
        <v>33481421</v>
      </c>
      <c r="AF14" s="76"/>
      <c r="AG14" s="77">
        <f>+'St of Net Assets - GA'!W14-'St of Activities - GA Exp'!AE14</f>
        <v>0</v>
      </c>
    </row>
    <row r="15" spans="1:33" s="82" customFormat="1" ht="12.75">
      <c r="A15" s="75" t="s">
        <v>18</v>
      </c>
      <c r="B15" s="76"/>
      <c r="C15" s="76">
        <v>6222380</v>
      </c>
      <c r="D15" s="76"/>
      <c r="E15" s="76">
        <v>2790146</v>
      </c>
      <c r="F15" s="76"/>
      <c r="G15" s="76">
        <v>8058561</v>
      </c>
      <c r="H15" s="76"/>
      <c r="I15" s="76">
        <v>7870853</v>
      </c>
      <c r="J15" s="76"/>
      <c r="K15" s="76">
        <v>10901109</v>
      </c>
      <c r="L15" s="76"/>
      <c r="M15" s="76">
        <v>14796233</v>
      </c>
      <c r="N15" s="76"/>
      <c r="O15" s="76">
        <v>199171</v>
      </c>
      <c r="P15" s="76"/>
      <c r="Q15" s="76">
        <v>0</v>
      </c>
      <c r="R15" s="76"/>
      <c r="S15" s="76">
        <v>0</v>
      </c>
      <c r="T15" s="76"/>
      <c r="U15" s="76">
        <v>1021276</v>
      </c>
      <c r="V15" s="76"/>
      <c r="W15" s="76">
        <v>315257</v>
      </c>
      <c r="X15" s="76"/>
      <c r="Y15" s="76">
        <f t="shared" si="0"/>
        <v>52174986</v>
      </c>
      <c r="Z15" s="76"/>
      <c r="AA15" s="76">
        <f>+'St of Activities - GA Rev'!X15-'St of Activities - GA Exp'!Y15</f>
        <v>-1297076</v>
      </c>
      <c r="AB15" s="76"/>
      <c r="AC15" s="76">
        <v>90988615</v>
      </c>
      <c r="AD15" s="76"/>
      <c r="AE15" s="76">
        <v>89691539</v>
      </c>
      <c r="AF15" s="76"/>
      <c r="AG15" s="77">
        <f>+'St of Net Assets - GA'!W15-'St of Activities - GA Exp'!AE15</f>
        <v>0</v>
      </c>
    </row>
    <row r="16" spans="1:33" s="82" customFormat="1" ht="12.75" hidden="1">
      <c r="A16" s="75" t="s">
        <v>138</v>
      </c>
      <c r="B16" s="76"/>
      <c r="C16" s="76">
        <v>0</v>
      </c>
      <c r="D16" s="76"/>
      <c r="E16" s="76">
        <v>0</v>
      </c>
      <c r="F16" s="76"/>
      <c r="G16" s="76">
        <v>0</v>
      </c>
      <c r="H16" s="76"/>
      <c r="I16" s="76">
        <v>0</v>
      </c>
      <c r="J16" s="76"/>
      <c r="K16" s="76">
        <v>0</v>
      </c>
      <c r="L16" s="76"/>
      <c r="M16" s="76">
        <v>0</v>
      </c>
      <c r="N16" s="76"/>
      <c r="O16" s="76">
        <v>0</v>
      </c>
      <c r="P16" s="76"/>
      <c r="Q16" s="76">
        <v>0</v>
      </c>
      <c r="R16" s="76"/>
      <c r="S16" s="76">
        <v>0</v>
      </c>
      <c r="T16" s="76"/>
      <c r="U16" s="76">
        <v>0</v>
      </c>
      <c r="V16" s="76"/>
      <c r="W16" s="76">
        <v>0</v>
      </c>
      <c r="X16" s="76"/>
      <c r="Y16" s="76">
        <f t="shared" si="0"/>
        <v>0</v>
      </c>
      <c r="Z16" s="76"/>
      <c r="AA16" s="76">
        <f>+'St of Activities - GA Rev'!X16-'St of Activities - GA Exp'!Y16</f>
        <v>0</v>
      </c>
      <c r="AB16" s="76"/>
      <c r="AC16" s="76">
        <v>0</v>
      </c>
      <c r="AD16" s="76"/>
      <c r="AE16" s="76">
        <f t="shared" si="1"/>
        <v>0</v>
      </c>
      <c r="AF16" s="76"/>
      <c r="AG16" s="77">
        <f>+'St of Net Assets - GA'!W16-'St of Activities - GA Exp'!AE16</f>
        <v>0</v>
      </c>
    </row>
    <row r="17" spans="1:33" s="82" customFormat="1" ht="12.75">
      <c r="A17" s="75" t="s">
        <v>19</v>
      </c>
      <c r="B17" s="76"/>
      <c r="C17" s="76">
        <v>30228989</v>
      </c>
      <c r="D17" s="76"/>
      <c r="E17" s="76">
        <v>12834297</v>
      </c>
      <c r="F17" s="76"/>
      <c r="G17" s="76">
        <v>36659180</v>
      </c>
      <c r="H17" s="76"/>
      <c r="I17" s="76">
        <v>16672729</v>
      </c>
      <c r="J17" s="76"/>
      <c r="K17" s="76">
        <v>46285012</v>
      </c>
      <c r="L17" s="76"/>
      <c r="M17" s="76">
        <v>69048201</v>
      </c>
      <c r="N17" s="76"/>
      <c r="O17" s="76">
        <v>0</v>
      </c>
      <c r="P17" s="76"/>
      <c r="Q17" s="76">
        <v>531971</v>
      </c>
      <c r="R17" s="76"/>
      <c r="S17" s="76">
        <v>0</v>
      </c>
      <c r="T17" s="76"/>
      <c r="U17" s="76">
        <v>0</v>
      </c>
      <c r="V17" s="76"/>
      <c r="W17" s="76">
        <v>4787644</v>
      </c>
      <c r="X17" s="76"/>
      <c r="Y17" s="76">
        <f t="shared" si="0"/>
        <v>217048023</v>
      </c>
      <c r="Z17" s="76"/>
      <c r="AA17" s="76">
        <f>+'St of Activities - GA Rev'!X17-'St of Activities - GA Exp'!Y17</f>
        <v>3689566</v>
      </c>
      <c r="AB17" s="76"/>
      <c r="AC17" s="76">
        <v>348540125</v>
      </c>
      <c r="AD17" s="76"/>
      <c r="AE17" s="76">
        <f t="shared" si="1"/>
        <v>352229691</v>
      </c>
      <c r="AF17" s="76"/>
      <c r="AG17" s="77">
        <f>+'St of Net Assets - GA'!W17-'St of Activities - GA Exp'!AE17</f>
        <v>0</v>
      </c>
    </row>
    <row r="18" spans="1:34" s="82" customFormat="1" ht="12.75">
      <c r="A18" s="75" t="s">
        <v>20</v>
      </c>
      <c r="B18" s="76"/>
      <c r="C18" s="76">
        <v>2798823</v>
      </c>
      <c r="D18" s="76"/>
      <c r="E18" s="76">
        <v>840901</v>
      </c>
      <c r="F18" s="76"/>
      <c r="G18" s="76">
        <v>2296188</v>
      </c>
      <c r="H18" s="76"/>
      <c r="I18" s="76">
        <v>4865404</v>
      </c>
      <c r="J18" s="76"/>
      <c r="K18" s="76">
        <v>3796003</v>
      </c>
      <c r="L18" s="76"/>
      <c r="M18" s="76">
        <v>4812681</v>
      </c>
      <c r="N18" s="76"/>
      <c r="O18" s="76">
        <f>350221+307456</f>
        <v>657677</v>
      </c>
      <c r="P18" s="76"/>
      <c r="Q18" s="76">
        <v>0</v>
      </c>
      <c r="R18" s="76"/>
      <c r="S18" s="76">
        <v>657186</v>
      </c>
      <c r="T18" s="76"/>
      <c r="U18" s="76">
        <v>0</v>
      </c>
      <c r="V18" s="76"/>
      <c r="W18" s="76">
        <v>28665</v>
      </c>
      <c r="X18" s="76"/>
      <c r="Y18" s="76">
        <f t="shared" si="0"/>
        <v>20753528</v>
      </c>
      <c r="Z18" s="76"/>
      <c r="AA18" s="76">
        <f>+'St of Activities - GA Rev'!X18-'St of Activities - GA Exp'!Y18</f>
        <v>-957293</v>
      </c>
      <c r="AB18" s="76"/>
      <c r="AC18" s="76">
        <v>19741571</v>
      </c>
      <c r="AD18" s="76"/>
      <c r="AE18" s="76">
        <f t="shared" si="1"/>
        <v>18784278</v>
      </c>
      <c r="AF18" s="76"/>
      <c r="AG18" s="77">
        <f>+'St of Net Assets - GA'!W18-'St of Activities - GA Exp'!AE18</f>
        <v>0</v>
      </c>
      <c r="AH18" s="83"/>
    </row>
    <row r="19" spans="1:33" s="82" customFormat="1" ht="12.75" hidden="1">
      <c r="A19" s="75" t="s">
        <v>182</v>
      </c>
      <c r="B19" s="76"/>
      <c r="C19" s="76">
        <v>0</v>
      </c>
      <c r="D19" s="76"/>
      <c r="E19" s="76">
        <v>0</v>
      </c>
      <c r="F19" s="76"/>
      <c r="G19" s="76">
        <v>0</v>
      </c>
      <c r="H19" s="76"/>
      <c r="I19" s="76">
        <v>0</v>
      </c>
      <c r="J19" s="76"/>
      <c r="K19" s="76">
        <v>0</v>
      </c>
      <c r="L19" s="76"/>
      <c r="M19" s="76">
        <v>0</v>
      </c>
      <c r="N19" s="76"/>
      <c r="O19" s="76">
        <v>0</v>
      </c>
      <c r="P19" s="76"/>
      <c r="Q19" s="76">
        <v>0</v>
      </c>
      <c r="R19" s="76"/>
      <c r="S19" s="76">
        <v>0</v>
      </c>
      <c r="T19" s="76"/>
      <c r="U19" s="76">
        <v>0</v>
      </c>
      <c r="V19" s="76"/>
      <c r="W19" s="76">
        <v>0</v>
      </c>
      <c r="X19" s="76"/>
      <c r="Y19" s="76">
        <f t="shared" si="0"/>
        <v>0</v>
      </c>
      <c r="Z19" s="76"/>
      <c r="AA19" s="76">
        <f>+'St of Activities - GA Rev'!X19-'St of Activities - GA Exp'!Y19</f>
        <v>0</v>
      </c>
      <c r="AB19" s="76"/>
      <c r="AC19" s="76">
        <v>0</v>
      </c>
      <c r="AD19" s="76"/>
      <c r="AE19" s="76">
        <f t="shared" si="1"/>
        <v>0</v>
      </c>
      <c r="AF19" s="76"/>
      <c r="AG19" s="77">
        <f>+'St of Net Assets - GA'!W19-'St of Activities - GA Exp'!AE19</f>
        <v>0</v>
      </c>
    </row>
    <row r="20" spans="1:33" s="82" customFormat="1" ht="12.75">
      <c r="A20" s="75" t="s">
        <v>21</v>
      </c>
      <c r="B20" s="76"/>
      <c r="C20" s="76">
        <v>6518815</v>
      </c>
      <c r="D20" s="76"/>
      <c r="E20" s="76">
        <v>7978551</v>
      </c>
      <c r="F20" s="76"/>
      <c r="G20" s="76">
        <v>14983773</v>
      </c>
      <c r="H20" s="76"/>
      <c r="I20" s="76">
        <v>11535874</v>
      </c>
      <c r="J20" s="76"/>
      <c r="K20" s="76">
        <v>21711668</v>
      </c>
      <c r="L20" s="76"/>
      <c r="M20" s="76">
        <v>40978271</v>
      </c>
      <c r="N20" s="76"/>
      <c r="O20" s="76">
        <v>0</v>
      </c>
      <c r="P20" s="76"/>
      <c r="Q20" s="76">
        <v>2614690</v>
      </c>
      <c r="R20" s="76"/>
      <c r="S20" s="76">
        <v>0</v>
      </c>
      <c r="T20" s="76"/>
      <c r="U20" s="76">
        <v>0</v>
      </c>
      <c r="V20" s="76"/>
      <c r="W20" s="76">
        <v>411276</v>
      </c>
      <c r="X20" s="76"/>
      <c r="Y20" s="76">
        <f>SUM(C20:W20)</f>
        <v>106732918</v>
      </c>
      <c r="Z20" s="76"/>
      <c r="AA20" s="76">
        <f>+'St of Activities - GA Rev'!X20-'St of Activities - GA Exp'!Y20</f>
        <v>-2476080</v>
      </c>
      <c r="AB20" s="76"/>
      <c r="AC20" s="76">
        <v>71094291</v>
      </c>
      <c r="AD20" s="76"/>
      <c r="AE20" s="76">
        <f t="shared" si="1"/>
        <v>68618211</v>
      </c>
      <c r="AF20" s="76"/>
      <c r="AG20" s="77">
        <f>+'St of Net Assets - GA'!W20-'St of Activities - GA Exp'!AE20</f>
        <v>0</v>
      </c>
    </row>
    <row r="21" spans="1:33" s="82" customFormat="1" ht="12.75">
      <c r="A21" s="75" t="s">
        <v>193</v>
      </c>
      <c r="B21" s="76"/>
      <c r="C21" s="76">
        <v>19533131</v>
      </c>
      <c r="D21" s="76"/>
      <c r="E21" s="76">
        <v>8911706</v>
      </c>
      <c r="F21" s="76"/>
      <c r="G21" s="76">
        <v>24310632</v>
      </c>
      <c r="H21" s="76"/>
      <c r="I21" s="76">
        <v>13454860</v>
      </c>
      <c r="J21" s="76"/>
      <c r="K21" s="76">
        <v>840128</v>
      </c>
      <c r="L21" s="76"/>
      <c r="M21" s="76">
        <v>29851533</v>
      </c>
      <c r="N21" s="76"/>
      <c r="O21" s="76">
        <v>3292995</v>
      </c>
      <c r="P21" s="76"/>
      <c r="Q21" s="76">
        <v>0</v>
      </c>
      <c r="R21" s="76"/>
      <c r="S21" s="76">
        <f>1767427</f>
        <v>1767427</v>
      </c>
      <c r="T21" s="76"/>
      <c r="U21" s="76">
        <v>0</v>
      </c>
      <c r="V21" s="76"/>
      <c r="W21" s="76">
        <v>2546741</v>
      </c>
      <c r="X21" s="76"/>
      <c r="Y21" s="76">
        <f t="shared" si="0"/>
        <v>104509153</v>
      </c>
      <c r="Z21" s="76"/>
      <c r="AA21" s="76">
        <f>+'St of Activities - GA Rev'!X21-'St of Activities - GA Exp'!Y21</f>
        <v>2172759</v>
      </c>
      <c r="AB21" s="76"/>
      <c r="AC21" s="76">
        <v>156867633</v>
      </c>
      <c r="AD21" s="76"/>
      <c r="AE21" s="76">
        <f t="shared" si="1"/>
        <v>159040392</v>
      </c>
      <c r="AF21" s="76"/>
      <c r="AG21" s="77">
        <f>+'St of Net Assets - GA'!W21-'St of Activities - GA Exp'!AE21</f>
        <v>0</v>
      </c>
    </row>
    <row r="22" spans="1:33" s="82" customFormat="1" ht="12.75">
      <c r="A22" s="75" t="s">
        <v>22</v>
      </c>
      <c r="B22" s="76"/>
      <c r="C22" s="76">
        <v>5410042</v>
      </c>
      <c r="D22" s="76"/>
      <c r="E22" s="76">
        <v>2449914</v>
      </c>
      <c r="F22" s="76"/>
      <c r="G22" s="76">
        <v>3528965</v>
      </c>
      <c r="H22" s="76"/>
      <c r="I22" s="76">
        <v>5739161</v>
      </c>
      <c r="J22" s="76"/>
      <c r="K22" s="76">
        <v>3462884</v>
      </c>
      <c r="L22" s="76"/>
      <c r="M22" s="76">
        <v>8511929</v>
      </c>
      <c r="N22" s="76"/>
      <c r="O22" s="76">
        <v>592902</v>
      </c>
      <c r="P22" s="76"/>
      <c r="Q22" s="76">
        <v>0</v>
      </c>
      <c r="R22" s="76"/>
      <c r="S22" s="76">
        <v>688491</v>
      </c>
      <c r="T22" s="76"/>
      <c r="U22" s="76">
        <v>0</v>
      </c>
      <c r="V22" s="76"/>
      <c r="W22" s="76">
        <v>396130</v>
      </c>
      <c r="X22" s="76"/>
      <c r="Y22" s="76">
        <f t="shared" si="0"/>
        <v>30780418</v>
      </c>
      <c r="Z22" s="76"/>
      <c r="AA22" s="76">
        <f>+'St of Activities - GA Rev'!X22-'St of Activities - GA Exp'!Y22</f>
        <v>-661728</v>
      </c>
      <c r="AB22" s="76"/>
      <c r="AC22" s="76">
        <v>38011713</v>
      </c>
      <c r="AD22" s="76"/>
      <c r="AE22" s="76">
        <f t="shared" si="1"/>
        <v>37349985</v>
      </c>
      <c r="AF22" s="76"/>
      <c r="AG22" s="77">
        <f>+'St of Net Assets - GA'!W22-'St of Activities - GA Exp'!AE22</f>
        <v>0</v>
      </c>
    </row>
    <row r="23" spans="1:33" s="82" customFormat="1" ht="12.75" hidden="1">
      <c r="A23" s="75" t="s">
        <v>23</v>
      </c>
      <c r="B23" s="76"/>
      <c r="C23" s="76">
        <v>0</v>
      </c>
      <c r="D23" s="76"/>
      <c r="E23" s="76">
        <v>0</v>
      </c>
      <c r="F23" s="76"/>
      <c r="G23" s="76">
        <v>0</v>
      </c>
      <c r="H23" s="76"/>
      <c r="I23" s="76">
        <v>0</v>
      </c>
      <c r="J23" s="76"/>
      <c r="K23" s="76">
        <v>0</v>
      </c>
      <c r="L23" s="76"/>
      <c r="M23" s="76">
        <v>0</v>
      </c>
      <c r="N23" s="76"/>
      <c r="O23" s="76">
        <v>0</v>
      </c>
      <c r="P23" s="76"/>
      <c r="Q23" s="76">
        <v>0</v>
      </c>
      <c r="R23" s="76"/>
      <c r="S23" s="76">
        <v>0</v>
      </c>
      <c r="T23" s="76"/>
      <c r="U23" s="76">
        <v>0</v>
      </c>
      <c r="V23" s="76"/>
      <c r="W23" s="76">
        <v>0</v>
      </c>
      <c r="X23" s="76"/>
      <c r="Y23" s="76">
        <f t="shared" si="0"/>
        <v>0</v>
      </c>
      <c r="Z23" s="76"/>
      <c r="AA23" s="76">
        <f>+'St of Activities - GA Rev'!X23-'St of Activities - GA Exp'!Y23</f>
        <v>0</v>
      </c>
      <c r="AB23" s="76"/>
      <c r="AC23" s="76">
        <v>0</v>
      </c>
      <c r="AD23" s="76"/>
      <c r="AE23" s="76">
        <f t="shared" si="1"/>
        <v>0</v>
      </c>
      <c r="AF23" s="76"/>
      <c r="AG23" s="77">
        <f>+'St of Net Assets - GA'!W23-'St of Activities - GA Exp'!AE23</f>
        <v>0</v>
      </c>
    </row>
    <row r="24" spans="1:33" s="82" customFormat="1" ht="12.75" hidden="1">
      <c r="A24" s="75" t="s">
        <v>24</v>
      </c>
      <c r="B24" s="76"/>
      <c r="C24" s="76">
        <v>0</v>
      </c>
      <c r="D24" s="76"/>
      <c r="E24" s="76">
        <v>0</v>
      </c>
      <c r="F24" s="76"/>
      <c r="G24" s="76">
        <v>0</v>
      </c>
      <c r="H24" s="76"/>
      <c r="I24" s="76">
        <v>0</v>
      </c>
      <c r="J24" s="76"/>
      <c r="K24" s="76">
        <v>0</v>
      </c>
      <c r="L24" s="76"/>
      <c r="M24" s="76">
        <v>0</v>
      </c>
      <c r="N24" s="76"/>
      <c r="O24" s="76">
        <v>0</v>
      </c>
      <c r="P24" s="76"/>
      <c r="Q24" s="76">
        <v>0</v>
      </c>
      <c r="R24" s="76"/>
      <c r="S24" s="76">
        <v>0</v>
      </c>
      <c r="T24" s="76"/>
      <c r="U24" s="76">
        <v>0</v>
      </c>
      <c r="V24" s="76"/>
      <c r="W24" s="76">
        <v>0</v>
      </c>
      <c r="X24" s="76"/>
      <c r="Y24" s="76">
        <f t="shared" si="0"/>
        <v>0</v>
      </c>
      <c r="Z24" s="76"/>
      <c r="AA24" s="76">
        <f>+'St of Activities - GA Rev'!X24-'St of Activities - GA Exp'!Y24</f>
        <v>0</v>
      </c>
      <c r="AB24" s="76"/>
      <c r="AC24" s="76">
        <v>0</v>
      </c>
      <c r="AD24" s="76"/>
      <c r="AE24" s="76">
        <f t="shared" si="1"/>
        <v>0</v>
      </c>
      <c r="AF24" s="76"/>
      <c r="AG24" s="77">
        <f>+'St of Net Assets - GA'!W24-'St of Activities - GA Exp'!AE24</f>
        <v>0</v>
      </c>
    </row>
    <row r="25" spans="1:33" s="82" customFormat="1" ht="12.75">
      <c r="A25" s="75" t="s">
        <v>191</v>
      </c>
      <c r="B25" s="76"/>
      <c r="C25" s="76">
        <v>3721433</v>
      </c>
      <c r="D25" s="76"/>
      <c r="E25" s="76">
        <v>2220693</v>
      </c>
      <c r="F25" s="76"/>
      <c r="G25" s="76">
        <f>2136886+3320515</f>
        <v>5457401</v>
      </c>
      <c r="H25" s="76"/>
      <c r="I25" s="76">
        <v>3999798</v>
      </c>
      <c r="J25" s="76"/>
      <c r="K25" s="76">
        <f>3662872+1072518</f>
        <v>4735390</v>
      </c>
      <c r="L25" s="76"/>
      <c r="M25" s="76">
        <f>1983616+1627730+4385992+1831406</f>
        <v>9828744</v>
      </c>
      <c r="N25" s="76"/>
      <c r="O25" s="76">
        <v>0</v>
      </c>
      <c r="P25" s="76"/>
      <c r="Q25" s="76">
        <v>0</v>
      </c>
      <c r="R25" s="76"/>
      <c r="S25" s="76">
        <v>0</v>
      </c>
      <c r="T25" s="76"/>
      <c r="U25" s="76">
        <v>686176</v>
      </c>
      <c r="V25" s="76"/>
      <c r="W25" s="76">
        <v>540028</v>
      </c>
      <c r="X25" s="76"/>
      <c r="Y25" s="76">
        <f aca="true" t="shared" si="2" ref="Y25:Y88">SUM(C25:W25)</f>
        <v>31189663</v>
      </c>
      <c r="Z25" s="76"/>
      <c r="AA25" s="76">
        <f>+'St of Activities - GA Rev'!X25-'St of Activities - GA Exp'!Y25</f>
        <v>-507822</v>
      </c>
      <c r="AB25" s="76"/>
      <c r="AC25" s="76">
        <v>44019436</v>
      </c>
      <c r="AD25" s="76"/>
      <c r="AE25" s="76">
        <f t="shared" si="1"/>
        <v>43511614</v>
      </c>
      <c r="AF25" s="76"/>
      <c r="AG25" s="77">
        <f>+'St of Net Assets - GA'!W25-'St of Activities - GA Exp'!AE25</f>
        <v>0</v>
      </c>
    </row>
    <row r="26" spans="1:33" s="82" customFormat="1" ht="12.75">
      <c r="A26" s="75" t="s">
        <v>25</v>
      </c>
      <c r="B26" s="76"/>
      <c r="C26" s="76">
        <v>59963</v>
      </c>
      <c r="D26" s="76"/>
      <c r="E26" s="76">
        <v>277314</v>
      </c>
      <c r="F26" s="76"/>
      <c r="G26" s="76">
        <v>0</v>
      </c>
      <c r="H26" s="76"/>
      <c r="I26" s="76">
        <v>67025</v>
      </c>
      <c r="J26" s="76"/>
      <c r="K26" s="76">
        <v>152904</v>
      </c>
      <c r="L26" s="76"/>
      <c r="M26" s="76">
        <v>578700</v>
      </c>
      <c r="N26" s="76"/>
      <c r="O26" s="76">
        <v>25332</v>
      </c>
      <c r="P26" s="76"/>
      <c r="Q26" s="76">
        <v>0</v>
      </c>
      <c r="R26" s="76"/>
      <c r="S26" s="76">
        <f>13813</f>
        <v>13813</v>
      </c>
      <c r="T26" s="76"/>
      <c r="U26" s="76">
        <v>0</v>
      </c>
      <c r="V26" s="76"/>
      <c r="W26" s="76">
        <v>0</v>
      </c>
      <c r="X26" s="76"/>
      <c r="Y26" s="76">
        <f t="shared" si="2"/>
        <v>1175051</v>
      </c>
      <c r="Z26" s="76"/>
      <c r="AA26" s="76">
        <f>+'St of Activities - GA Rev'!X26-'St of Activities - GA Exp'!Y26</f>
        <v>36208</v>
      </c>
      <c r="AB26" s="76"/>
      <c r="AC26" s="76">
        <v>461622</v>
      </c>
      <c r="AD26" s="76"/>
      <c r="AE26" s="76">
        <f t="shared" si="1"/>
        <v>497830</v>
      </c>
      <c r="AF26" s="76"/>
      <c r="AG26" s="77">
        <f>+'St of Net Assets - GA'!W26-'St of Activities - GA Exp'!AE26</f>
        <v>0</v>
      </c>
    </row>
    <row r="27" spans="1:33" s="82" customFormat="1" ht="12.75">
      <c r="A27" s="75" t="s">
        <v>26</v>
      </c>
      <c r="B27" s="76"/>
      <c r="C27" s="76">
        <v>0</v>
      </c>
      <c r="D27" s="76"/>
      <c r="E27" s="76">
        <v>0</v>
      </c>
      <c r="F27" s="76"/>
      <c r="G27" s="76">
        <v>3764516</v>
      </c>
      <c r="H27" s="76"/>
      <c r="I27" s="76">
        <v>2951810</v>
      </c>
      <c r="J27" s="76"/>
      <c r="K27" s="76">
        <v>361942</v>
      </c>
      <c r="L27" s="76"/>
      <c r="M27" s="76">
        <v>9959954</v>
      </c>
      <c r="N27" s="76"/>
      <c r="O27" s="76">
        <v>631016</v>
      </c>
      <c r="P27" s="76"/>
      <c r="Q27" s="76">
        <v>0</v>
      </c>
      <c r="R27" s="76"/>
      <c r="S27" s="76">
        <v>7852541</v>
      </c>
      <c r="T27" s="76"/>
      <c r="U27" s="76">
        <v>0</v>
      </c>
      <c r="V27" s="76"/>
      <c r="W27" s="76">
        <v>461417</v>
      </c>
      <c r="X27" s="76"/>
      <c r="Y27" s="76">
        <f>SUM(C27:W27)</f>
        <v>25983196</v>
      </c>
      <c r="Z27" s="76"/>
      <c r="AA27" s="76">
        <v>1915073</v>
      </c>
      <c r="AB27" s="76"/>
      <c r="AC27" s="76">
        <v>87918557</v>
      </c>
      <c r="AD27" s="76"/>
      <c r="AE27" s="76">
        <f>+AC27+AA27</f>
        <v>89833630</v>
      </c>
      <c r="AF27" s="76"/>
      <c r="AG27" s="77">
        <f>+'St of Net Assets - GA'!W27-'St of Activities - GA Exp'!AE27</f>
        <v>0</v>
      </c>
    </row>
    <row r="28" spans="1:33" s="82" customFormat="1" ht="12.75">
      <c r="A28" s="75" t="s">
        <v>27</v>
      </c>
      <c r="B28" s="76"/>
      <c r="C28" s="76">
        <v>5075779</v>
      </c>
      <c r="D28" s="76"/>
      <c r="E28" s="76">
        <v>1536525</v>
      </c>
      <c r="F28" s="76"/>
      <c r="G28" s="76">
        <f>1645036+538110+2057535</f>
        <v>4240681</v>
      </c>
      <c r="H28" s="76"/>
      <c r="I28" s="76">
        <f>3809448+636595</f>
        <v>4446043</v>
      </c>
      <c r="J28" s="76"/>
      <c r="K28" s="76">
        <f>3704630+126058</f>
        <v>3830688</v>
      </c>
      <c r="L28" s="76"/>
      <c r="M28" s="76">
        <f>2985273+503922+788370+1175902+359972</f>
        <v>5813439</v>
      </c>
      <c r="N28" s="76"/>
      <c r="O28" s="76">
        <v>28714</v>
      </c>
      <c r="P28" s="76"/>
      <c r="Q28" s="76">
        <v>66819</v>
      </c>
      <c r="R28" s="76"/>
      <c r="S28" s="76">
        <f>183122</f>
        <v>183122</v>
      </c>
      <c r="T28" s="76"/>
      <c r="U28" s="76">
        <v>30718</v>
      </c>
      <c r="V28" s="76"/>
      <c r="W28" s="76">
        <v>222100</v>
      </c>
      <c r="X28" s="76"/>
      <c r="Y28" s="76">
        <f t="shared" si="2"/>
        <v>25474628</v>
      </c>
      <c r="Z28" s="76"/>
      <c r="AA28" s="76">
        <v>4566163</v>
      </c>
      <c r="AB28" s="76"/>
      <c r="AC28" s="76">
        <v>60411531</v>
      </c>
      <c r="AD28" s="76"/>
      <c r="AE28" s="76">
        <f t="shared" si="1"/>
        <v>64977694</v>
      </c>
      <c r="AF28" s="76"/>
      <c r="AG28" s="77">
        <f>+'St of Net Assets - GA'!W28-'St of Activities - GA Exp'!AE28</f>
        <v>0</v>
      </c>
    </row>
    <row r="29" spans="1:33" s="82" customFormat="1" ht="12.75">
      <c r="A29" s="75" t="s">
        <v>28</v>
      </c>
      <c r="B29" s="76"/>
      <c r="C29" s="76">
        <v>12974146</v>
      </c>
      <c r="D29" s="76"/>
      <c r="E29" s="76">
        <v>6184743</v>
      </c>
      <c r="F29" s="76"/>
      <c r="G29" s="76">
        <f>2870428+7103203+9740640+3752320</f>
        <v>23466591</v>
      </c>
      <c r="H29" s="76"/>
      <c r="I29" s="76">
        <v>16679512</v>
      </c>
      <c r="J29" s="76"/>
      <c r="K29" s="76">
        <v>10797440</v>
      </c>
      <c r="L29" s="76"/>
      <c r="M29" s="76">
        <f>6479376+1208997+2043044+358329</f>
        <v>10089746</v>
      </c>
      <c r="N29" s="76"/>
      <c r="O29" s="76">
        <v>0</v>
      </c>
      <c r="P29" s="76"/>
      <c r="Q29" s="76">
        <v>0</v>
      </c>
      <c r="R29" s="76"/>
      <c r="S29" s="76">
        <v>0</v>
      </c>
      <c r="T29" s="76"/>
      <c r="U29" s="76">
        <v>709069</v>
      </c>
      <c r="V29" s="76"/>
      <c r="W29" s="76">
        <v>1209548</v>
      </c>
      <c r="X29" s="76"/>
      <c r="Y29" s="76">
        <f t="shared" si="2"/>
        <v>82110795</v>
      </c>
      <c r="Z29" s="76"/>
      <c r="AA29" s="76">
        <f>+'St of Activities - GA Rev'!X29-'St of Activities - GA Exp'!Y29</f>
        <v>8431303</v>
      </c>
      <c r="AB29" s="76"/>
      <c r="AC29" s="76">
        <v>133895986</v>
      </c>
      <c r="AD29" s="76"/>
      <c r="AE29" s="76">
        <f t="shared" si="1"/>
        <v>142327289</v>
      </c>
      <c r="AF29" s="76"/>
      <c r="AG29" s="77">
        <f>+'St of Net Assets - GA'!W29-'St of Activities - GA Exp'!AE29</f>
        <v>0</v>
      </c>
    </row>
    <row r="30" spans="1:33" s="82" customFormat="1" ht="12.75">
      <c r="A30" s="75" t="s">
        <v>29</v>
      </c>
      <c r="B30" s="76"/>
      <c r="C30" s="76">
        <v>9670194</v>
      </c>
      <c r="D30" s="76"/>
      <c r="E30" s="76">
        <v>4302743</v>
      </c>
      <c r="F30" s="76"/>
      <c r="G30" s="76">
        <v>10114582</v>
      </c>
      <c r="H30" s="76"/>
      <c r="I30" s="76">
        <v>3915623</v>
      </c>
      <c r="J30" s="76"/>
      <c r="K30" s="76">
        <v>7029247</v>
      </c>
      <c r="L30" s="76"/>
      <c r="M30" s="76">
        <v>14285539</v>
      </c>
      <c r="N30" s="76"/>
      <c r="O30" s="76">
        <v>603759</v>
      </c>
      <c r="P30" s="76"/>
      <c r="Q30" s="76">
        <v>366444</v>
      </c>
      <c r="R30" s="76"/>
      <c r="S30" s="76">
        <v>1619823</v>
      </c>
      <c r="T30" s="76"/>
      <c r="U30" s="76">
        <v>0</v>
      </c>
      <c r="V30" s="76"/>
      <c r="W30" s="76">
        <v>636282</v>
      </c>
      <c r="X30" s="76"/>
      <c r="Y30" s="76">
        <f t="shared" si="2"/>
        <v>52544236</v>
      </c>
      <c r="Z30" s="76"/>
      <c r="AA30" s="76">
        <f>+'St of Activities - GA Rev'!X30-'St of Activities - GA Exp'!Y30</f>
        <v>2569945</v>
      </c>
      <c r="AB30" s="76"/>
      <c r="AC30" s="76">
        <v>65451300</v>
      </c>
      <c r="AD30" s="76"/>
      <c r="AE30" s="76">
        <f t="shared" si="1"/>
        <v>68021245</v>
      </c>
      <c r="AF30" s="76"/>
      <c r="AG30" s="77">
        <f>+'St of Net Assets - GA'!W30-'St of Activities - GA Exp'!AE30</f>
        <v>0</v>
      </c>
    </row>
    <row r="31" spans="1:33" s="82" customFormat="1" ht="12.75">
      <c r="A31" s="75" t="s">
        <v>30</v>
      </c>
      <c r="B31" s="76"/>
      <c r="C31" s="76">
        <v>10332298</v>
      </c>
      <c r="D31" s="76"/>
      <c r="E31" s="76">
        <v>5015660</v>
      </c>
      <c r="F31" s="76"/>
      <c r="G31" s="76">
        <v>12505036</v>
      </c>
      <c r="H31" s="76"/>
      <c r="I31" s="76">
        <v>9967532</v>
      </c>
      <c r="J31" s="76"/>
      <c r="K31" s="76">
        <v>16332991</v>
      </c>
      <c r="L31" s="76"/>
      <c r="M31" s="76">
        <v>17112675</v>
      </c>
      <c r="N31" s="76"/>
      <c r="O31" s="76">
        <v>118036</v>
      </c>
      <c r="P31" s="76"/>
      <c r="Q31" s="76">
        <v>0</v>
      </c>
      <c r="R31" s="76"/>
      <c r="S31" s="76">
        <v>234284</v>
      </c>
      <c r="T31" s="76"/>
      <c r="U31" s="76">
        <v>1195006</v>
      </c>
      <c r="V31" s="76"/>
      <c r="W31" s="76">
        <v>998291</v>
      </c>
      <c r="X31" s="76"/>
      <c r="Y31" s="76">
        <f t="shared" si="2"/>
        <v>73811809</v>
      </c>
      <c r="Z31" s="76"/>
      <c r="AA31" s="76">
        <f>+'St of Activities - GA Rev'!X31-'St of Activities - GA Exp'!Y31</f>
        <v>1642891</v>
      </c>
      <c r="AB31" s="76"/>
      <c r="AC31" s="76">
        <v>179006817</v>
      </c>
      <c r="AD31" s="76"/>
      <c r="AE31" s="76">
        <f t="shared" si="1"/>
        <v>180649708</v>
      </c>
      <c r="AF31" s="76"/>
      <c r="AG31" s="77">
        <f>+'St of Net Assets - GA'!W31-'St of Activities - GA Exp'!AE31</f>
        <v>0</v>
      </c>
    </row>
    <row r="32" spans="1:33" s="82" customFormat="1" ht="12.75" hidden="1">
      <c r="A32" s="75" t="s">
        <v>31</v>
      </c>
      <c r="B32" s="76"/>
      <c r="C32" s="76">
        <v>0</v>
      </c>
      <c r="D32" s="76"/>
      <c r="E32" s="76">
        <v>0</v>
      </c>
      <c r="F32" s="76"/>
      <c r="G32" s="76">
        <v>0</v>
      </c>
      <c r="H32" s="76"/>
      <c r="I32" s="76">
        <v>0</v>
      </c>
      <c r="J32" s="76"/>
      <c r="K32" s="76">
        <v>0</v>
      </c>
      <c r="L32" s="76"/>
      <c r="M32" s="76">
        <v>0</v>
      </c>
      <c r="N32" s="76"/>
      <c r="O32" s="76">
        <v>0</v>
      </c>
      <c r="P32" s="76"/>
      <c r="Q32" s="76">
        <v>0</v>
      </c>
      <c r="R32" s="76"/>
      <c r="S32" s="76">
        <v>0</v>
      </c>
      <c r="T32" s="76"/>
      <c r="U32" s="76">
        <v>0</v>
      </c>
      <c r="V32" s="76"/>
      <c r="W32" s="76">
        <v>0</v>
      </c>
      <c r="X32" s="76"/>
      <c r="Y32" s="76">
        <f t="shared" si="2"/>
        <v>0</v>
      </c>
      <c r="Z32" s="76"/>
      <c r="AA32" s="76">
        <f>+'St of Activities - GA Rev'!X32-'St of Activities - GA Exp'!Y32</f>
        <v>0</v>
      </c>
      <c r="AB32" s="76"/>
      <c r="AC32" s="76">
        <v>0</v>
      </c>
      <c r="AD32" s="76"/>
      <c r="AE32" s="76">
        <f t="shared" si="1"/>
        <v>0</v>
      </c>
      <c r="AF32" s="76"/>
      <c r="AG32" s="77">
        <f>+'St of Net Assets - GA'!W32-'St of Activities - GA Exp'!AE32</f>
        <v>0</v>
      </c>
    </row>
    <row r="33" spans="1:33" s="82" customFormat="1" ht="12.75">
      <c r="A33" s="75" t="s">
        <v>32</v>
      </c>
      <c r="B33" s="76"/>
      <c r="C33" s="76">
        <v>82189</v>
      </c>
      <c r="D33" s="76"/>
      <c r="E33" s="76">
        <v>63359</v>
      </c>
      <c r="F33" s="76"/>
      <c r="G33" s="76">
        <v>114442</v>
      </c>
      <c r="H33" s="76"/>
      <c r="I33" s="76">
        <v>27066</v>
      </c>
      <c r="J33" s="76"/>
      <c r="K33" s="76">
        <v>249319</v>
      </c>
      <c r="L33" s="76"/>
      <c r="M33" s="76">
        <v>324213</v>
      </c>
      <c r="N33" s="76"/>
      <c r="O33" s="76">
        <v>5505</v>
      </c>
      <c r="P33" s="76"/>
      <c r="Q33" s="76">
        <v>14250</v>
      </c>
      <c r="R33" s="76"/>
      <c r="S33" s="76">
        <v>0</v>
      </c>
      <c r="T33" s="76"/>
      <c r="U33" s="76">
        <v>7753</v>
      </c>
      <c r="V33" s="76"/>
      <c r="W33" s="76">
        <v>8091</v>
      </c>
      <c r="X33" s="76"/>
      <c r="Y33" s="76">
        <f t="shared" si="2"/>
        <v>896187</v>
      </c>
      <c r="Z33" s="76"/>
      <c r="AA33" s="76">
        <f>+'St of Activities - GA Rev'!X33-'St of Activities - GA Exp'!Y33</f>
        <v>24868</v>
      </c>
      <c r="AB33" s="76"/>
      <c r="AC33" s="76">
        <v>738488</v>
      </c>
      <c r="AD33" s="76"/>
      <c r="AE33" s="76">
        <f t="shared" si="1"/>
        <v>763356</v>
      </c>
      <c r="AF33" s="76"/>
      <c r="AG33" s="77">
        <f>+'St of Net Assets - GA'!W33-'St of Activities - GA Exp'!AE33</f>
        <v>0</v>
      </c>
    </row>
    <row r="34" spans="1:33" s="82" customFormat="1" ht="12.75">
      <c r="A34" s="75" t="s">
        <v>33</v>
      </c>
      <c r="B34" s="76"/>
      <c r="C34" s="76">
        <v>4116193</v>
      </c>
      <c r="D34" s="76"/>
      <c r="E34" s="76">
        <v>1441795</v>
      </c>
      <c r="F34" s="76"/>
      <c r="G34" s="76">
        <v>5666565</v>
      </c>
      <c r="H34" s="76"/>
      <c r="I34" s="76">
        <v>2933349</v>
      </c>
      <c r="J34" s="76"/>
      <c r="K34" s="76">
        <v>4494179</v>
      </c>
      <c r="L34" s="76"/>
      <c r="M34" s="76">
        <v>5827847</v>
      </c>
      <c r="N34" s="76"/>
      <c r="O34" s="76">
        <v>1106758</v>
      </c>
      <c r="P34" s="76"/>
      <c r="Q34" s="76">
        <v>0</v>
      </c>
      <c r="R34" s="76"/>
      <c r="S34" s="76">
        <v>999816</v>
      </c>
      <c r="T34" s="76"/>
      <c r="U34" s="76">
        <v>844037</v>
      </c>
      <c r="V34" s="76"/>
      <c r="W34" s="76">
        <v>91143</v>
      </c>
      <c r="X34" s="76"/>
      <c r="Y34" s="76">
        <f t="shared" si="2"/>
        <v>27521682</v>
      </c>
      <c r="Z34" s="76"/>
      <c r="AA34" s="76">
        <f>+'St of Activities - GA Rev'!X34-'St of Activities - GA Exp'!Y34</f>
        <v>4678369</v>
      </c>
      <c r="AB34" s="76"/>
      <c r="AC34" s="76">
        <v>34523180</v>
      </c>
      <c r="AD34" s="76"/>
      <c r="AE34" s="76">
        <f t="shared" si="1"/>
        <v>39201549</v>
      </c>
      <c r="AF34" s="76"/>
      <c r="AG34" s="77">
        <f>+'St of Net Assets - GA'!W34-'St of Activities - GA Exp'!AE34</f>
        <v>0</v>
      </c>
    </row>
    <row r="35" spans="1:33" s="82" customFormat="1" ht="12.75">
      <c r="A35" s="75" t="s">
        <v>34</v>
      </c>
      <c r="B35" s="76"/>
      <c r="C35" s="76">
        <v>2371674</v>
      </c>
      <c r="D35" s="76"/>
      <c r="E35" s="76">
        <v>1127354</v>
      </c>
      <c r="F35" s="76"/>
      <c r="G35" s="76">
        <v>3636024</v>
      </c>
      <c r="H35" s="76"/>
      <c r="I35" s="76">
        <v>2693996</v>
      </c>
      <c r="J35" s="76"/>
      <c r="K35" s="76">
        <v>3279588</v>
      </c>
      <c r="L35" s="76"/>
      <c r="M35" s="76">
        <v>8935988</v>
      </c>
      <c r="N35" s="76"/>
      <c r="O35" s="76">
        <v>613191</v>
      </c>
      <c r="P35" s="76"/>
      <c r="Q35" s="76">
        <v>182899</v>
      </c>
      <c r="R35" s="76"/>
      <c r="S35" s="76">
        <v>810866</v>
      </c>
      <c r="T35" s="76"/>
      <c r="U35" s="76">
        <v>0</v>
      </c>
      <c r="V35" s="76"/>
      <c r="W35" s="76">
        <v>52686</v>
      </c>
      <c r="X35" s="76"/>
      <c r="Y35" s="76">
        <f t="shared" si="2"/>
        <v>23704266</v>
      </c>
      <c r="Z35" s="76"/>
      <c r="AA35" s="76">
        <f>+'St of Activities - GA Rev'!X35-'St of Activities - GA Exp'!Y35</f>
        <v>4312632</v>
      </c>
      <c r="AB35" s="76"/>
      <c r="AC35" s="76">
        <v>13251402</v>
      </c>
      <c r="AD35" s="76"/>
      <c r="AE35" s="76">
        <f t="shared" si="1"/>
        <v>17564034</v>
      </c>
      <c r="AF35" s="76"/>
      <c r="AG35" s="77">
        <f>+'St of Net Assets - GA'!W35-'St of Activities - GA Exp'!AE35</f>
        <v>0</v>
      </c>
    </row>
    <row r="36" spans="1:33" s="82" customFormat="1" ht="12.75">
      <c r="A36" s="75" t="s">
        <v>35</v>
      </c>
      <c r="B36" s="76"/>
      <c r="C36" s="76">
        <v>7459565</v>
      </c>
      <c r="D36" s="76"/>
      <c r="E36" s="76">
        <v>2867595</v>
      </c>
      <c r="F36" s="76"/>
      <c r="G36" s="76">
        <v>8886733</v>
      </c>
      <c r="H36" s="76"/>
      <c r="I36" s="76">
        <v>9770673</v>
      </c>
      <c r="J36" s="76"/>
      <c r="K36" s="76">
        <v>4986995</v>
      </c>
      <c r="L36" s="76"/>
      <c r="M36" s="76">
        <v>26528640</v>
      </c>
      <c r="N36" s="76"/>
      <c r="O36" s="76">
        <v>33851</v>
      </c>
      <c r="P36" s="76"/>
      <c r="Q36" s="76">
        <v>0</v>
      </c>
      <c r="R36" s="76"/>
      <c r="S36" s="76">
        <v>1185359</v>
      </c>
      <c r="T36" s="76"/>
      <c r="U36" s="76">
        <v>575479</v>
      </c>
      <c r="V36" s="76"/>
      <c r="W36" s="76">
        <v>383016</v>
      </c>
      <c r="X36" s="76"/>
      <c r="Y36" s="76">
        <f t="shared" si="2"/>
        <v>62677906</v>
      </c>
      <c r="Z36" s="76"/>
      <c r="AA36" s="76">
        <f>+'St of Activities - GA Rev'!X36-'St of Activities - GA Exp'!Y36</f>
        <v>2373808</v>
      </c>
      <c r="AB36" s="76"/>
      <c r="AC36" s="76">
        <v>145234775</v>
      </c>
      <c r="AD36" s="76"/>
      <c r="AE36" s="76">
        <f t="shared" si="1"/>
        <v>147608583</v>
      </c>
      <c r="AF36" s="76"/>
      <c r="AG36" s="77">
        <f>+'St of Net Assets - GA'!W36-'St of Activities - GA Exp'!AE36</f>
        <v>0</v>
      </c>
    </row>
    <row r="37" spans="1:33" s="82" customFormat="1" ht="12.75">
      <c r="A37" s="75" t="s">
        <v>194</v>
      </c>
      <c r="B37" s="76"/>
      <c r="C37" s="76">
        <v>14383312</v>
      </c>
      <c r="D37" s="76"/>
      <c r="E37" s="76">
        <v>6401886</v>
      </c>
      <c r="F37" s="76"/>
      <c r="G37" s="76">
        <v>20896072</v>
      </c>
      <c r="H37" s="76"/>
      <c r="I37" s="76">
        <v>4565713</v>
      </c>
      <c r="J37" s="76"/>
      <c r="K37" s="76">
        <v>14393768</v>
      </c>
      <c r="L37" s="76"/>
      <c r="M37" s="76">
        <v>24871582</v>
      </c>
      <c r="N37" s="76"/>
      <c r="O37" s="76">
        <v>1493063</v>
      </c>
      <c r="P37" s="76"/>
      <c r="Q37" s="76">
        <v>2876940</v>
      </c>
      <c r="R37" s="76"/>
      <c r="S37" s="76">
        <v>0</v>
      </c>
      <c r="T37" s="76"/>
      <c r="U37" s="76">
        <v>0</v>
      </c>
      <c r="V37" s="76"/>
      <c r="W37" s="76">
        <v>899470</v>
      </c>
      <c r="X37" s="76"/>
      <c r="Y37" s="76">
        <f t="shared" si="2"/>
        <v>90781806</v>
      </c>
      <c r="Z37" s="76"/>
      <c r="AA37" s="76">
        <f>+'St of Activities - GA Rev'!X37-'St of Activities - GA Exp'!Y37</f>
        <v>5059297</v>
      </c>
      <c r="AB37" s="76"/>
      <c r="AC37" s="76">
        <v>179315054</v>
      </c>
      <c r="AD37" s="76"/>
      <c r="AE37" s="76">
        <f t="shared" si="1"/>
        <v>184374351</v>
      </c>
      <c r="AF37" s="76"/>
      <c r="AG37" s="77">
        <f>+'St of Net Assets - GA'!W37-'St of Activities - GA Exp'!AE37</f>
        <v>0</v>
      </c>
    </row>
    <row r="38" spans="1:33" s="82" customFormat="1" ht="12.75">
      <c r="A38" s="75" t="s">
        <v>36</v>
      </c>
      <c r="B38" s="76"/>
      <c r="C38" s="76">
        <v>5121907</v>
      </c>
      <c r="D38" s="76"/>
      <c r="E38" s="76">
        <v>2627324</v>
      </c>
      <c r="F38" s="76"/>
      <c r="G38" s="76">
        <v>3405721</v>
      </c>
      <c r="H38" s="76"/>
      <c r="I38" s="76">
        <v>11731112</v>
      </c>
      <c r="J38" s="76"/>
      <c r="K38" s="76">
        <v>5577953</v>
      </c>
      <c r="L38" s="76"/>
      <c r="M38" s="76">
        <v>12207583</v>
      </c>
      <c r="N38" s="76"/>
      <c r="O38" s="76">
        <v>780820</v>
      </c>
      <c r="P38" s="76"/>
      <c r="Q38" s="76">
        <v>0</v>
      </c>
      <c r="R38" s="76"/>
      <c r="S38" s="76">
        <v>0</v>
      </c>
      <c r="T38" s="76"/>
      <c r="U38" s="76">
        <v>282219</v>
      </c>
      <c r="V38" s="76"/>
      <c r="W38" s="76">
        <v>370882</v>
      </c>
      <c r="X38" s="76"/>
      <c r="Y38" s="76">
        <f t="shared" si="2"/>
        <v>42105521</v>
      </c>
      <c r="Z38" s="76"/>
      <c r="AA38" s="76">
        <f>+'St of Activities - GA Rev'!X38-'St of Activities - GA Exp'!Y38</f>
        <v>-5307203</v>
      </c>
      <c r="AB38" s="76"/>
      <c r="AC38" s="76">
        <v>90358797</v>
      </c>
      <c r="AD38" s="76"/>
      <c r="AE38" s="76">
        <f t="shared" si="1"/>
        <v>85051594</v>
      </c>
      <c r="AF38" s="76"/>
      <c r="AG38" s="77">
        <f>+'St of Net Assets - GA'!W38-'St of Activities - GA Exp'!AE38</f>
        <v>0</v>
      </c>
    </row>
    <row r="39" spans="1:33" s="82" customFormat="1" ht="12.75">
      <c r="A39" s="75" t="s">
        <v>37</v>
      </c>
      <c r="B39" s="76"/>
      <c r="C39" s="76">
        <v>67679</v>
      </c>
      <c r="D39" s="76"/>
      <c r="E39" s="76">
        <v>114395</v>
      </c>
      <c r="F39" s="76"/>
      <c r="G39" s="76">
        <v>105239</v>
      </c>
      <c r="H39" s="76"/>
      <c r="I39" s="76">
        <v>319087</v>
      </c>
      <c r="J39" s="76"/>
      <c r="K39" s="76">
        <v>233129</v>
      </c>
      <c r="L39" s="76"/>
      <c r="M39" s="76">
        <v>60272</v>
      </c>
      <c r="N39" s="76"/>
      <c r="O39" s="76">
        <v>25088</v>
      </c>
      <c r="P39" s="76"/>
      <c r="Q39" s="76">
        <v>6345</v>
      </c>
      <c r="R39" s="76"/>
      <c r="S39" s="76">
        <f>5731+8167</f>
        <v>13898</v>
      </c>
      <c r="T39" s="76"/>
      <c r="U39" s="76">
        <v>0</v>
      </c>
      <c r="V39" s="76"/>
      <c r="W39" s="76">
        <v>9</v>
      </c>
      <c r="X39" s="76"/>
      <c r="Y39" s="76">
        <f t="shared" si="2"/>
        <v>945141</v>
      </c>
      <c r="Z39" s="76"/>
      <c r="AA39" s="76">
        <f>+'St of Activities - GA Rev'!X39-'St of Activities - GA Exp'!Y39</f>
        <v>-23649</v>
      </c>
      <c r="AB39" s="76"/>
      <c r="AC39" s="76">
        <v>800193</v>
      </c>
      <c r="AD39" s="76"/>
      <c r="AE39" s="76">
        <f t="shared" si="1"/>
        <v>776544</v>
      </c>
      <c r="AF39" s="76"/>
      <c r="AG39" s="77">
        <f>+'St of Net Assets - GA'!W39-'St of Activities - GA Exp'!AE39</f>
        <v>0</v>
      </c>
    </row>
    <row r="40" spans="1:33" s="82" customFormat="1" ht="12.75">
      <c r="A40" s="75" t="s">
        <v>38</v>
      </c>
      <c r="B40" s="76"/>
      <c r="C40" s="76">
        <v>5490477</v>
      </c>
      <c r="D40" s="76"/>
      <c r="E40" s="76">
        <v>2892307</v>
      </c>
      <c r="F40" s="76"/>
      <c r="G40" s="76">
        <v>6312041</v>
      </c>
      <c r="H40" s="76"/>
      <c r="I40" s="76">
        <v>4083327</v>
      </c>
      <c r="J40" s="76"/>
      <c r="K40" s="76">
        <f>4985761+8636653+640625</f>
        <v>14263039</v>
      </c>
      <c r="L40" s="76"/>
      <c r="M40" s="76">
        <f>5723687+3494991</f>
        <v>9218678</v>
      </c>
      <c r="N40" s="76"/>
      <c r="O40" s="76">
        <v>373065</v>
      </c>
      <c r="P40" s="76"/>
      <c r="Q40" s="76">
        <v>352476</v>
      </c>
      <c r="R40" s="76"/>
      <c r="S40" s="76">
        <v>0</v>
      </c>
      <c r="T40" s="76"/>
      <c r="U40" s="76">
        <v>374166</v>
      </c>
      <c r="V40" s="76"/>
      <c r="W40" s="76">
        <v>850945</v>
      </c>
      <c r="X40" s="76"/>
      <c r="Y40" s="76">
        <f t="shared" si="2"/>
        <v>44210521</v>
      </c>
      <c r="Z40" s="76"/>
      <c r="AA40" s="76">
        <f>+'St of Activities - GA Rev'!X40-'St of Activities - GA Exp'!Y40</f>
        <v>5682123</v>
      </c>
      <c r="AB40" s="76"/>
      <c r="AC40" s="76">
        <v>75044343</v>
      </c>
      <c r="AD40" s="76"/>
      <c r="AE40" s="76">
        <f t="shared" si="1"/>
        <v>80726466</v>
      </c>
      <c r="AF40" s="76"/>
      <c r="AG40" s="77">
        <f>+'St of Net Assets - GA'!W40-'St of Activities - GA Exp'!AE40</f>
        <v>0</v>
      </c>
    </row>
    <row r="41" spans="1:33" s="82" customFormat="1" ht="12.75" hidden="1">
      <c r="A41" s="75" t="s">
        <v>177</v>
      </c>
      <c r="B41" s="76"/>
      <c r="C41" s="76">
        <v>0</v>
      </c>
      <c r="D41" s="76"/>
      <c r="E41" s="76">
        <v>0</v>
      </c>
      <c r="F41" s="76"/>
      <c r="G41" s="76">
        <v>0</v>
      </c>
      <c r="H41" s="76"/>
      <c r="I41" s="76">
        <v>0</v>
      </c>
      <c r="J41" s="76"/>
      <c r="K41" s="76">
        <v>0</v>
      </c>
      <c r="L41" s="76"/>
      <c r="M41" s="76">
        <v>0</v>
      </c>
      <c r="N41" s="76"/>
      <c r="O41" s="76">
        <v>0</v>
      </c>
      <c r="P41" s="76"/>
      <c r="Q41" s="76">
        <v>0</v>
      </c>
      <c r="R41" s="76"/>
      <c r="S41" s="76">
        <v>0</v>
      </c>
      <c r="T41" s="76"/>
      <c r="U41" s="76">
        <v>0</v>
      </c>
      <c r="V41" s="76"/>
      <c r="W41" s="76">
        <v>0</v>
      </c>
      <c r="X41" s="76"/>
      <c r="Y41" s="76">
        <f t="shared" si="2"/>
        <v>0</v>
      </c>
      <c r="Z41" s="76"/>
      <c r="AA41" s="76">
        <f>+'St of Activities - GA Rev'!X41-'St of Activities - GA Exp'!Y41</f>
        <v>0</v>
      </c>
      <c r="AB41" s="76"/>
      <c r="AC41" s="76">
        <v>0</v>
      </c>
      <c r="AD41" s="76"/>
      <c r="AE41" s="76">
        <f t="shared" si="1"/>
        <v>0</v>
      </c>
      <c r="AF41" s="76"/>
      <c r="AG41" s="77">
        <f>+'St of Net Assets - GA'!W41-'St of Activities - GA Exp'!AE41</f>
        <v>0</v>
      </c>
    </row>
    <row r="42" spans="1:33" s="82" customFormat="1" ht="12.75" hidden="1">
      <c r="A42" s="75" t="s">
        <v>39</v>
      </c>
      <c r="B42" s="76"/>
      <c r="C42" s="76">
        <v>0</v>
      </c>
      <c r="D42" s="76"/>
      <c r="E42" s="76">
        <v>0</v>
      </c>
      <c r="F42" s="76"/>
      <c r="G42" s="76">
        <v>0</v>
      </c>
      <c r="H42" s="76"/>
      <c r="I42" s="76">
        <v>0</v>
      </c>
      <c r="J42" s="76"/>
      <c r="K42" s="76">
        <v>0</v>
      </c>
      <c r="L42" s="76"/>
      <c r="M42" s="76">
        <v>0</v>
      </c>
      <c r="N42" s="76"/>
      <c r="O42" s="76">
        <v>0</v>
      </c>
      <c r="P42" s="76"/>
      <c r="Q42" s="76">
        <v>0</v>
      </c>
      <c r="R42" s="76"/>
      <c r="S42" s="76">
        <v>0</v>
      </c>
      <c r="T42" s="76"/>
      <c r="U42" s="76">
        <v>0</v>
      </c>
      <c r="V42" s="76"/>
      <c r="W42" s="76">
        <v>0</v>
      </c>
      <c r="X42" s="76"/>
      <c r="Y42" s="76">
        <f t="shared" si="2"/>
        <v>0</v>
      </c>
      <c r="Z42" s="76"/>
      <c r="AA42" s="76">
        <f>+'St of Activities - GA Rev'!X42-'St of Activities - GA Exp'!Y42</f>
        <v>0</v>
      </c>
      <c r="AB42" s="76"/>
      <c r="AC42" s="76">
        <v>0</v>
      </c>
      <c r="AD42" s="76"/>
      <c r="AE42" s="76">
        <f t="shared" si="1"/>
        <v>0</v>
      </c>
      <c r="AF42" s="76"/>
      <c r="AG42" s="77">
        <f>+'St of Net Assets - GA'!W42-'St of Activities - GA Exp'!AE42</f>
        <v>0</v>
      </c>
    </row>
    <row r="43" spans="1:33" s="82" customFormat="1" ht="12.75">
      <c r="A43" s="75" t="s">
        <v>40</v>
      </c>
      <c r="B43" s="76"/>
      <c r="C43" s="76">
        <v>2615518</v>
      </c>
      <c r="D43" s="76"/>
      <c r="E43" s="76">
        <v>984549</v>
      </c>
      <c r="F43" s="76"/>
      <c r="G43" s="76">
        <v>2228945</v>
      </c>
      <c r="H43" s="76"/>
      <c r="I43" s="76">
        <v>3883308</v>
      </c>
      <c r="J43" s="76"/>
      <c r="K43" s="76">
        <v>1631236</v>
      </c>
      <c r="L43" s="76"/>
      <c r="M43" s="76">
        <v>11198977</v>
      </c>
      <c r="N43" s="76"/>
      <c r="O43" s="76">
        <v>465380</v>
      </c>
      <c r="P43" s="76"/>
      <c r="Q43" s="76">
        <v>0</v>
      </c>
      <c r="R43" s="76"/>
      <c r="S43" s="76">
        <v>1241370</v>
      </c>
      <c r="T43" s="76"/>
      <c r="U43" s="76">
        <v>0</v>
      </c>
      <c r="V43" s="76"/>
      <c r="W43" s="76">
        <v>269424</v>
      </c>
      <c r="X43" s="76"/>
      <c r="Y43" s="76">
        <f t="shared" si="2"/>
        <v>24518707</v>
      </c>
      <c r="Z43" s="76"/>
      <c r="AA43" s="76">
        <f>+'St of Activities - GA Rev'!X43-'St of Activities - GA Exp'!Y43</f>
        <v>1442589</v>
      </c>
      <c r="AB43" s="76"/>
      <c r="AC43" s="76">
        <v>42120396</v>
      </c>
      <c r="AD43" s="76"/>
      <c r="AE43" s="76">
        <f t="shared" si="1"/>
        <v>43562985</v>
      </c>
      <c r="AF43" s="76"/>
      <c r="AG43" s="77">
        <f>+'St of Net Assets - GA'!W43-'St of Activities - GA Exp'!AE43</f>
        <v>0</v>
      </c>
    </row>
    <row r="44" spans="1:33" s="82" customFormat="1" ht="12.75" hidden="1">
      <c r="A44" s="75" t="s">
        <v>41</v>
      </c>
      <c r="B44" s="76"/>
      <c r="C44" s="76">
        <v>0</v>
      </c>
      <c r="D44" s="76"/>
      <c r="E44" s="76">
        <v>0</v>
      </c>
      <c r="F44" s="76"/>
      <c r="G44" s="76">
        <v>0</v>
      </c>
      <c r="H44" s="76"/>
      <c r="I44" s="76">
        <v>0</v>
      </c>
      <c r="J44" s="76"/>
      <c r="K44" s="76">
        <v>0</v>
      </c>
      <c r="L44" s="76"/>
      <c r="M44" s="76">
        <v>0</v>
      </c>
      <c r="N44" s="76"/>
      <c r="O44" s="76">
        <v>0</v>
      </c>
      <c r="P44" s="76"/>
      <c r="Q44" s="76">
        <v>0</v>
      </c>
      <c r="R44" s="76"/>
      <c r="S44" s="76">
        <v>0</v>
      </c>
      <c r="T44" s="76"/>
      <c r="U44" s="76">
        <v>0</v>
      </c>
      <c r="V44" s="76"/>
      <c r="W44" s="76">
        <v>0</v>
      </c>
      <c r="X44" s="76"/>
      <c r="Y44" s="76">
        <f t="shared" si="2"/>
        <v>0</v>
      </c>
      <c r="Z44" s="76"/>
      <c r="AA44" s="76">
        <f>+'St of Activities - GA Rev'!X44-'St of Activities - GA Exp'!Y44</f>
        <v>0</v>
      </c>
      <c r="AB44" s="76"/>
      <c r="AC44" s="76">
        <v>0</v>
      </c>
      <c r="AD44" s="76"/>
      <c r="AE44" s="76">
        <f t="shared" si="1"/>
        <v>0</v>
      </c>
      <c r="AF44" s="76"/>
      <c r="AG44" s="77">
        <f>+'St of Net Assets - GA'!W44-'St of Activities - GA Exp'!AE44</f>
        <v>0</v>
      </c>
    </row>
    <row r="45" spans="1:33" s="82" customFormat="1" ht="12.75">
      <c r="A45" s="75" t="s">
        <v>42</v>
      </c>
      <c r="B45" s="76"/>
      <c r="C45" s="76">
        <v>2354117</v>
      </c>
      <c r="D45" s="76"/>
      <c r="E45" s="76">
        <v>1439283</v>
      </c>
      <c r="F45" s="76"/>
      <c r="G45" s="76">
        <v>2874922</v>
      </c>
      <c r="H45" s="76"/>
      <c r="I45" s="76">
        <v>2590961</v>
      </c>
      <c r="J45" s="76"/>
      <c r="K45" s="76">
        <v>3031239</v>
      </c>
      <c r="L45" s="76"/>
      <c r="M45" s="76">
        <v>7375166</v>
      </c>
      <c r="N45" s="76"/>
      <c r="O45" s="76">
        <v>379905</v>
      </c>
      <c r="P45" s="76"/>
      <c r="Q45" s="76">
        <v>215362</v>
      </c>
      <c r="R45" s="76"/>
      <c r="S45" s="76">
        <v>628015</v>
      </c>
      <c r="T45" s="76"/>
      <c r="U45" s="76">
        <v>0</v>
      </c>
      <c r="V45" s="76"/>
      <c r="W45" s="76">
        <v>77401</v>
      </c>
      <c r="X45" s="76"/>
      <c r="Y45" s="76">
        <f t="shared" si="2"/>
        <v>20966371</v>
      </c>
      <c r="Z45" s="76"/>
      <c r="AA45" s="76">
        <f>+'St of Activities - GA Rev'!X45-'St of Activities - GA Exp'!Y45</f>
        <v>1304809</v>
      </c>
      <c r="AB45" s="76"/>
      <c r="AC45" s="76">
        <v>13173378</v>
      </c>
      <c r="AD45" s="76"/>
      <c r="AE45" s="76">
        <f t="shared" si="1"/>
        <v>14478187</v>
      </c>
      <c r="AF45" s="76"/>
      <c r="AG45" s="77">
        <f>+'St of Net Assets - GA'!W45-'St of Activities - GA Exp'!AE45</f>
        <v>0</v>
      </c>
    </row>
    <row r="46" spans="1:33" s="82" customFormat="1" ht="12.75">
      <c r="A46" s="75" t="s">
        <v>43</v>
      </c>
      <c r="B46" s="76"/>
      <c r="C46" s="76">
        <v>4046800</v>
      </c>
      <c r="D46" s="76"/>
      <c r="E46" s="76">
        <v>1604791</v>
      </c>
      <c r="F46" s="76"/>
      <c r="G46" s="76">
        <v>4116338</v>
      </c>
      <c r="H46" s="76"/>
      <c r="I46" s="76">
        <v>4129490</v>
      </c>
      <c r="J46" s="76"/>
      <c r="K46" s="76">
        <v>172457</v>
      </c>
      <c r="L46" s="76"/>
      <c r="M46" s="76">
        <v>10816474</v>
      </c>
      <c r="N46" s="76"/>
      <c r="O46" s="76">
        <v>0</v>
      </c>
      <c r="P46" s="76"/>
      <c r="Q46" s="76">
        <v>419284</v>
      </c>
      <c r="R46" s="76"/>
      <c r="S46" s="76">
        <v>880</v>
      </c>
      <c r="T46" s="76"/>
      <c r="U46" s="76">
        <v>220981</v>
      </c>
      <c r="V46" s="76"/>
      <c r="W46" s="76">
        <v>326124</v>
      </c>
      <c r="X46" s="76"/>
      <c r="Y46" s="76">
        <f t="shared" si="2"/>
        <v>25853619</v>
      </c>
      <c r="Z46" s="76"/>
      <c r="AA46" s="76">
        <f>+'St of Activities - GA Rev'!X46-'St of Activities - GA Exp'!Y46</f>
        <v>1455100</v>
      </c>
      <c r="AB46" s="76"/>
      <c r="AC46" s="76">
        <v>29602826</v>
      </c>
      <c r="AD46" s="76"/>
      <c r="AE46" s="76">
        <f t="shared" si="1"/>
        <v>31057926</v>
      </c>
      <c r="AF46" s="76"/>
      <c r="AG46" s="77">
        <f>+'St of Net Assets - GA'!W46-'St of Activities - GA Exp'!AE46</f>
        <v>0</v>
      </c>
    </row>
    <row r="47" spans="1:33" s="82" customFormat="1" ht="12.75">
      <c r="A47" s="75" t="s">
        <v>44</v>
      </c>
      <c r="B47" s="76"/>
      <c r="C47" s="76">
        <v>6148404</v>
      </c>
      <c r="D47" s="76"/>
      <c r="E47" s="76">
        <v>2108324</v>
      </c>
      <c r="F47" s="76"/>
      <c r="G47" s="76">
        <v>5722047</v>
      </c>
      <c r="H47" s="76"/>
      <c r="I47" s="76">
        <v>6473238</v>
      </c>
      <c r="J47" s="76"/>
      <c r="K47" s="76">
        <v>6680406</v>
      </c>
      <c r="L47" s="76"/>
      <c r="M47" s="76">
        <v>13423408</v>
      </c>
      <c r="N47" s="76"/>
      <c r="O47" s="76">
        <v>0</v>
      </c>
      <c r="P47" s="76"/>
      <c r="Q47" s="76">
        <v>56727</v>
      </c>
      <c r="R47" s="76"/>
      <c r="S47" s="76">
        <v>476834</v>
      </c>
      <c r="T47" s="76"/>
      <c r="U47" s="76">
        <v>0</v>
      </c>
      <c r="V47" s="76"/>
      <c r="W47" s="76">
        <v>429606</v>
      </c>
      <c r="X47" s="76"/>
      <c r="Y47" s="76">
        <f t="shared" si="2"/>
        <v>41518994</v>
      </c>
      <c r="Z47" s="76"/>
      <c r="AA47" s="76">
        <f>+'St of Activities - GA Rev'!X47-'St of Activities - GA Exp'!Y47</f>
        <v>-243899</v>
      </c>
      <c r="AB47" s="76"/>
      <c r="AC47" s="76">
        <v>61721211</v>
      </c>
      <c r="AD47" s="76"/>
      <c r="AE47" s="76">
        <f t="shared" si="1"/>
        <v>61477312</v>
      </c>
      <c r="AF47" s="76"/>
      <c r="AG47" s="77">
        <f>+'St of Net Assets - GA'!W47-'St of Activities - GA Exp'!AE47</f>
        <v>0</v>
      </c>
    </row>
    <row r="48" spans="1:33" s="82" customFormat="1" ht="12.75" hidden="1">
      <c r="A48" s="75" t="s">
        <v>45</v>
      </c>
      <c r="B48" s="76"/>
      <c r="C48" s="76">
        <v>0</v>
      </c>
      <c r="D48" s="76"/>
      <c r="E48" s="76">
        <v>0</v>
      </c>
      <c r="F48" s="76"/>
      <c r="G48" s="76">
        <v>0</v>
      </c>
      <c r="H48" s="76"/>
      <c r="I48" s="76">
        <v>0</v>
      </c>
      <c r="J48" s="76"/>
      <c r="K48" s="76">
        <v>0</v>
      </c>
      <c r="L48" s="76"/>
      <c r="M48" s="76">
        <v>0</v>
      </c>
      <c r="N48" s="76"/>
      <c r="O48" s="76">
        <v>0</v>
      </c>
      <c r="P48" s="76"/>
      <c r="Q48" s="76">
        <v>0</v>
      </c>
      <c r="R48" s="76"/>
      <c r="S48" s="76">
        <v>0</v>
      </c>
      <c r="T48" s="76"/>
      <c r="U48" s="76">
        <v>0</v>
      </c>
      <c r="V48" s="76"/>
      <c r="W48" s="76">
        <v>0</v>
      </c>
      <c r="X48" s="76"/>
      <c r="Y48" s="76">
        <f t="shared" si="2"/>
        <v>0</v>
      </c>
      <c r="Z48" s="76"/>
      <c r="AA48" s="76">
        <f>+'St of Activities - GA Rev'!X48-'St of Activities - GA Exp'!Y48</f>
        <v>0</v>
      </c>
      <c r="AB48" s="76"/>
      <c r="AC48" s="76">
        <v>0</v>
      </c>
      <c r="AD48" s="76"/>
      <c r="AE48" s="76">
        <f t="shared" si="1"/>
        <v>0</v>
      </c>
      <c r="AF48" s="76"/>
      <c r="AG48" s="77">
        <f>+'St of Net Assets - GA'!W48-'St of Activities - GA Exp'!AE48</f>
        <v>0</v>
      </c>
    </row>
    <row r="49" spans="1:33" s="82" customFormat="1" ht="12.75">
      <c r="A49" s="75" t="s">
        <v>46</v>
      </c>
      <c r="B49" s="76"/>
      <c r="C49" s="76">
        <v>6682596</v>
      </c>
      <c r="D49" s="76"/>
      <c r="E49" s="76">
        <v>3955549</v>
      </c>
      <c r="F49" s="76"/>
      <c r="G49" s="76">
        <v>11341063</v>
      </c>
      <c r="H49" s="76"/>
      <c r="I49" s="76">
        <v>8234383</v>
      </c>
      <c r="J49" s="76"/>
      <c r="K49" s="76">
        <v>17141185</v>
      </c>
      <c r="L49" s="76"/>
      <c r="M49" s="76">
        <v>18056755</v>
      </c>
      <c r="N49" s="76"/>
      <c r="O49" s="76">
        <v>1737358</v>
      </c>
      <c r="P49" s="76"/>
      <c r="Q49" s="76">
        <v>20367</v>
      </c>
      <c r="R49" s="76"/>
      <c r="S49" s="76">
        <v>0</v>
      </c>
      <c r="T49" s="76"/>
      <c r="U49" s="76">
        <v>293695</v>
      </c>
      <c r="V49" s="76"/>
      <c r="W49" s="76">
        <v>1711286</v>
      </c>
      <c r="X49" s="76"/>
      <c r="Y49" s="76">
        <f t="shared" si="2"/>
        <v>69174237</v>
      </c>
      <c r="Z49" s="76"/>
      <c r="AA49" s="76">
        <f>+'St of Activities - GA Rev'!X49-'St of Activities - GA Exp'!Y49</f>
        <v>-1024108</v>
      </c>
      <c r="AB49" s="76"/>
      <c r="AC49" s="76">
        <v>73166868</v>
      </c>
      <c r="AD49" s="76"/>
      <c r="AE49" s="76">
        <f t="shared" si="1"/>
        <v>72142760</v>
      </c>
      <c r="AF49" s="76"/>
      <c r="AG49" s="77">
        <f>+'St of Net Assets - GA'!W49-'St of Activities - GA Exp'!AE49</f>
        <v>0</v>
      </c>
    </row>
    <row r="50" spans="1:33" s="82" customFormat="1" ht="12.75">
      <c r="A50" s="75" t="s">
        <v>47</v>
      </c>
      <c r="B50" s="76"/>
      <c r="C50" s="76">
        <v>7089635</v>
      </c>
      <c r="D50" s="76"/>
      <c r="E50" s="76">
        <v>1769703</v>
      </c>
      <c r="F50" s="76"/>
      <c r="G50" s="76">
        <v>5386148</v>
      </c>
      <c r="H50" s="76"/>
      <c r="I50" s="76">
        <v>2226958</v>
      </c>
      <c r="J50" s="76"/>
      <c r="K50" s="76">
        <v>466347</v>
      </c>
      <c r="L50" s="76"/>
      <c r="M50" s="76">
        <v>11960600</v>
      </c>
      <c r="N50" s="76"/>
      <c r="O50" s="76">
        <v>0</v>
      </c>
      <c r="P50" s="76"/>
      <c r="Q50" s="76">
        <v>0</v>
      </c>
      <c r="R50" s="76"/>
      <c r="S50" s="76">
        <v>0</v>
      </c>
      <c r="T50" s="76"/>
      <c r="U50" s="76">
        <v>0</v>
      </c>
      <c r="V50" s="76"/>
      <c r="W50" s="76">
        <v>619855</v>
      </c>
      <c r="X50" s="76"/>
      <c r="Y50" s="76">
        <f t="shared" si="2"/>
        <v>29519246</v>
      </c>
      <c r="Z50" s="76"/>
      <c r="AA50" s="76">
        <f>+'St of Activities - GA Rev'!X50-'St of Activities - GA Exp'!Y50</f>
        <v>-493189</v>
      </c>
      <c r="AB50" s="76"/>
      <c r="AC50" s="76">
        <v>34413110</v>
      </c>
      <c r="AD50" s="76"/>
      <c r="AE50" s="76">
        <f t="shared" si="1"/>
        <v>33919921</v>
      </c>
      <c r="AF50" s="76"/>
      <c r="AG50" s="77">
        <f>+'St of Net Assets - GA'!W50-'St of Activities - GA Exp'!AE50</f>
        <v>0</v>
      </c>
    </row>
    <row r="51" spans="1:33" s="82" customFormat="1" ht="12.75">
      <c r="A51" s="75" t="s">
        <v>48</v>
      </c>
      <c r="B51" s="76"/>
      <c r="C51" s="76">
        <v>16153326</v>
      </c>
      <c r="D51" s="76"/>
      <c r="E51" s="76">
        <v>38528424</v>
      </c>
      <c r="F51" s="76"/>
      <c r="G51" s="76">
        <v>0</v>
      </c>
      <c r="H51" s="76"/>
      <c r="I51" s="76">
        <v>10437532</v>
      </c>
      <c r="J51" s="76"/>
      <c r="K51" s="76">
        <v>19792038</v>
      </c>
      <c r="L51" s="76"/>
      <c r="M51" s="76">
        <v>66668782</v>
      </c>
      <c r="N51" s="76"/>
      <c r="O51" s="76">
        <v>2284601</v>
      </c>
      <c r="P51" s="76"/>
      <c r="Q51" s="76">
        <v>0</v>
      </c>
      <c r="R51" s="76"/>
      <c r="S51" s="76">
        <v>0</v>
      </c>
      <c r="T51" s="76"/>
      <c r="U51" s="76">
        <v>0</v>
      </c>
      <c r="V51" s="76"/>
      <c r="W51" s="76">
        <v>1454398</v>
      </c>
      <c r="X51" s="76"/>
      <c r="Y51" s="76">
        <f t="shared" si="2"/>
        <v>155319101</v>
      </c>
      <c r="Z51" s="76"/>
      <c r="AA51" s="76">
        <f>+'St of Activities - GA Rev'!X51-'St of Activities - GA Exp'!Y51</f>
        <v>-6971638</v>
      </c>
      <c r="AB51" s="76"/>
      <c r="AC51" s="76">
        <v>261408641</v>
      </c>
      <c r="AD51" s="76"/>
      <c r="AE51" s="76">
        <f t="shared" si="1"/>
        <v>254437003</v>
      </c>
      <c r="AF51" s="76"/>
      <c r="AG51" s="77">
        <f>+'St of Net Assets - GA'!W51-'St of Activities - GA Exp'!AE51</f>
        <v>0</v>
      </c>
    </row>
    <row r="52" spans="1:33" s="82" customFormat="1" ht="12.75" hidden="1">
      <c r="A52" s="75" t="s">
        <v>247</v>
      </c>
      <c r="B52" s="76"/>
      <c r="C52" s="76">
        <v>0</v>
      </c>
      <c r="D52" s="76"/>
      <c r="E52" s="76">
        <v>0</v>
      </c>
      <c r="F52" s="76"/>
      <c r="G52" s="76">
        <v>0</v>
      </c>
      <c r="H52" s="76"/>
      <c r="I52" s="76">
        <v>0</v>
      </c>
      <c r="J52" s="76"/>
      <c r="K52" s="76">
        <v>0</v>
      </c>
      <c r="L52" s="76"/>
      <c r="M52" s="76">
        <v>0</v>
      </c>
      <c r="N52" s="76"/>
      <c r="O52" s="76">
        <v>0</v>
      </c>
      <c r="P52" s="76"/>
      <c r="Q52" s="76">
        <v>0</v>
      </c>
      <c r="R52" s="76"/>
      <c r="S52" s="76">
        <v>0</v>
      </c>
      <c r="T52" s="76"/>
      <c r="U52" s="76">
        <v>0</v>
      </c>
      <c r="V52" s="76"/>
      <c r="W52" s="76">
        <v>0</v>
      </c>
      <c r="X52" s="76"/>
      <c r="Y52" s="76">
        <f t="shared" si="2"/>
        <v>0</v>
      </c>
      <c r="Z52" s="76"/>
      <c r="AA52" s="76">
        <f>+'St of Activities - GA Rev'!X52-'St of Activities - GA Exp'!Y52</f>
        <v>0</v>
      </c>
      <c r="AB52" s="76"/>
      <c r="AC52" s="76">
        <v>0</v>
      </c>
      <c r="AD52" s="76"/>
      <c r="AE52" s="76">
        <f t="shared" si="1"/>
        <v>0</v>
      </c>
      <c r="AF52" s="76"/>
      <c r="AG52" s="77">
        <f>+'St of Net Assets - GA'!W52-'St of Activities - GA Exp'!AE52</f>
        <v>0</v>
      </c>
    </row>
    <row r="53" spans="1:33" s="82" customFormat="1" ht="12.75">
      <c r="A53" s="75" t="s">
        <v>49</v>
      </c>
      <c r="B53" s="76"/>
      <c r="C53" s="76">
        <v>17532928</v>
      </c>
      <c r="D53" s="76"/>
      <c r="E53" s="76">
        <v>0</v>
      </c>
      <c r="F53" s="76"/>
      <c r="G53" s="76">
        <v>17278575</v>
      </c>
      <c r="H53" s="76"/>
      <c r="I53" s="76">
        <v>5541379</v>
      </c>
      <c r="J53" s="76"/>
      <c r="K53" s="76">
        <v>585703</v>
      </c>
      <c r="L53" s="76"/>
      <c r="M53" s="76">
        <v>37027296</v>
      </c>
      <c r="N53" s="76"/>
      <c r="O53" s="76">
        <v>1176260</v>
      </c>
      <c r="P53" s="76"/>
      <c r="Q53" s="76">
        <v>0</v>
      </c>
      <c r="R53" s="76"/>
      <c r="S53" s="76">
        <v>0</v>
      </c>
      <c r="T53" s="76"/>
      <c r="U53" s="76">
        <v>2754171</v>
      </c>
      <c r="V53" s="76"/>
      <c r="W53" s="76">
        <v>1054189</v>
      </c>
      <c r="X53" s="76"/>
      <c r="Y53" s="76">
        <f t="shared" si="2"/>
        <v>82950501</v>
      </c>
      <c r="Z53" s="76"/>
      <c r="AA53" s="76">
        <f>+'St of Activities - GA Rev'!X53-'St of Activities - GA Exp'!Y53</f>
        <v>2124986</v>
      </c>
      <c r="AB53" s="76"/>
      <c r="AC53" s="76">
        <v>42900413</v>
      </c>
      <c r="AD53" s="76"/>
      <c r="AE53" s="76">
        <f t="shared" si="1"/>
        <v>45025399</v>
      </c>
      <c r="AF53" s="76"/>
      <c r="AG53" s="77">
        <f>+'St of Net Assets - GA'!W53-'St of Activities - GA Exp'!AE53</f>
        <v>0</v>
      </c>
    </row>
    <row r="54" spans="1:33" s="82" customFormat="1" ht="12.75">
      <c r="A54" s="75" t="s">
        <v>50</v>
      </c>
      <c r="B54" s="76"/>
      <c r="C54" s="76">
        <v>3987783</v>
      </c>
      <c r="D54" s="76"/>
      <c r="E54" s="76">
        <v>2170083</v>
      </c>
      <c r="F54" s="76"/>
      <c r="G54" s="76">
        <v>6699539</v>
      </c>
      <c r="H54" s="76"/>
      <c r="I54" s="76">
        <v>7278125</v>
      </c>
      <c r="J54" s="76"/>
      <c r="K54" s="76">
        <v>649799</v>
      </c>
      <c r="L54" s="76"/>
      <c r="M54" s="76">
        <v>12195981</v>
      </c>
      <c r="N54" s="76"/>
      <c r="O54" s="76">
        <f>267463+203396</f>
        <v>470859</v>
      </c>
      <c r="P54" s="76"/>
      <c r="Q54" s="76">
        <v>461962</v>
      </c>
      <c r="R54" s="76"/>
      <c r="S54" s="76">
        <v>1407612</v>
      </c>
      <c r="T54" s="76"/>
      <c r="U54" s="76">
        <v>0</v>
      </c>
      <c r="V54" s="76"/>
      <c r="W54" s="76">
        <v>338523</v>
      </c>
      <c r="X54" s="76"/>
      <c r="Y54" s="76">
        <f t="shared" si="2"/>
        <v>35660266</v>
      </c>
      <c r="Z54" s="76"/>
      <c r="AA54" s="76">
        <f>+'St of Activities - GA Rev'!X54-'St of Activities - GA Exp'!Y54</f>
        <v>-151264</v>
      </c>
      <c r="AB54" s="76"/>
      <c r="AC54" s="76">
        <v>74963603</v>
      </c>
      <c r="AD54" s="76"/>
      <c r="AE54" s="76">
        <f t="shared" si="1"/>
        <v>74812339</v>
      </c>
      <c r="AF54" s="76"/>
      <c r="AG54" s="77">
        <f>+'St of Net Assets - GA'!W54-'St of Activities - GA Exp'!AE54</f>
        <v>0</v>
      </c>
    </row>
    <row r="55" spans="1:33" s="82" customFormat="1" ht="12.75">
      <c r="A55" s="75" t="s">
        <v>51</v>
      </c>
      <c r="B55" s="76"/>
      <c r="C55" s="76">
        <v>33764298</v>
      </c>
      <c r="D55" s="76"/>
      <c r="E55" s="76">
        <v>13767058</v>
      </c>
      <c r="F55" s="76"/>
      <c r="G55" s="76">
        <v>20580981</v>
      </c>
      <c r="H55" s="76"/>
      <c r="I55" s="76">
        <v>14299549</v>
      </c>
      <c r="J55" s="76"/>
      <c r="K55" s="76">
        <v>41679367</v>
      </c>
      <c r="L55" s="76"/>
      <c r="M55" s="76">
        <v>69762952</v>
      </c>
      <c r="N55" s="76"/>
      <c r="O55" s="76">
        <v>1103502</v>
      </c>
      <c r="P55" s="76"/>
      <c r="Q55" s="76">
        <v>0</v>
      </c>
      <c r="R55" s="76"/>
      <c r="S55" s="76">
        <v>0</v>
      </c>
      <c r="T55" s="76"/>
      <c r="U55" s="76">
        <v>555155</v>
      </c>
      <c r="V55" s="76"/>
      <c r="W55" s="76">
        <v>659033</v>
      </c>
      <c r="X55" s="76"/>
      <c r="Y55" s="76">
        <f t="shared" si="2"/>
        <v>196171895</v>
      </c>
      <c r="Z55" s="76"/>
      <c r="AA55" s="76">
        <f>+'St of Activities - GA Rev'!X55-'St of Activities - GA Exp'!Y55</f>
        <v>2800954</v>
      </c>
      <c r="AB55" s="76"/>
      <c r="AC55" s="76">
        <v>274634242</v>
      </c>
      <c r="AD55" s="76"/>
      <c r="AE55" s="76">
        <f t="shared" si="1"/>
        <v>277435196</v>
      </c>
      <c r="AF55" s="76"/>
      <c r="AG55" s="77">
        <f>+'St of Net Assets - GA'!W55-'St of Activities - GA Exp'!AE55</f>
        <v>0</v>
      </c>
    </row>
    <row r="56" spans="1:33" s="82" customFormat="1" ht="12.75">
      <c r="A56" s="75" t="s">
        <v>195</v>
      </c>
      <c r="B56" s="76"/>
      <c r="C56" s="76">
        <v>41924</v>
      </c>
      <c r="D56" s="76"/>
      <c r="E56" s="76">
        <v>54861</v>
      </c>
      <c r="F56" s="76"/>
      <c r="G56" s="76">
        <v>59439</v>
      </c>
      <c r="H56" s="76"/>
      <c r="I56" s="76">
        <v>35167</v>
      </c>
      <c r="J56" s="76"/>
      <c r="K56" s="76">
        <v>89542</v>
      </c>
      <c r="L56" s="76"/>
      <c r="M56" s="76">
        <v>119365</v>
      </c>
      <c r="N56" s="76"/>
      <c r="O56" s="76">
        <v>0</v>
      </c>
      <c r="P56" s="76"/>
      <c r="Q56" s="76">
        <v>8950</v>
      </c>
      <c r="R56" s="76"/>
      <c r="S56" s="76">
        <v>18732</v>
      </c>
      <c r="T56" s="76"/>
      <c r="U56" s="76">
        <v>0</v>
      </c>
      <c r="V56" s="76"/>
      <c r="W56" s="76">
        <v>5840</v>
      </c>
      <c r="X56" s="76"/>
      <c r="Y56" s="76">
        <f t="shared" si="2"/>
        <v>433820</v>
      </c>
      <c r="Z56" s="76"/>
      <c r="AA56" s="76">
        <f>+'St of Activities - GA Rev'!X56-'St of Activities - GA Exp'!Y56</f>
        <v>10903</v>
      </c>
      <c r="AB56" s="76"/>
      <c r="AC56" s="76">
        <v>472133</v>
      </c>
      <c r="AD56" s="76"/>
      <c r="AE56" s="76">
        <f t="shared" si="1"/>
        <v>483036</v>
      </c>
      <c r="AF56" s="76"/>
      <c r="AG56" s="77">
        <f>+'St of Net Assets - GA'!W56-'St of Activities - GA Exp'!AE56</f>
        <v>0</v>
      </c>
    </row>
    <row r="57" spans="1:33" s="82" customFormat="1" ht="12.75" hidden="1">
      <c r="A57" s="75" t="s">
        <v>52</v>
      </c>
      <c r="B57" s="76"/>
      <c r="C57" s="76">
        <v>0</v>
      </c>
      <c r="D57" s="76"/>
      <c r="E57" s="76">
        <v>0</v>
      </c>
      <c r="F57" s="76"/>
      <c r="G57" s="76">
        <v>0</v>
      </c>
      <c r="H57" s="76"/>
      <c r="I57" s="76">
        <v>0</v>
      </c>
      <c r="J57" s="76"/>
      <c r="K57" s="76">
        <v>0</v>
      </c>
      <c r="L57" s="76"/>
      <c r="M57" s="76">
        <v>0</v>
      </c>
      <c r="N57" s="76"/>
      <c r="O57" s="76">
        <v>0</v>
      </c>
      <c r="P57" s="76"/>
      <c r="Q57" s="76">
        <v>0</v>
      </c>
      <c r="R57" s="76"/>
      <c r="S57" s="76">
        <v>0</v>
      </c>
      <c r="T57" s="76"/>
      <c r="U57" s="76">
        <v>0</v>
      </c>
      <c r="V57" s="76"/>
      <c r="W57" s="76">
        <v>0</v>
      </c>
      <c r="X57" s="76"/>
      <c r="Y57" s="76">
        <f t="shared" si="2"/>
        <v>0</v>
      </c>
      <c r="Z57" s="76"/>
      <c r="AA57" s="76">
        <f>+'St of Activities - GA Rev'!X57-'St of Activities - GA Exp'!Y57</f>
        <v>0</v>
      </c>
      <c r="AB57" s="76"/>
      <c r="AC57" s="76">
        <v>0</v>
      </c>
      <c r="AD57" s="76"/>
      <c r="AE57" s="76">
        <f t="shared" si="1"/>
        <v>0</v>
      </c>
      <c r="AF57" s="76"/>
      <c r="AG57" s="77">
        <f>+'St of Net Assets - GA'!W57-'St of Activities - GA Exp'!AE57</f>
        <v>0</v>
      </c>
    </row>
    <row r="58" spans="1:33" s="82" customFormat="1" ht="12.75">
      <c r="A58" s="75" t="s">
        <v>53</v>
      </c>
      <c r="B58" s="76"/>
      <c r="C58" s="76">
        <v>15386977</v>
      </c>
      <c r="D58" s="76"/>
      <c r="E58" s="76">
        <v>15764700</v>
      </c>
      <c r="F58" s="76"/>
      <c r="G58" s="76">
        <v>23163784</v>
      </c>
      <c r="H58" s="76"/>
      <c r="I58" s="76">
        <v>13463837</v>
      </c>
      <c r="J58" s="76"/>
      <c r="K58" s="76">
        <v>46077309</v>
      </c>
      <c r="L58" s="76"/>
      <c r="M58" s="76">
        <v>58494478</v>
      </c>
      <c r="N58" s="76"/>
      <c r="O58" s="76">
        <v>0</v>
      </c>
      <c r="P58" s="76"/>
      <c r="Q58" s="76">
        <v>0</v>
      </c>
      <c r="R58" s="76"/>
      <c r="S58" s="76">
        <v>4659796</v>
      </c>
      <c r="T58" s="76"/>
      <c r="U58" s="76">
        <v>0</v>
      </c>
      <c r="V58" s="76"/>
      <c r="W58" s="76">
        <v>1787910</v>
      </c>
      <c r="X58" s="76"/>
      <c r="Y58" s="76">
        <f t="shared" si="2"/>
        <v>178798791</v>
      </c>
      <c r="Z58" s="76"/>
      <c r="AA58" s="76">
        <f>+'St of Activities - GA Rev'!X58-'St of Activities - GA Exp'!Y58</f>
        <v>5390490</v>
      </c>
      <c r="AB58" s="76"/>
      <c r="AC58" s="76">
        <v>161324005</v>
      </c>
      <c r="AD58" s="76"/>
      <c r="AE58" s="76">
        <f t="shared" si="1"/>
        <v>166714495</v>
      </c>
      <c r="AF58" s="76"/>
      <c r="AG58" s="77">
        <f>+'St of Net Assets - GA'!W58-'St of Activities - GA Exp'!AE58</f>
        <v>0</v>
      </c>
    </row>
    <row r="59" spans="1:33" s="82" customFormat="1" ht="12.75">
      <c r="A59" s="75" t="s">
        <v>54</v>
      </c>
      <c r="B59" s="76"/>
      <c r="C59" s="76">
        <v>6154441</v>
      </c>
      <c r="D59" s="76"/>
      <c r="E59" s="76">
        <v>1698069</v>
      </c>
      <c r="F59" s="76"/>
      <c r="G59" s="76">
        <v>8373301</v>
      </c>
      <c r="H59" s="76"/>
      <c r="I59" s="76">
        <v>4270667</v>
      </c>
      <c r="J59" s="76"/>
      <c r="K59" s="76">
        <v>8007742</v>
      </c>
      <c r="L59" s="76"/>
      <c r="M59" s="76">
        <v>12122494</v>
      </c>
      <c r="N59" s="76"/>
      <c r="O59" s="76">
        <v>0</v>
      </c>
      <c r="P59" s="76"/>
      <c r="Q59" s="76">
        <v>15000</v>
      </c>
      <c r="R59" s="76"/>
      <c r="S59" s="76">
        <v>647380</v>
      </c>
      <c r="T59" s="76"/>
      <c r="U59" s="76">
        <v>903239</v>
      </c>
      <c r="V59" s="76"/>
      <c r="W59" s="76">
        <v>540876</v>
      </c>
      <c r="X59" s="76"/>
      <c r="Y59" s="76">
        <f t="shared" si="2"/>
        <v>42733209</v>
      </c>
      <c r="Z59" s="76"/>
      <c r="AA59" s="76">
        <f>+'St of Activities - GA Rev'!X59-'St of Activities - GA Exp'!Y59</f>
        <v>-1603470</v>
      </c>
      <c r="AB59" s="76"/>
      <c r="AC59" s="76">
        <v>63967326</v>
      </c>
      <c r="AD59" s="76"/>
      <c r="AE59" s="76">
        <f t="shared" si="1"/>
        <v>62363856</v>
      </c>
      <c r="AF59" s="76"/>
      <c r="AG59" s="77">
        <f>+'St of Net Assets - GA'!W59-'St of Activities - GA Exp'!AE59</f>
        <v>0</v>
      </c>
    </row>
    <row r="60" spans="1:33" s="82" customFormat="1" ht="12.75">
      <c r="A60" s="75" t="s">
        <v>55</v>
      </c>
      <c r="B60" s="76"/>
      <c r="C60" s="76">
        <v>12361229</v>
      </c>
      <c r="D60" s="76"/>
      <c r="E60" s="76">
        <v>8454509</v>
      </c>
      <c r="F60" s="76"/>
      <c r="G60" s="76">
        <v>18827905</v>
      </c>
      <c r="H60" s="76"/>
      <c r="I60" s="76">
        <v>10994251</v>
      </c>
      <c r="J60" s="76"/>
      <c r="K60" s="76">
        <v>23268986</v>
      </c>
      <c r="L60" s="76"/>
      <c r="M60" s="76">
        <v>15705991</v>
      </c>
      <c r="N60" s="76"/>
      <c r="O60" s="76">
        <v>409903</v>
      </c>
      <c r="P60" s="76"/>
      <c r="Q60" s="76">
        <v>0</v>
      </c>
      <c r="R60" s="76"/>
      <c r="S60" s="76">
        <v>0</v>
      </c>
      <c r="T60" s="76"/>
      <c r="U60" s="76">
        <v>541350</v>
      </c>
      <c r="V60" s="76"/>
      <c r="W60" s="76">
        <v>992646</v>
      </c>
      <c r="X60" s="76"/>
      <c r="Y60" s="76">
        <f t="shared" si="2"/>
        <v>91556770</v>
      </c>
      <c r="Z60" s="76"/>
      <c r="AA60" s="76">
        <f>+'St of Activities - GA Rev'!X60-'St of Activities - GA Exp'!Y60</f>
        <v>-1169413</v>
      </c>
      <c r="AB60" s="76"/>
      <c r="AC60" s="76">
        <v>94217289</v>
      </c>
      <c r="AD60" s="76"/>
      <c r="AE60" s="76">
        <f t="shared" si="1"/>
        <v>93047876</v>
      </c>
      <c r="AF60" s="76"/>
      <c r="AG60" s="77">
        <f>+'St of Net Assets - GA'!W60-'St of Activities - GA Exp'!AE60</f>
        <v>0</v>
      </c>
    </row>
    <row r="61" spans="1:33" s="82" customFormat="1" ht="12.75" hidden="1">
      <c r="A61" s="75" t="s">
        <v>180</v>
      </c>
      <c r="B61" s="76"/>
      <c r="C61" s="76">
        <v>0</v>
      </c>
      <c r="D61" s="76"/>
      <c r="E61" s="76">
        <v>0</v>
      </c>
      <c r="F61" s="76"/>
      <c r="G61" s="76">
        <v>0</v>
      </c>
      <c r="H61" s="76"/>
      <c r="I61" s="76">
        <v>0</v>
      </c>
      <c r="J61" s="76"/>
      <c r="K61" s="76">
        <v>0</v>
      </c>
      <c r="L61" s="76"/>
      <c r="M61" s="76">
        <v>0</v>
      </c>
      <c r="N61" s="76"/>
      <c r="O61" s="76">
        <v>0</v>
      </c>
      <c r="P61" s="76"/>
      <c r="Q61" s="76">
        <v>0</v>
      </c>
      <c r="R61" s="76"/>
      <c r="S61" s="76">
        <v>0</v>
      </c>
      <c r="T61" s="76"/>
      <c r="U61" s="76">
        <v>0</v>
      </c>
      <c r="V61" s="76"/>
      <c r="W61" s="76">
        <v>0</v>
      </c>
      <c r="X61" s="76"/>
      <c r="Y61" s="76">
        <f t="shared" si="2"/>
        <v>0</v>
      </c>
      <c r="Z61" s="76"/>
      <c r="AA61" s="76">
        <f>+'St of Activities - GA Rev'!X61-'St of Activities - GA Exp'!Y61</f>
        <v>0</v>
      </c>
      <c r="AB61" s="76"/>
      <c r="AC61" s="76">
        <v>0</v>
      </c>
      <c r="AD61" s="76"/>
      <c r="AE61" s="76">
        <f t="shared" si="1"/>
        <v>0</v>
      </c>
      <c r="AF61" s="76"/>
      <c r="AG61" s="77">
        <f>+'St of Net Assets - GA'!W61-'St of Activities - GA Exp'!AE61</f>
        <v>0</v>
      </c>
    </row>
    <row r="62" spans="1:33" s="82" customFormat="1" ht="12.75" hidden="1">
      <c r="A62" s="75" t="s">
        <v>56</v>
      </c>
      <c r="B62" s="76"/>
      <c r="C62" s="76">
        <v>0</v>
      </c>
      <c r="D62" s="76"/>
      <c r="E62" s="76">
        <v>0</v>
      </c>
      <c r="F62" s="76"/>
      <c r="G62" s="76">
        <v>0</v>
      </c>
      <c r="H62" s="76"/>
      <c r="I62" s="76">
        <v>0</v>
      </c>
      <c r="J62" s="76"/>
      <c r="K62" s="76">
        <v>0</v>
      </c>
      <c r="L62" s="76"/>
      <c r="M62" s="76">
        <v>0</v>
      </c>
      <c r="N62" s="76"/>
      <c r="O62" s="76">
        <v>0</v>
      </c>
      <c r="P62" s="76"/>
      <c r="Q62" s="76">
        <v>0</v>
      </c>
      <c r="R62" s="76"/>
      <c r="S62" s="76">
        <v>0</v>
      </c>
      <c r="T62" s="76"/>
      <c r="U62" s="76">
        <v>0</v>
      </c>
      <c r="V62" s="76"/>
      <c r="W62" s="76">
        <v>0</v>
      </c>
      <c r="X62" s="76"/>
      <c r="Y62" s="76">
        <f t="shared" si="2"/>
        <v>0</v>
      </c>
      <c r="Z62" s="76"/>
      <c r="AA62" s="76">
        <f>+'St of Activities - GA Rev'!X62-'St of Activities - GA Exp'!Y62</f>
        <v>0</v>
      </c>
      <c r="AB62" s="76"/>
      <c r="AC62" s="76">
        <v>0</v>
      </c>
      <c r="AD62" s="76"/>
      <c r="AE62" s="76">
        <f t="shared" si="1"/>
        <v>0</v>
      </c>
      <c r="AF62" s="76"/>
      <c r="AG62" s="77">
        <f>+'St of Net Assets - GA'!W62-'St of Activities - GA Exp'!AE62</f>
        <v>0</v>
      </c>
    </row>
    <row r="63" spans="1:33" s="82" customFormat="1" ht="12.75">
      <c r="A63" s="75" t="s">
        <v>57</v>
      </c>
      <c r="B63" s="76"/>
      <c r="C63" s="76">
        <v>13372441</v>
      </c>
      <c r="D63" s="76"/>
      <c r="E63" s="76">
        <v>0</v>
      </c>
      <c r="F63" s="76"/>
      <c r="G63" s="76">
        <v>15547338</v>
      </c>
      <c r="H63" s="76"/>
      <c r="I63" s="76">
        <v>6376942</v>
      </c>
      <c r="J63" s="76"/>
      <c r="K63" s="76">
        <v>9718113</v>
      </c>
      <c r="L63" s="76"/>
      <c r="M63" s="76">
        <v>12136393</v>
      </c>
      <c r="N63" s="76"/>
      <c r="O63" s="76">
        <v>0</v>
      </c>
      <c r="P63" s="76"/>
      <c r="Q63" s="76">
        <v>449267</v>
      </c>
      <c r="R63" s="76"/>
      <c r="S63" s="76">
        <v>0</v>
      </c>
      <c r="T63" s="76"/>
      <c r="U63" s="76">
        <v>0</v>
      </c>
      <c r="V63" s="76"/>
      <c r="W63" s="76">
        <v>332390</v>
      </c>
      <c r="X63" s="76"/>
      <c r="Y63" s="76">
        <f t="shared" si="2"/>
        <v>57932884</v>
      </c>
      <c r="Z63" s="76"/>
      <c r="AA63" s="76">
        <f>+'St of Activities - GA Rev'!X63-'St of Activities - GA Exp'!Y63</f>
        <v>1657354</v>
      </c>
      <c r="AB63" s="76"/>
      <c r="AC63" s="76">
        <v>121278120</v>
      </c>
      <c r="AD63" s="76"/>
      <c r="AE63" s="76">
        <f t="shared" si="1"/>
        <v>122935474</v>
      </c>
      <c r="AF63" s="76"/>
      <c r="AG63" s="77">
        <f>+'St of Net Assets - GA'!W63-'St of Activities - GA Exp'!AE63</f>
        <v>0</v>
      </c>
    </row>
    <row r="64" spans="1:33" s="82" customFormat="1" ht="12.75">
      <c r="A64" s="75" t="s">
        <v>58</v>
      </c>
      <c r="B64" s="76"/>
      <c r="C64" s="76">
        <v>1325085</v>
      </c>
      <c r="D64" s="76"/>
      <c r="E64" s="76">
        <v>496327</v>
      </c>
      <c r="F64" s="76"/>
      <c r="G64" s="76">
        <v>1873871</v>
      </c>
      <c r="H64" s="76"/>
      <c r="I64" s="76">
        <v>2339553</v>
      </c>
      <c r="J64" s="76"/>
      <c r="K64" s="76">
        <v>1397371</v>
      </c>
      <c r="L64" s="76"/>
      <c r="M64" s="76">
        <v>4692548</v>
      </c>
      <c r="N64" s="76"/>
      <c r="O64" s="76">
        <v>293847</v>
      </c>
      <c r="P64" s="76"/>
      <c r="Q64" s="76">
        <v>0</v>
      </c>
      <c r="R64" s="76"/>
      <c r="S64" s="76">
        <v>579955</v>
      </c>
      <c r="T64" s="76"/>
      <c r="U64" s="76">
        <v>0</v>
      </c>
      <c r="V64" s="76"/>
      <c r="W64" s="76">
        <v>29705</v>
      </c>
      <c r="X64" s="76"/>
      <c r="Y64" s="76">
        <f t="shared" si="2"/>
        <v>13028262</v>
      </c>
      <c r="Z64" s="76"/>
      <c r="AA64" s="76">
        <f>+'St of Activities - GA Rev'!X64-'St of Activities - GA Exp'!Y64</f>
        <v>1758573</v>
      </c>
      <c r="AB64" s="76"/>
      <c r="AC64" s="76">
        <v>6731289</v>
      </c>
      <c r="AD64" s="76"/>
      <c r="AE64" s="76">
        <f t="shared" si="1"/>
        <v>8489862</v>
      </c>
      <c r="AF64" s="76"/>
      <c r="AG64" s="77">
        <f>+'St of Net Assets - GA'!W64-'St of Activities - GA Exp'!AE64</f>
        <v>0</v>
      </c>
    </row>
    <row r="65" spans="1:33" s="82" customFormat="1" ht="12.75">
      <c r="A65" s="75" t="s">
        <v>59</v>
      </c>
      <c r="B65" s="76"/>
      <c r="C65" s="76">
        <v>38814646</v>
      </c>
      <c r="D65" s="76"/>
      <c r="E65" s="76">
        <v>142001155</v>
      </c>
      <c r="F65" s="76"/>
      <c r="G65" s="76">
        <v>0</v>
      </c>
      <c r="H65" s="76"/>
      <c r="I65" s="76">
        <v>20663599</v>
      </c>
      <c r="J65" s="76"/>
      <c r="K65" s="76">
        <v>0</v>
      </c>
      <c r="L65" s="76"/>
      <c r="M65" s="76">
        <v>247022760</v>
      </c>
      <c r="N65" s="76"/>
      <c r="O65" s="76">
        <v>29123008</v>
      </c>
      <c r="P65" s="76"/>
      <c r="Q65" s="76">
        <v>0</v>
      </c>
      <c r="R65" s="76"/>
      <c r="S65" s="76">
        <v>0</v>
      </c>
      <c r="T65" s="76"/>
      <c r="U65" s="76">
        <v>0</v>
      </c>
      <c r="V65" s="76"/>
      <c r="W65" s="76">
        <v>2224643</v>
      </c>
      <c r="X65" s="76"/>
      <c r="Y65" s="76">
        <f t="shared" si="2"/>
        <v>479849811</v>
      </c>
      <c r="Z65" s="76"/>
      <c r="AA65" s="76">
        <f>+'St of Activities - GA Rev'!X65-'St of Activities - GA Exp'!Y65</f>
        <v>-32166948</v>
      </c>
      <c r="AB65" s="76"/>
      <c r="AC65" s="76">
        <v>732934084</v>
      </c>
      <c r="AD65" s="76"/>
      <c r="AE65" s="76">
        <f t="shared" si="1"/>
        <v>700767136</v>
      </c>
      <c r="AF65" s="76"/>
      <c r="AG65" s="77">
        <f>+'St of Net Assets - GA'!W65-'St of Activities - GA Exp'!AE65</f>
        <v>0</v>
      </c>
    </row>
    <row r="66" spans="1:33" s="82" customFormat="1" ht="12.75" hidden="1">
      <c r="A66" s="75" t="s">
        <v>60</v>
      </c>
      <c r="B66" s="76"/>
      <c r="C66" s="76">
        <v>0</v>
      </c>
      <c r="D66" s="76"/>
      <c r="E66" s="76">
        <v>0</v>
      </c>
      <c r="F66" s="76"/>
      <c r="G66" s="76">
        <v>0</v>
      </c>
      <c r="H66" s="76"/>
      <c r="I66" s="76">
        <v>0</v>
      </c>
      <c r="J66" s="76"/>
      <c r="K66" s="76">
        <v>0</v>
      </c>
      <c r="L66" s="76"/>
      <c r="M66" s="76">
        <v>0</v>
      </c>
      <c r="N66" s="76"/>
      <c r="O66" s="76">
        <v>0</v>
      </c>
      <c r="P66" s="76"/>
      <c r="Q66" s="76">
        <v>0</v>
      </c>
      <c r="R66" s="76"/>
      <c r="S66" s="76">
        <v>0</v>
      </c>
      <c r="T66" s="76"/>
      <c r="U66" s="76">
        <v>0</v>
      </c>
      <c r="V66" s="76"/>
      <c r="W66" s="76">
        <v>0</v>
      </c>
      <c r="X66" s="76"/>
      <c r="Y66" s="76">
        <f t="shared" si="2"/>
        <v>0</v>
      </c>
      <c r="Z66" s="76"/>
      <c r="AA66" s="76">
        <f>+'St of Activities - GA Rev'!X66-'St of Activities - GA Exp'!Y66</f>
        <v>0</v>
      </c>
      <c r="AB66" s="76"/>
      <c r="AC66" s="76">
        <v>0</v>
      </c>
      <c r="AD66" s="76"/>
      <c r="AE66" s="76">
        <f t="shared" si="1"/>
        <v>0</v>
      </c>
      <c r="AF66" s="76"/>
      <c r="AG66" s="77">
        <f>+'St of Net Assets - GA'!W66-'St of Activities - GA Exp'!AE66</f>
        <v>0</v>
      </c>
    </row>
    <row r="67" spans="1:33" s="82" customFormat="1" ht="12.75">
      <c r="A67" s="75" t="s">
        <v>61</v>
      </c>
      <c r="B67" s="76"/>
      <c r="C67" s="76">
        <v>3672238</v>
      </c>
      <c r="D67" s="76"/>
      <c r="E67" s="76">
        <v>1273900</v>
      </c>
      <c r="F67" s="76"/>
      <c r="G67" s="76">
        <v>4587168</v>
      </c>
      <c r="H67" s="76"/>
      <c r="I67" s="76">
        <v>1922118</v>
      </c>
      <c r="J67" s="76"/>
      <c r="K67" s="76">
        <v>2846616</v>
      </c>
      <c r="L67" s="76"/>
      <c r="M67" s="76">
        <v>5733902</v>
      </c>
      <c r="N67" s="76"/>
      <c r="O67" s="76">
        <v>88799</v>
      </c>
      <c r="P67" s="76"/>
      <c r="Q67" s="76">
        <v>0</v>
      </c>
      <c r="R67" s="76"/>
      <c r="S67" s="76">
        <v>495519</v>
      </c>
      <c r="T67" s="76"/>
      <c r="U67" s="76">
        <v>217000</v>
      </c>
      <c r="V67" s="76"/>
      <c r="W67" s="76">
        <v>230123</v>
      </c>
      <c r="X67" s="76"/>
      <c r="Y67" s="76">
        <f t="shared" si="2"/>
        <v>21067383</v>
      </c>
      <c r="Z67" s="76"/>
      <c r="AA67" s="76">
        <f>+'St of Activities - GA Rev'!X67-'St of Activities - GA Exp'!Y67</f>
        <v>2008977</v>
      </c>
      <c r="AB67" s="76"/>
      <c r="AC67" s="76">
        <v>32024072</v>
      </c>
      <c r="AD67" s="76"/>
      <c r="AE67" s="76">
        <f t="shared" si="1"/>
        <v>34033049</v>
      </c>
      <c r="AF67" s="76"/>
      <c r="AG67" s="77">
        <f>+'St of Net Assets - GA'!W67-'St of Activities - GA Exp'!AE67</f>
        <v>0</v>
      </c>
    </row>
    <row r="68" spans="1:33" s="82" customFormat="1" ht="12.75">
      <c r="A68" s="75" t="s">
        <v>62</v>
      </c>
      <c r="B68" s="76"/>
      <c r="C68" s="76">
        <v>10702124</v>
      </c>
      <c r="D68" s="76"/>
      <c r="E68" s="76">
        <v>5381347</v>
      </c>
      <c r="F68" s="76"/>
      <c r="G68" s="76">
        <v>8771477</v>
      </c>
      <c r="H68" s="76"/>
      <c r="I68" s="76">
        <v>6564687</v>
      </c>
      <c r="J68" s="76"/>
      <c r="K68" s="76">
        <v>1320856</v>
      </c>
      <c r="L68" s="76"/>
      <c r="M68" s="76">
        <v>34610003</v>
      </c>
      <c r="N68" s="76"/>
      <c r="O68" s="76">
        <v>210829</v>
      </c>
      <c r="P68" s="76"/>
      <c r="Q68" s="76">
        <v>0</v>
      </c>
      <c r="R68" s="76"/>
      <c r="S68" s="76">
        <v>0</v>
      </c>
      <c r="T68" s="76"/>
      <c r="U68" s="76">
        <v>3181411</v>
      </c>
      <c r="V68" s="76"/>
      <c r="W68" s="76">
        <v>993640</v>
      </c>
      <c r="X68" s="76"/>
      <c r="Y68" s="76">
        <f t="shared" si="2"/>
        <v>71736374</v>
      </c>
      <c r="Z68" s="76"/>
      <c r="AA68" s="76">
        <f>+'St of Activities - GA Rev'!X68-'St of Activities - GA Exp'!Y68</f>
        <v>-1423859</v>
      </c>
      <c r="AB68" s="76"/>
      <c r="AC68" s="76">
        <v>121179133</v>
      </c>
      <c r="AD68" s="76"/>
      <c r="AE68" s="76">
        <f t="shared" si="1"/>
        <v>119755274</v>
      </c>
      <c r="AF68" s="76"/>
      <c r="AG68" s="77">
        <f>+'St of Net Assets - GA'!W68-'St of Activities - GA Exp'!AE68</f>
        <v>0</v>
      </c>
    </row>
    <row r="69" spans="1:33" s="82" customFormat="1" ht="12.75">
      <c r="A69" s="75" t="s">
        <v>63</v>
      </c>
      <c r="B69" s="76"/>
      <c r="C69" s="76">
        <v>1536719</v>
      </c>
      <c r="D69" s="76"/>
      <c r="E69" s="76">
        <v>351111</v>
      </c>
      <c r="F69" s="76"/>
      <c r="G69" s="76">
        <v>1281793</v>
      </c>
      <c r="H69" s="76"/>
      <c r="I69" s="76">
        <v>3336982</v>
      </c>
      <c r="J69" s="76"/>
      <c r="K69" s="76">
        <v>822889</v>
      </c>
      <c r="L69" s="76"/>
      <c r="M69" s="76">
        <v>4181150</v>
      </c>
      <c r="N69" s="76"/>
      <c r="O69" s="76">
        <v>223291</v>
      </c>
      <c r="P69" s="76"/>
      <c r="Q69" s="76">
        <v>0</v>
      </c>
      <c r="R69" s="76"/>
      <c r="S69" s="76">
        <v>175384</v>
      </c>
      <c r="T69" s="76"/>
      <c r="U69" s="76">
        <v>487470</v>
      </c>
      <c r="V69" s="76"/>
      <c r="W69" s="76">
        <v>72034</v>
      </c>
      <c r="X69" s="76"/>
      <c r="Y69" s="76">
        <f t="shared" si="2"/>
        <v>12468823</v>
      </c>
      <c r="Z69" s="76"/>
      <c r="AA69" s="76">
        <f>+'St of Activities - GA Rev'!X69-'St of Activities - GA Exp'!Y69</f>
        <v>-312369</v>
      </c>
      <c r="AB69" s="76"/>
      <c r="AC69" s="76">
        <v>24540751</v>
      </c>
      <c r="AD69" s="76"/>
      <c r="AE69" s="76">
        <f t="shared" si="1"/>
        <v>24228382</v>
      </c>
      <c r="AF69" s="76"/>
      <c r="AG69" s="77">
        <f>+'St of Net Assets - GA'!W69-'St of Activities - GA Exp'!AE69</f>
        <v>0</v>
      </c>
    </row>
    <row r="70" spans="1:33" s="82" customFormat="1" ht="12.75">
      <c r="A70" s="75" t="s">
        <v>64</v>
      </c>
      <c r="B70" s="76"/>
      <c r="C70" s="76">
        <v>4255902</v>
      </c>
      <c r="D70" s="76"/>
      <c r="E70" s="76">
        <v>2461633</v>
      </c>
      <c r="F70" s="76"/>
      <c r="G70" s="76">
        <f>428480+4013757+1426906</f>
        <v>5869143</v>
      </c>
      <c r="H70" s="76"/>
      <c r="I70" s="76">
        <v>4305825</v>
      </c>
      <c r="J70" s="76"/>
      <c r="K70" s="76">
        <v>520858</v>
      </c>
      <c r="L70" s="76"/>
      <c r="M70" s="76">
        <f>3394246+4128964+634516+3215292</f>
        <v>11373018</v>
      </c>
      <c r="N70" s="76"/>
      <c r="O70" s="76">
        <v>3802</v>
      </c>
      <c r="P70" s="76"/>
      <c r="Q70" s="76">
        <v>124145</v>
      </c>
      <c r="R70" s="76"/>
      <c r="S70" s="76">
        <v>4655</v>
      </c>
      <c r="T70" s="76"/>
      <c r="U70" s="76">
        <v>38071</v>
      </c>
      <c r="V70" s="76"/>
      <c r="W70" s="76">
        <v>1234279</v>
      </c>
      <c r="X70" s="76"/>
      <c r="Y70" s="76">
        <f t="shared" si="2"/>
        <v>30191331</v>
      </c>
      <c r="Z70" s="76"/>
      <c r="AA70" s="76">
        <f>+'St of Activities - GA Rev'!X70-'St of Activities - GA Exp'!Y70</f>
        <v>2523398</v>
      </c>
      <c r="AB70" s="76"/>
      <c r="AC70" s="76">
        <v>34679159</v>
      </c>
      <c r="AD70" s="76"/>
      <c r="AE70" s="76">
        <f t="shared" si="1"/>
        <v>37202557</v>
      </c>
      <c r="AF70" s="76"/>
      <c r="AG70" s="77">
        <f>+'St of Net Assets - GA'!W70-'St of Activities - GA Exp'!AE70</f>
        <v>0</v>
      </c>
    </row>
    <row r="71" spans="1:33" s="82" customFormat="1" ht="12.75" hidden="1">
      <c r="A71" s="75" t="s">
        <v>137</v>
      </c>
      <c r="B71" s="76"/>
      <c r="C71" s="76">
        <v>0</v>
      </c>
      <c r="D71" s="76"/>
      <c r="E71" s="76">
        <v>0</v>
      </c>
      <c r="F71" s="76"/>
      <c r="G71" s="76">
        <v>0</v>
      </c>
      <c r="H71" s="76"/>
      <c r="I71" s="76">
        <v>0</v>
      </c>
      <c r="J71" s="76"/>
      <c r="K71" s="76">
        <v>0</v>
      </c>
      <c r="L71" s="76"/>
      <c r="M71" s="76">
        <v>0</v>
      </c>
      <c r="N71" s="76"/>
      <c r="O71" s="76">
        <v>0</v>
      </c>
      <c r="P71" s="76"/>
      <c r="Q71" s="76">
        <v>0</v>
      </c>
      <c r="R71" s="76"/>
      <c r="S71" s="76">
        <v>0</v>
      </c>
      <c r="T71" s="76"/>
      <c r="U71" s="76">
        <v>0</v>
      </c>
      <c r="V71" s="76"/>
      <c r="W71" s="76">
        <v>0</v>
      </c>
      <c r="X71" s="76"/>
      <c r="Y71" s="76">
        <f t="shared" si="2"/>
        <v>0</v>
      </c>
      <c r="Z71" s="76"/>
      <c r="AA71" s="76">
        <f>+'St of Activities - GA Rev'!X71-'St of Activities - GA Exp'!Y71</f>
        <v>0</v>
      </c>
      <c r="AB71" s="76"/>
      <c r="AC71" s="76">
        <v>0</v>
      </c>
      <c r="AD71" s="76"/>
      <c r="AE71" s="76">
        <f t="shared" si="1"/>
        <v>0</v>
      </c>
      <c r="AF71" s="76"/>
      <c r="AG71" s="77">
        <f>+'St of Net Assets - GA'!W71-'St of Activities - GA Exp'!AE71</f>
        <v>0</v>
      </c>
    </row>
    <row r="72" spans="1:33" s="82" customFormat="1" ht="12.75" hidden="1">
      <c r="A72" s="75" t="s">
        <v>65</v>
      </c>
      <c r="B72" s="76"/>
      <c r="C72" s="76">
        <v>0</v>
      </c>
      <c r="D72" s="76"/>
      <c r="E72" s="76">
        <v>0</v>
      </c>
      <c r="F72" s="76"/>
      <c r="G72" s="76">
        <v>0</v>
      </c>
      <c r="H72" s="76"/>
      <c r="I72" s="76">
        <v>0</v>
      </c>
      <c r="J72" s="76"/>
      <c r="K72" s="76">
        <v>0</v>
      </c>
      <c r="L72" s="76"/>
      <c r="M72" s="76">
        <v>0</v>
      </c>
      <c r="N72" s="76"/>
      <c r="O72" s="76">
        <v>0</v>
      </c>
      <c r="P72" s="76"/>
      <c r="Q72" s="76">
        <v>0</v>
      </c>
      <c r="R72" s="76"/>
      <c r="S72" s="76">
        <v>0</v>
      </c>
      <c r="T72" s="76"/>
      <c r="U72" s="76">
        <v>0</v>
      </c>
      <c r="V72" s="76"/>
      <c r="W72" s="76">
        <v>0</v>
      </c>
      <c r="X72" s="76"/>
      <c r="Y72" s="76">
        <f t="shared" si="2"/>
        <v>0</v>
      </c>
      <c r="Z72" s="76"/>
      <c r="AA72" s="76">
        <f>+'St of Activities - GA Rev'!X72-'St of Activities - GA Exp'!Y72</f>
        <v>0</v>
      </c>
      <c r="AB72" s="76"/>
      <c r="AC72" s="76">
        <v>0</v>
      </c>
      <c r="AD72" s="76"/>
      <c r="AE72" s="76">
        <f t="shared" si="1"/>
        <v>0</v>
      </c>
      <c r="AF72" s="76"/>
      <c r="AG72" s="77">
        <f>+'St of Net Assets - GA'!W72-'St of Activities - GA Exp'!AE72</f>
        <v>0</v>
      </c>
    </row>
    <row r="73" spans="1:33" s="82" customFormat="1" ht="12.75">
      <c r="A73" s="75" t="s">
        <v>66</v>
      </c>
      <c r="B73" s="76"/>
      <c r="C73" s="76">
        <v>3763161</v>
      </c>
      <c r="D73" s="76"/>
      <c r="E73" s="76">
        <v>1722578</v>
      </c>
      <c r="F73" s="76"/>
      <c r="G73" s="76">
        <v>5618677</v>
      </c>
      <c r="H73" s="76"/>
      <c r="I73" s="76">
        <v>5294650</v>
      </c>
      <c r="J73" s="76"/>
      <c r="K73" s="76">
        <v>3943611</v>
      </c>
      <c r="L73" s="76"/>
      <c r="M73" s="76">
        <v>6821011</v>
      </c>
      <c r="N73" s="76"/>
      <c r="O73" s="76">
        <v>409826</v>
      </c>
      <c r="P73" s="76"/>
      <c r="Q73" s="76">
        <v>429380</v>
      </c>
      <c r="R73" s="76"/>
      <c r="S73" s="76">
        <v>210310</v>
      </c>
      <c r="T73" s="76"/>
      <c r="U73" s="76">
        <v>0</v>
      </c>
      <c r="V73" s="76"/>
      <c r="W73" s="76">
        <v>95871</v>
      </c>
      <c r="X73" s="76"/>
      <c r="Y73" s="76">
        <f t="shared" si="2"/>
        <v>28309075</v>
      </c>
      <c r="Z73" s="76"/>
      <c r="AA73" s="76">
        <f>+'St of Activities - GA Rev'!X73-'St of Activities - GA Exp'!Y73</f>
        <v>577036</v>
      </c>
      <c r="AB73" s="76"/>
      <c r="AC73" s="76">
        <v>35051749</v>
      </c>
      <c r="AD73" s="76"/>
      <c r="AE73" s="76">
        <f t="shared" si="1"/>
        <v>35628785</v>
      </c>
      <c r="AF73" s="76"/>
      <c r="AG73" s="77">
        <f>+'St of Net Assets - GA'!W73-'St of Activities - GA Exp'!AE73</f>
        <v>0</v>
      </c>
    </row>
    <row r="74" spans="1:33" s="82" customFormat="1" ht="12.75">
      <c r="A74" s="75" t="s">
        <v>67</v>
      </c>
      <c r="B74" s="76"/>
      <c r="C74" s="76">
        <v>2762280</v>
      </c>
      <c r="D74" s="76"/>
      <c r="E74" s="76">
        <v>991245</v>
      </c>
      <c r="F74" s="76"/>
      <c r="G74" s="76">
        <v>2403103</v>
      </c>
      <c r="H74" s="76"/>
      <c r="I74" s="76">
        <v>5696165</v>
      </c>
      <c r="J74" s="76"/>
      <c r="K74" s="76">
        <v>3225777</v>
      </c>
      <c r="L74" s="76"/>
      <c r="M74" s="76">
        <v>5614296</v>
      </c>
      <c r="N74" s="76"/>
      <c r="O74" s="76">
        <v>743088</v>
      </c>
      <c r="P74" s="76"/>
      <c r="Q74" s="76">
        <v>233216</v>
      </c>
      <c r="R74" s="76"/>
      <c r="S74" s="76">
        <v>17755</v>
      </c>
      <c r="T74" s="76"/>
      <c r="U74" s="76">
        <v>0</v>
      </c>
      <c r="V74" s="76"/>
      <c r="W74" s="76">
        <v>108842</v>
      </c>
      <c r="X74" s="76"/>
      <c r="Y74" s="76">
        <f t="shared" si="2"/>
        <v>21795767</v>
      </c>
      <c r="Z74" s="76"/>
      <c r="AA74" s="76">
        <f>+'St of Activities - GA Rev'!X74-'St of Activities - GA Exp'!Y74</f>
        <v>13027</v>
      </c>
      <c r="AB74" s="76"/>
      <c r="AC74" s="76">
        <v>19542530</v>
      </c>
      <c r="AD74" s="76"/>
      <c r="AE74" s="76">
        <f t="shared" si="1"/>
        <v>19555557</v>
      </c>
      <c r="AF74" s="76"/>
      <c r="AG74" s="77">
        <f>+'St of Net Assets - GA'!W74-'St of Activities - GA Exp'!AE74</f>
        <v>0</v>
      </c>
    </row>
    <row r="75" spans="1:33" s="82" customFormat="1" ht="12.75">
      <c r="A75" s="75" t="s">
        <v>68</v>
      </c>
      <c r="B75" s="76"/>
      <c r="C75" s="76">
        <v>14301845</v>
      </c>
      <c r="D75" s="76"/>
      <c r="E75" s="76">
        <v>9269388</v>
      </c>
      <c r="F75" s="76"/>
      <c r="G75" s="76">
        <v>14040893</v>
      </c>
      <c r="H75" s="76"/>
      <c r="I75" s="76">
        <v>8022980</v>
      </c>
      <c r="J75" s="76"/>
      <c r="K75" s="76">
        <v>29460973</v>
      </c>
      <c r="L75" s="76"/>
      <c r="M75" s="76">
        <v>18822660</v>
      </c>
      <c r="N75" s="76"/>
      <c r="O75" s="76">
        <v>0</v>
      </c>
      <c r="P75" s="76"/>
      <c r="Q75" s="76">
        <v>0</v>
      </c>
      <c r="R75" s="76"/>
      <c r="S75" s="76">
        <v>335613</v>
      </c>
      <c r="T75" s="76"/>
      <c r="U75" s="76">
        <v>13676</v>
      </c>
      <c r="V75" s="76"/>
      <c r="W75" s="76">
        <v>1133058</v>
      </c>
      <c r="X75" s="76"/>
      <c r="Y75" s="76">
        <f t="shared" si="2"/>
        <v>95401086</v>
      </c>
      <c r="Z75" s="76"/>
      <c r="AA75" s="76">
        <f>+'St of Activities - GA Rev'!X75-'St of Activities - GA Exp'!Y75</f>
        <v>-314372</v>
      </c>
      <c r="AB75" s="76"/>
      <c r="AC75" s="76">
        <v>127141883</v>
      </c>
      <c r="AD75" s="76"/>
      <c r="AE75" s="76">
        <f t="shared" si="1"/>
        <v>126827511</v>
      </c>
      <c r="AF75" s="76"/>
      <c r="AG75" s="77">
        <f>+'St of Net Assets - GA'!W75-'St of Activities - GA Exp'!AE75</f>
        <v>0</v>
      </c>
    </row>
    <row r="76" spans="1:33" s="82" customFormat="1" ht="12.75">
      <c r="A76" s="75" t="s">
        <v>69</v>
      </c>
      <c r="B76" s="76"/>
      <c r="C76" s="76">
        <v>3650259</v>
      </c>
      <c r="D76" s="76"/>
      <c r="E76" s="76">
        <v>1418446</v>
      </c>
      <c r="F76" s="76"/>
      <c r="G76" s="76">
        <v>4221470</v>
      </c>
      <c r="H76" s="76"/>
      <c r="I76" s="76">
        <v>4712095</v>
      </c>
      <c r="J76" s="76"/>
      <c r="K76" s="76">
        <v>2630328</v>
      </c>
      <c r="L76" s="76"/>
      <c r="M76" s="76">
        <v>8043728</v>
      </c>
      <c r="N76" s="76"/>
      <c r="O76" s="76">
        <v>515767</v>
      </c>
      <c r="P76" s="76"/>
      <c r="Q76" s="76">
        <v>0</v>
      </c>
      <c r="R76" s="76"/>
      <c r="S76" s="76">
        <v>351325</v>
      </c>
      <c r="T76" s="76"/>
      <c r="U76" s="76">
        <v>277162</v>
      </c>
      <c r="V76" s="76"/>
      <c r="W76" s="76">
        <v>146030</v>
      </c>
      <c r="X76" s="76"/>
      <c r="Y76" s="76">
        <f t="shared" si="2"/>
        <v>25966610</v>
      </c>
      <c r="Z76" s="76"/>
      <c r="AA76" s="76">
        <f>+'St of Activities - GA Rev'!X76-'St of Activities - GA Exp'!Y76</f>
        <v>-455945</v>
      </c>
      <c r="AB76" s="76"/>
      <c r="AC76" s="76">
        <v>18495483</v>
      </c>
      <c r="AD76" s="76"/>
      <c r="AE76" s="76">
        <f aca="true" t="shared" si="3" ref="AE76:AE96">+AC76+AA76</f>
        <v>18039538</v>
      </c>
      <c r="AF76" s="76"/>
      <c r="AG76" s="77">
        <f>+'St of Net Assets - GA'!W76-'St of Activities - GA Exp'!AE76</f>
        <v>0</v>
      </c>
    </row>
    <row r="77" spans="1:33" s="82" customFormat="1" ht="12.75" hidden="1">
      <c r="A77" s="75" t="s">
        <v>185</v>
      </c>
      <c r="B77" s="76"/>
      <c r="C77" s="76">
        <v>0</v>
      </c>
      <c r="D77" s="76"/>
      <c r="E77" s="76">
        <v>0</v>
      </c>
      <c r="F77" s="76"/>
      <c r="G77" s="76">
        <v>0</v>
      </c>
      <c r="H77" s="76"/>
      <c r="I77" s="76">
        <v>0</v>
      </c>
      <c r="J77" s="76"/>
      <c r="K77" s="76">
        <v>0</v>
      </c>
      <c r="L77" s="76"/>
      <c r="M77" s="76">
        <v>0</v>
      </c>
      <c r="N77" s="76"/>
      <c r="O77" s="76">
        <v>0</v>
      </c>
      <c r="P77" s="76"/>
      <c r="Q77" s="76">
        <v>0</v>
      </c>
      <c r="R77" s="76"/>
      <c r="S77" s="76">
        <v>0</v>
      </c>
      <c r="T77" s="76"/>
      <c r="U77" s="76">
        <v>0</v>
      </c>
      <c r="V77" s="76"/>
      <c r="W77" s="76">
        <v>0</v>
      </c>
      <c r="X77" s="76"/>
      <c r="Y77" s="76">
        <f t="shared" si="2"/>
        <v>0</v>
      </c>
      <c r="Z77" s="76"/>
      <c r="AA77" s="76">
        <f>+'St of Activities - GA Rev'!X77-'St of Activities - GA Exp'!Y77</f>
        <v>0</v>
      </c>
      <c r="AB77" s="76"/>
      <c r="AC77" s="76">
        <v>0</v>
      </c>
      <c r="AD77" s="76"/>
      <c r="AE77" s="76">
        <f t="shared" si="3"/>
        <v>0</v>
      </c>
      <c r="AF77" s="76"/>
      <c r="AG77" s="77">
        <f>+'St of Net Assets - GA'!W77-'St of Activities - GA Exp'!AE77</f>
        <v>0</v>
      </c>
    </row>
    <row r="78" spans="1:33" s="82" customFormat="1" ht="12.75">
      <c r="A78" s="75" t="s">
        <v>190</v>
      </c>
      <c r="B78" s="76"/>
      <c r="C78" s="76">
        <v>10549018</v>
      </c>
      <c r="D78" s="76"/>
      <c r="E78" s="76">
        <v>5830669</v>
      </c>
      <c r="F78" s="76"/>
      <c r="G78" s="76">
        <v>11417418</v>
      </c>
      <c r="H78" s="76"/>
      <c r="I78" s="76">
        <v>7953513</v>
      </c>
      <c r="J78" s="76"/>
      <c r="K78" s="76">
        <v>27776858</v>
      </c>
      <c r="L78" s="76"/>
      <c r="M78" s="76">
        <v>26511389</v>
      </c>
      <c r="N78" s="76"/>
      <c r="O78" s="76">
        <v>634927</v>
      </c>
      <c r="P78" s="76"/>
      <c r="Q78" s="76">
        <v>194523</v>
      </c>
      <c r="R78" s="76"/>
      <c r="S78" s="76">
        <v>0</v>
      </c>
      <c r="T78" s="76"/>
      <c r="U78" s="76">
        <v>1465399</v>
      </c>
      <c r="V78" s="76"/>
      <c r="W78" s="76">
        <v>1447122</v>
      </c>
      <c r="X78" s="76"/>
      <c r="Y78" s="76">
        <f t="shared" si="2"/>
        <v>93780836</v>
      </c>
      <c r="Z78" s="76"/>
      <c r="AA78" s="76">
        <f>+'St of Activities - GA Rev'!X78-'St of Activities - GA Exp'!Y78</f>
        <v>7245340</v>
      </c>
      <c r="AB78" s="76"/>
      <c r="AC78" s="76">
        <v>102392199</v>
      </c>
      <c r="AD78" s="76"/>
      <c r="AE78" s="76">
        <f t="shared" si="3"/>
        <v>109637539</v>
      </c>
      <c r="AF78" s="76"/>
      <c r="AG78" s="77">
        <f>+'St of Net Assets - GA'!W78-'St of Activities - GA Exp'!AE78</f>
        <v>0</v>
      </c>
    </row>
    <row r="79" spans="1:33" s="82" customFormat="1" ht="12.75">
      <c r="A79" s="75" t="s">
        <v>70</v>
      </c>
      <c r="B79" s="76"/>
      <c r="C79" s="76">
        <v>5302353</v>
      </c>
      <c r="D79" s="76"/>
      <c r="E79" s="76">
        <v>2896082</v>
      </c>
      <c r="F79" s="76"/>
      <c r="G79" s="76">
        <v>8485222</v>
      </c>
      <c r="H79" s="76"/>
      <c r="I79" s="76">
        <v>5680207</v>
      </c>
      <c r="J79" s="76"/>
      <c r="K79" s="76">
        <v>591009</v>
      </c>
      <c r="L79" s="76"/>
      <c r="M79" s="76">
        <v>21605687</v>
      </c>
      <c r="N79" s="76"/>
      <c r="O79" s="76">
        <v>710199</v>
      </c>
      <c r="P79" s="76"/>
      <c r="Q79" s="76">
        <v>0</v>
      </c>
      <c r="R79" s="76"/>
      <c r="S79" s="76">
        <v>600673</v>
      </c>
      <c r="T79" s="76"/>
      <c r="U79" s="76">
        <v>0</v>
      </c>
      <c r="V79" s="76"/>
      <c r="W79" s="76">
        <v>704761</v>
      </c>
      <c r="X79" s="76"/>
      <c r="Y79" s="76">
        <f t="shared" si="2"/>
        <v>46576193</v>
      </c>
      <c r="Z79" s="76"/>
      <c r="AA79" s="76">
        <f>+'St of Activities - GA Rev'!X79-'St of Activities - GA Exp'!Y79</f>
        <v>-502821</v>
      </c>
      <c r="AB79" s="76"/>
      <c r="AC79" s="76">
        <v>38296018</v>
      </c>
      <c r="AD79" s="76"/>
      <c r="AE79" s="76">
        <f t="shared" si="3"/>
        <v>37793197</v>
      </c>
      <c r="AF79" s="76"/>
      <c r="AG79" s="77">
        <f>+'St of Net Assets - GA'!W79-'St of Activities - GA Exp'!AE79</f>
        <v>0</v>
      </c>
    </row>
    <row r="80" spans="1:33" s="82" customFormat="1" ht="12.75">
      <c r="A80" s="75" t="s">
        <v>99</v>
      </c>
      <c r="B80" s="76"/>
      <c r="C80" s="76">
        <v>4632636</v>
      </c>
      <c r="D80" s="76"/>
      <c r="E80" s="76">
        <v>2658211</v>
      </c>
      <c r="F80" s="76"/>
      <c r="G80" s="76">
        <v>8892324</v>
      </c>
      <c r="H80" s="76"/>
      <c r="I80" s="76">
        <v>4031951</v>
      </c>
      <c r="J80" s="76"/>
      <c r="K80" s="76">
        <v>377564</v>
      </c>
      <c r="L80" s="76"/>
      <c r="M80" s="76">
        <v>18587641</v>
      </c>
      <c r="N80" s="76"/>
      <c r="O80" s="76">
        <v>1505431</v>
      </c>
      <c r="P80" s="76"/>
      <c r="Q80" s="76">
        <v>0</v>
      </c>
      <c r="R80" s="76"/>
      <c r="S80" s="76">
        <v>391470</v>
      </c>
      <c r="T80" s="76"/>
      <c r="U80" s="76">
        <v>228400</v>
      </c>
      <c r="V80" s="76"/>
      <c r="W80" s="76">
        <v>333794</v>
      </c>
      <c r="X80" s="76"/>
      <c r="Y80" s="76">
        <f t="shared" si="2"/>
        <v>41639422</v>
      </c>
      <c r="Z80" s="76"/>
      <c r="AA80" s="76">
        <f>+'St of Activities - GA Rev'!X80-'St of Activities - GA Exp'!Y80</f>
        <v>5574502</v>
      </c>
      <c r="AB80" s="76"/>
      <c r="AC80" s="76">
        <v>50922086</v>
      </c>
      <c r="AD80" s="76"/>
      <c r="AE80" s="76">
        <f t="shared" si="3"/>
        <v>56496588</v>
      </c>
      <c r="AF80" s="76"/>
      <c r="AG80" s="77">
        <f>+'St of Net Assets - GA'!W80-'St of Activities - GA Exp'!AE80</f>
        <v>0</v>
      </c>
    </row>
    <row r="81" spans="1:33" s="82" customFormat="1" ht="12.75">
      <c r="A81" s="75" t="s">
        <v>71</v>
      </c>
      <c r="B81" s="76"/>
      <c r="C81" s="76">
        <v>6597251</v>
      </c>
      <c r="D81" s="76"/>
      <c r="E81" s="76">
        <v>2600466</v>
      </c>
      <c r="F81" s="76"/>
      <c r="G81" s="76">
        <f>3700186+4150952</f>
        <v>7851138</v>
      </c>
      <c r="H81" s="76"/>
      <c r="I81" s="76">
        <v>4052122</v>
      </c>
      <c r="J81" s="76"/>
      <c r="K81" s="76">
        <v>7845238</v>
      </c>
      <c r="L81" s="76"/>
      <c r="M81" s="76">
        <v>18639921</v>
      </c>
      <c r="N81" s="76"/>
      <c r="O81" s="76">
        <v>1032282</v>
      </c>
      <c r="P81" s="76"/>
      <c r="Q81" s="76">
        <v>395659</v>
      </c>
      <c r="R81" s="76"/>
      <c r="S81" s="76">
        <v>757139</v>
      </c>
      <c r="T81" s="76"/>
      <c r="U81" s="76">
        <v>0</v>
      </c>
      <c r="V81" s="76"/>
      <c r="W81" s="76">
        <v>543921</v>
      </c>
      <c r="X81" s="76"/>
      <c r="Y81" s="76">
        <f t="shared" si="2"/>
        <v>50315137</v>
      </c>
      <c r="Z81" s="76"/>
      <c r="AA81" s="76">
        <f>+'St of Activities - GA Rev'!X81-'St of Activities - GA Exp'!Y81</f>
        <v>-1864812</v>
      </c>
      <c r="AB81" s="76"/>
      <c r="AC81" s="76">
        <v>42570319</v>
      </c>
      <c r="AD81" s="76"/>
      <c r="AE81" s="76">
        <f t="shared" si="3"/>
        <v>40705507</v>
      </c>
      <c r="AF81" s="76"/>
      <c r="AG81" s="77">
        <f>+'St of Net Assets - GA'!W81-'St of Activities - GA Exp'!AE81</f>
        <v>0</v>
      </c>
    </row>
    <row r="82" spans="1:33" s="82" customFormat="1" ht="12.75">
      <c r="A82" s="75" t="s">
        <v>72</v>
      </c>
      <c r="B82" s="76"/>
      <c r="C82" s="76">
        <v>3828702</v>
      </c>
      <c r="D82" s="76"/>
      <c r="E82" s="76">
        <v>2384075</v>
      </c>
      <c r="F82" s="76"/>
      <c r="G82" s="76">
        <v>4426619</v>
      </c>
      <c r="H82" s="76"/>
      <c r="I82" s="76">
        <v>5818898</v>
      </c>
      <c r="J82" s="76"/>
      <c r="K82" s="76">
        <v>6740199</v>
      </c>
      <c r="L82" s="76"/>
      <c r="M82" s="76">
        <v>8413832</v>
      </c>
      <c r="N82" s="76"/>
      <c r="O82" s="76">
        <v>700943</v>
      </c>
      <c r="P82" s="76"/>
      <c r="Q82" s="76">
        <v>179826</v>
      </c>
      <c r="R82" s="76"/>
      <c r="S82" s="76">
        <v>91826</v>
      </c>
      <c r="T82" s="76"/>
      <c r="U82" s="76">
        <v>254378</v>
      </c>
      <c r="V82" s="76"/>
      <c r="W82" s="76">
        <v>355499</v>
      </c>
      <c r="X82" s="76"/>
      <c r="Y82" s="76">
        <f t="shared" si="2"/>
        <v>33194797</v>
      </c>
      <c r="Z82" s="76"/>
      <c r="AA82" s="76">
        <f>+'St of Activities - GA Rev'!X82-'St of Activities - GA Exp'!Y82</f>
        <v>7932116</v>
      </c>
      <c r="AB82" s="76"/>
      <c r="AC82" s="76">
        <v>58702129</v>
      </c>
      <c r="AD82" s="76"/>
      <c r="AE82" s="76">
        <f t="shared" si="3"/>
        <v>66634245</v>
      </c>
      <c r="AF82" s="76"/>
      <c r="AG82" s="77">
        <f>+'St of Net Assets - GA'!W82-'St of Activities - GA Exp'!AE82</f>
        <v>0</v>
      </c>
    </row>
    <row r="83" spans="1:33" s="82" customFormat="1" ht="12.75">
      <c r="A83" s="75" t="s">
        <v>73</v>
      </c>
      <c r="B83" s="76"/>
      <c r="C83" s="76">
        <v>4261812</v>
      </c>
      <c r="D83" s="76"/>
      <c r="E83" s="76">
        <v>2223871</v>
      </c>
      <c r="F83" s="76"/>
      <c r="G83" s="76">
        <v>4585685</v>
      </c>
      <c r="H83" s="76"/>
      <c r="I83" s="76">
        <v>5758427</v>
      </c>
      <c r="J83" s="76"/>
      <c r="K83" s="76">
        <v>362100</v>
      </c>
      <c r="L83" s="76"/>
      <c r="M83" s="76">
        <v>13933464</v>
      </c>
      <c r="N83" s="76"/>
      <c r="O83" s="76">
        <v>294116</v>
      </c>
      <c r="P83" s="76"/>
      <c r="Q83" s="76">
        <v>0</v>
      </c>
      <c r="R83" s="76"/>
      <c r="S83" s="76">
        <v>16340</v>
      </c>
      <c r="T83" s="76"/>
      <c r="U83" s="76">
        <v>483580</v>
      </c>
      <c r="V83" s="76"/>
      <c r="W83" s="76">
        <v>118210</v>
      </c>
      <c r="X83" s="76"/>
      <c r="Y83" s="76">
        <f t="shared" si="2"/>
        <v>32037605</v>
      </c>
      <c r="Z83" s="76"/>
      <c r="AA83" s="76">
        <f>+'St of Activities - GA Rev'!X83-'St of Activities - GA Exp'!Y83</f>
        <v>2616286</v>
      </c>
      <c r="AB83" s="76"/>
      <c r="AC83" s="76">
        <v>33819658</v>
      </c>
      <c r="AD83" s="76"/>
      <c r="AE83" s="76">
        <f t="shared" si="3"/>
        <v>36435944</v>
      </c>
      <c r="AF83" s="76"/>
      <c r="AG83" s="77">
        <f>+'St of Net Assets - GA'!W83-'St of Activities - GA Exp'!AE83</f>
        <v>0</v>
      </c>
    </row>
    <row r="84" spans="1:33" s="82" customFormat="1" ht="12.75">
      <c r="A84" s="75" t="s">
        <v>74</v>
      </c>
      <c r="B84" s="76"/>
      <c r="C84" s="76">
        <v>18088590</v>
      </c>
      <c r="D84" s="76"/>
      <c r="E84" s="76">
        <v>12263463</v>
      </c>
      <c r="F84" s="76"/>
      <c r="G84" s="76">
        <v>20021976</v>
      </c>
      <c r="H84" s="76"/>
      <c r="I84" s="76">
        <v>13432897</v>
      </c>
      <c r="J84" s="76"/>
      <c r="K84" s="76">
        <v>64499775</v>
      </c>
      <c r="L84" s="76"/>
      <c r="M84" s="76">
        <v>62574465</v>
      </c>
      <c r="N84" s="76"/>
      <c r="O84" s="76">
        <v>0</v>
      </c>
      <c r="P84" s="76"/>
      <c r="Q84" s="76">
        <v>29200</v>
      </c>
      <c r="R84" s="76"/>
      <c r="S84" s="76">
        <v>1916627</v>
      </c>
      <c r="T84" s="76"/>
      <c r="U84" s="76">
        <v>8766802</v>
      </c>
      <c r="V84" s="76"/>
      <c r="W84" s="76">
        <v>209671</v>
      </c>
      <c r="X84" s="76"/>
      <c r="Y84" s="76">
        <f t="shared" si="2"/>
        <v>201803466</v>
      </c>
      <c r="Z84" s="76"/>
      <c r="AA84" s="76">
        <f>+'St of Activities - GA Rev'!X84-'St of Activities - GA Exp'!Y84</f>
        <v>-1041299</v>
      </c>
      <c r="AB84" s="76"/>
      <c r="AC84" s="76">
        <v>160278138</v>
      </c>
      <c r="AD84" s="76"/>
      <c r="AE84" s="76">
        <f t="shared" si="3"/>
        <v>159236839</v>
      </c>
      <c r="AF84" s="76"/>
      <c r="AG84" s="77">
        <f>+'St of Net Assets - GA'!W84-'St of Activities - GA Exp'!AE84</f>
        <v>0</v>
      </c>
    </row>
    <row r="85" spans="1:33" s="82" customFormat="1" ht="12.75">
      <c r="A85" s="75" t="s">
        <v>75</v>
      </c>
      <c r="B85" s="76"/>
      <c r="C85" s="76">
        <v>32419605</v>
      </c>
      <c r="D85" s="76"/>
      <c r="E85" s="76">
        <v>25073871</v>
      </c>
      <c r="F85" s="76"/>
      <c r="G85" s="76">
        <v>64661569</v>
      </c>
      <c r="H85" s="76"/>
      <c r="I85" s="76">
        <v>13752343</v>
      </c>
      <c r="J85" s="76"/>
      <c r="K85" s="76">
        <v>108677819</v>
      </c>
      <c r="L85" s="76"/>
      <c r="M85" s="76">
        <v>114136096</v>
      </c>
      <c r="N85" s="76"/>
      <c r="O85" s="76">
        <v>3536814</v>
      </c>
      <c r="P85" s="76"/>
      <c r="Q85" s="76">
        <v>4399332</v>
      </c>
      <c r="R85" s="76"/>
      <c r="S85" s="76">
        <v>4666589</v>
      </c>
      <c r="T85" s="76"/>
      <c r="U85" s="76">
        <v>292411</v>
      </c>
      <c r="V85" s="76"/>
      <c r="W85" s="76">
        <v>5042457</v>
      </c>
      <c r="X85" s="76"/>
      <c r="Y85" s="76">
        <f t="shared" si="2"/>
        <v>376658906</v>
      </c>
      <c r="Z85" s="76"/>
      <c r="AA85" s="76">
        <f>+'St of Activities - GA Rev'!X85-'St of Activities - GA Exp'!Y85</f>
        <v>2078519</v>
      </c>
      <c r="AB85" s="76"/>
      <c r="AC85" s="76">
        <v>355785396</v>
      </c>
      <c r="AD85" s="76"/>
      <c r="AE85" s="76">
        <f t="shared" si="3"/>
        <v>357863915</v>
      </c>
      <c r="AF85" s="76"/>
      <c r="AG85" s="77">
        <f>+'St of Net Assets - GA'!W85-'St of Activities - GA Exp'!AE85</f>
        <v>0</v>
      </c>
    </row>
    <row r="86" spans="1:33" s="82" customFormat="1" ht="12.75">
      <c r="A86" s="75" t="s">
        <v>76</v>
      </c>
      <c r="B86" s="76"/>
      <c r="C86" s="76">
        <v>17414058</v>
      </c>
      <c r="D86" s="76"/>
      <c r="E86" s="76">
        <v>10772558</v>
      </c>
      <c r="F86" s="76"/>
      <c r="G86" s="76">
        <v>13428982</v>
      </c>
      <c r="H86" s="76"/>
      <c r="I86" s="76">
        <v>19087555</v>
      </c>
      <c r="J86" s="76"/>
      <c r="K86" s="76">
        <v>31601497</v>
      </c>
      <c r="L86" s="76"/>
      <c r="M86" s="76">
        <v>44110625</v>
      </c>
      <c r="N86" s="76"/>
      <c r="O86" s="76">
        <v>665353</v>
      </c>
      <c r="P86" s="76"/>
      <c r="Q86" s="76">
        <v>0</v>
      </c>
      <c r="R86" s="76"/>
      <c r="S86" s="76">
        <v>76960</v>
      </c>
      <c r="T86" s="76"/>
      <c r="U86" s="76">
        <v>3512388</v>
      </c>
      <c r="V86" s="76"/>
      <c r="W86" s="76">
        <v>2071322</v>
      </c>
      <c r="X86" s="76"/>
      <c r="Y86" s="76">
        <f t="shared" si="2"/>
        <v>142741298</v>
      </c>
      <c r="Z86" s="76"/>
      <c r="AA86" s="76">
        <f>+'St of Activities - GA Rev'!X86-'St of Activities - GA Exp'!Y86</f>
        <v>-2502601</v>
      </c>
      <c r="AB86" s="76"/>
      <c r="AC86" s="76">
        <v>141420204</v>
      </c>
      <c r="AD86" s="76"/>
      <c r="AE86" s="76">
        <f t="shared" si="3"/>
        <v>138917603</v>
      </c>
      <c r="AF86" s="76"/>
      <c r="AG86" s="77">
        <f>+'St of Net Assets - GA'!W86-'St of Activities - GA Exp'!AE86</f>
        <v>0</v>
      </c>
    </row>
    <row r="87" spans="1:33" s="82" customFormat="1" ht="12.75">
      <c r="A87" s="75" t="s">
        <v>77</v>
      </c>
      <c r="B87" s="76"/>
      <c r="C87" s="76">
        <v>7842428</v>
      </c>
      <c r="D87" s="76"/>
      <c r="E87" s="76">
        <v>3754557</v>
      </c>
      <c r="F87" s="76"/>
      <c r="G87" s="76">
        <v>7926398</v>
      </c>
      <c r="H87" s="76"/>
      <c r="I87" s="76">
        <v>6740743</v>
      </c>
      <c r="J87" s="76"/>
      <c r="K87" s="76">
        <v>6274549</v>
      </c>
      <c r="L87" s="76"/>
      <c r="M87" s="76">
        <v>16878484</v>
      </c>
      <c r="N87" s="76"/>
      <c r="O87" s="76">
        <v>0</v>
      </c>
      <c r="P87" s="76"/>
      <c r="Q87" s="76">
        <v>127694</v>
      </c>
      <c r="R87" s="76"/>
      <c r="S87" s="76">
        <v>0</v>
      </c>
      <c r="T87" s="76"/>
      <c r="U87" s="76">
        <v>1093361</v>
      </c>
      <c r="V87" s="76"/>
      <c r="W87" s="76">
        <v>14461</v>
      </c>
      <c r="X87" s="76"/>
      <c r="Y87" s="76">
        <f t="shared" si="2"/>
        <v>50652675</v>
      </c>
      <c r="Z87" s="76"/>
      <c r="AA87" s="76">
        <f>+'St of Activities - GA Rev'!X87-'St of Activities - GA Exp'!Y87</f>
        <v>-1398867</v>
      </c>
      <c r="AB87" s="76"/>
      <c r="AC87" s="76">
        <v>84899035</v>
      </c>
      <c r="AD87" s="76"/>
      <c r="AE87" s="76">
        <f t="shared" si="3"/>
        <v>83500168</v>
      </c>
      <c r="AF87" s="76"/>
      <c r="AG87" s="77">
        <f>+'St of Net Assets - GA'!W87-'St of Activities - GA Exp'!AE87</f>
        <v>0</v>
      </c>
    </row>
    <row r="88" spans="1:33" s="82" customFormat="1" ht="12.75">
      <c r="A88" s="75" t="s">
        <v>78</v>
      </c>
      <c r="B88" s="76"/>
      <c r="C88" s="76">
        <v>9250525</v>
      </c>
      <c r="D88" s="76"/>
      <c r="E88" s="76">
        <v>1909165</v>
      </c>
      <c r="F88" s="76"/>
      <c r="G88" s="76">
        <v>5625007</v>
      </c>
      <c r="H88" s="76"/>
      <c r="I88" s="76">
        <v>1464972</v>
      </c>
      <c r="J88" s="76"/>
      <c r="K88" s="76">
        <v>3482836</v>
      </c>
      <c r="L88" s="76"/>
      <c r="M88" s="76">
        <v>11616137</v>
      </c>
      <c r="N88" s="76"/>
      <c r="O88" s="76">
        <v>154969</v>
      </c>
      <c r="P88" s="76"/>
      <c r="Q88" s="76">
        <v>0</v>
      </c>
      <c r="R88" s="76"/>
      <c r="S88" s="76">
        <v>666332</v>
      </c>
      <c r="T88" s="76"/>
      <c r="U88" s="76">
        <v>0</v>
      </c>
      <c r="V88" s="76"/>
      <c r="W88" s="76">
        <v>460618</v>
      </c>
      <c r="X88" s="76"/>
      <c r="Y88" s="76">
        <f t="shared" si="2"/>
        <v>34630561</v>
      </c>
      <c r="Z88" s="76"/>
      <c r="AA88" s="76">
        <f>+'St of Activities - GA Rev'!X88-'St of Activities - GA Exp'!Y88</f>
        <v>8198319</v>
      </c>
      <c r="AB88" s="76"/>
      <c r="AC88" s="76">
        <v>56388428</v>
      </c>
      <c r="AD88" s="76"/>
      <c r="AE88" s="76">
        <f t="shared" si="3"/>
        <v>64586747</v>
      </c>
      <c r="AF88" s="76"/>
      <c r="AG88" s="77">
        <f>+'St of Net Assets - GA'!W88-'St of Activities - GA Exp'!AE88</f>
        <v>0</v>
      </c>
    </row>
    <row r="89" spans="1:33" s="82" customFormat="1" ht="12.75">
      <c r="A89" s="75" t="s">
        <v>79</v>
      </c>
      <c r="B89" s="76"/>
      <c r="C89" s="76">
        <v>4329120</v>
      </c>
      <c r="D89" s="76"/>
      <c r="E89" s="76">
        <v>1295053</v>
      </c>
      <c r="F89" s="76"/>
      <c r="G89" s="76">
        <v>3063224</v>
      </c>
      <c r="H89" s="76"/>
      <c r="I89" s="76">
        <v>3102127</v>
      </c>
      <c r="J89" s="76"/>
      <c r="K89" s="76">
        <v>91430</v>
      </c>
      <c r="L89" s="76"/>
      <c r="M89" s="76">
        <v>8769499</v>
      </c>
      <c r="N89" s="76"/>
      <c r="O89" s="76">
        <v>500540</v>
      </c>
      <c r="P89" s="76"/>
      <c r="Q89" s="76">
        <v>0</v>
      </c>
      <c r="R89" s="76"/>
      <c r="S89" s="76">
        <v>0</v>
      </c>
      <c r="T89" s="76"/>
      <c r="U89" s="76">
        <v>305891</v>
      </c>
      <c r="V89" s="76"/>
      <c r="W89" s="76">
        <v>61942</v>
      </c>
      <c r="X89" s="76"/>
      <c r="Y89" s="76">
        <f aca="true" t="shared" si="4" ref="Y89:Y96">SUM(C89:W89)</f>
        <v>21518826</v>
      </c>
      <c r="Z89" s="76"/>
      <c r="AA89" s="76">
        <f>+'St of Activities - GA Rev'!X89-'St of Activities - GA Exp'!Y89</f>
        <v>-202598</v>
      </c>
      <c r="AB89" s="76"/>
      <c r="AC89" s="76">
        <v>23794174</v>
      </c>
      <c r="AD89" s="76"/>
      <c r="AE89" s="76">
        <f t="shared" si="3"/>
        <v>23591576</v>
      </c>
      <c r="AF89" s="76"/>
      <c r="AG89" s="77">
        <f>+'St of Net Assets - GA'!W89-'St of Activities - GA Exp'!AE89</f>
        <v>0</v>
      </c>
    </row>
    <row r="90" spans="1:33" s="82" customFormat="1" ht="12.75">
      <c r="A90" s="75" t="s">
        <v>80</v>
      </c>
      <c r="B90" s="76"/>
      <c r="C90" s="76">
        <v>1409974</v>
      </c>
      <c r="D90" s="76"/>
      <c r="E90" s="76">
        <v>710280</v>
      </c>
      <c r="F90" s="76"/>
      <c r="G90" s="76">
        <v>953673</v>
      </c>
      <c r="H90" s="76"/>
      <c r="I90" s="76">
        <v>3754151</v>
      </c>
      <c r="J90" s="76"/>
      <c r="K90" s="76">
        <v>1358704</v>
      </c>
      <c r="L90" s="76"/>
      <c r="M90" s="76">
        <v>4474239</v>
      </c>
      <c r="N90" s="76"/>
      <c r="O90" s="76">
        <v>0</v>
      </c>
      <c r="P90" s="76"/>
      <c r="Q90" s="76">
        <v>15956</v>
      </c>
      <c r="R90" s="76"/>
      <c r="S90" s="76">
        <v>419153</v>
      </c>
      <c r="T90" s="76"/>
      <c r="U90" s="76">
        <v>0</v>
      </c>
      <c r="V90" s="76"/>
      <c r="W90" s="76">
        <v>168988</v>
      </c>
      <c r="X90" s="76"/>
      <c r="Y90" s="76">
        <f t="shared" si="4"/>
        <v>13265118</v>
      </c>
      <c r="Z90" s="76"/>
      <c r="AA90" s="76">
        <f>+'St of Activities - GA Rev'!X90-'St of Activities - GA Exp'!Y90</f>
        <v>2554876</v>
      </c>
      <c r="AB90" s="76"/>
      <c r="AC90" s="76">
        <v>6911512</v>
      </c>
      <c r="AD90" s="76"/>
      <c r="AE90" s="76">
        <f t="shared" si="3"/>
        <v>9466388</v>
      </c>
      <c r="AF90" s="76"/>
      <c r="AG90" s="77">
        <f>+'St of Net Assets - GA'!W90-'St of Activities - GA Exp'!AE90</f>
        <v>0</v>
      </c>
    </row>
    <row r="91" spans="1:33" s="82" customFormat="1" ht="12.75">
      <c r="A91" s="75" t="s">
        <v>81</v>
      </c>
      <c r="B91" s="76"/>
      <c r="C91" s="76">
        <v>15794372</v>
      </c>
      <c r="D91" s="76"/>
      <c r="E91" s="76">
        <v>7385089</v>
      </c>
      <c r="F91" s="76"/>
      <c r="G91" s="76">
        <v>19538316</v>
      </c>
      <c r="H91" s="76"/>
      <c r="I91" s="76">
        <v>6231985</v>
      </c>
      <c r="J91" s="76"/>
      <c r="K91" s="76">
        <v>638477</v>
      </c>
      <c r="L91" s="76"/>
      <c r="M91" s="76">
        <v>35895122</v>
      </c>
      <c r="N91" s="76"/>
      <c r="O91" s="76">
        <v>856785</v>
      </c>
      <c r="P91" s="76"/>
      <c r="Q91" s="76">
        <v>0</v>
      </c>
      <c r="R91" s="76"/>
      <c r="S91" s="76">
        <v>0</v>
      </c>
      <c r="T91" s="76"/>
      <c r="U91" s="76">
        <v>0</v>
      </c>
      <c r="V91" s="76"/>
      <c r="W91" s="76">
        <v>1391801</v>
      </c>
      <c r="X91" s="76"/>
      <c r="Y91" s="76">
        <f t="shared" si="4"/>
        <v>87731947</v>
      </c>
      <c r="Z91" s="76"/>
      <c r="AA91" s="76">
        <f>+'St of Activities - GA Rev'!X91-'St of Activities - GA Exp'!Y91</f>
        <v>9417865</v>
      </c>
      <c r="AB91" s="76"/>
      <c r="AC91" s="76">
        <v>124465063</v>
      </c>
      <c r="AD91" s="76"/>
      <c r="AE91" s="76">
        <f t="shared" si="3"/>
        <v>133882928</v>
      </c>
      <c r="AF91" s="76"/>
      <c r="AG91" s="77">
        <f>+'St of Net Assets - GA'!W91-'St of Activities - GA Exp'!AE91</f>
        <v>0</v>
      </c>
    </row>
    <row r="92" spans="1:33" s="82" customFormat="1" ht="12.75">
      <c r="A92" s="75" t="s">
        <v>82</v>
      </c>
      <c r="B92" s="76"/>
      <c r="C92" s="76">
        <v>4426990</v>
      </c>
      <c r="D92" s="76"/>
      <c r="E92" s="76">
        <v>1616587</v>
      </c>
      <c r="F92" s="76"/>
      <c r="G92" s="76">
        <v>3826420</v>
      </c>
      <c r="H92" s="76"/>
      <c r="I92" s="76">
        <v>8104178</v>
      </c>
      <c r="J92" s="76"/>
      <c r="K92" s="76">
        <f>3904604+6148938+2170067+270035</f>
        <v>12493644</v>
      </c>
      <c r="L92" s="76"/>
      <c r="M92" s="76">
        <f>872999+2354142+8441433+1536439</f>
        <v>13205013</v>
      </c>
      <c r="N92" s="76"/>
      <c r="O92" s="76">
        <v>610137</v>
      </c>
      <c r="P92" s="76"/>
      <c r="Q92" s="76">
        <v>0</v>
      </c>
      <c r="R92" s="76"/>
      <c r="S92" s="76">
        <v>0</v>
      </c>
      <c r="T92" s="76"/>
      <c r="U92" s="76">
        <v>2307173</v>
      </c>
      <c r="V92" s="76"/>
      <c r="W92" s="76">
        <v>300627</v>
      </c>
      <c r="X92" s="76"/>
      <c r="Y92" s="76">
        <f t="shared" si="4"/>
        <v>46890769</v>
      </c>
      <c r="Z92" s="76"/>
      <c r="AA92" s="76">
        <v>4385249</v>
      </c>
      <c r="AB92" s="76"/>
      <c r="AC92" s="76">
        <v>170152645</v>
      </c>
      <c r="AD92" s="76"/>
      <c r="AE92" s="76">
        <f t="shared" si="3"/>
        <v>174537894</v>
      </c>
      <c r="AF92" s="76"/>
      <c r="AG92" s="77">
        <v>0</v>
      </c>
    </row>
    <row r="93" spans="1:33" s="82" customFormat="1" ht="12.75">
      <c r="A93" s="75" t="s">
        <v>83</v>
      </c>
      <c r="B93" s="76"/>
      <c r="C93" s="76">
        <v>8612858</v>
      </c>
      <c r="D93" s="76"/>
      <c r="E93" s="76">
        <v>4084096</v>
      </c>
      <c r="F93" s="76"/>
      <c r="G93" s="76">
        <v>8892344</v>
      </c>
      <c r="H93" s="76"/>
      <c r="I93" s="76">
        <v>7842845</v>
      </c>
      <c r="J93" s="76"/>
      <c r="K93" s="76">
        <v>496862</v>
      </c>
      <c r="L93" s="76"/>
      <c r="M93" s="76">
        <v>30212937</v>
      </c>
      <c r="N93" s="76"/>
      <c r="O93" s="76">
        <v>357410</v>
      </c>
      <c r="P93" s="76"/>
      <c r="Q93" s="76">
        <v>268097</v>
      </c>
      <c r="R93" s="76"/>
      <c r="S93" s="76">
        <f>103002+376144+997222</f>
        <v>1476368</v>
      </c>
      <c r="T93" s="76"/>
      <c r="U93" s="76">
        <v>0</v>
      </c>
      <c r="V93" s="76"/>
      <c r="W93" s="76">
        <v>605138</v>
      </c>
      <c r="X93" s="76"/>
      <c r="Y93" s="76">
        <f t="shared" si="4"/>
        <v>62848955</v>
      </c>
      <c r="Z93" s="76"/>
      <c r="AA93" s="76">
        <v>-780742</v>
      </c>
      <c r="AB93" s="76"/>
      <c r="AC93" s="76">
        <v>91102520</v>
      </c>
      <c r="AD93" s="76"/>
      <c r="AE93" s="76">
        <f t="shared" si="3"/>
        <v>90321778</v>
      </c>
      <c r="AF93" s="76"/>
      <c r="AG93" s="77">
        <v>0</v>
      </c>
    </row>
    <row r="94" spans="1:33" s="82" customFormat="1" ht="12.75" hidden="1">
      <c r="A94" s="75" t="s">
        <v>183</v>
      </c>
      <c r="B94" s="76"/>
      <c r="C94" s="76">
        <v>0</v>
      </c>
      <c r="D94" s="76"/>
      <c r="E94" s="76">
        <v>0</v>
      </c>
      <c r="F94" s="76"/>
      <c r="G94" s="76">
        <v>0</v>
      </c>
      <c r="H94" s="76"/>
      <c r="I94" s="76">
        <v>0</v>
      </c>
      <c r="J94" s="76"/>
      <c r="K94" s="76">
        <v>0</v>
      </c>
      <c r="L94" s="76"/>
      <c r="M94" s="76">
        <v>0</v>
      </c>
      <c r="N94" s="76"/>
      <c r="O94" s="76">
        <v>0</v>
      </c>
      <c r="P94" s="76"/>
      <c r="Q94" s="76">
        <v>0</v>
      </c>
      <c r="R94" s="76"/>
      <c r="S94" s="76">
        <v>0</v>
      </c>
      <c r="T94" s="76"/>
      <c r="U94" s="76">
        <v>0</v>
      </c>
      <c r="V94" s="76"/>
      <c r="W94" s="76">
        <v>0</v>
      </c>
      <c r="X94" s="76"/>
      <c r="Y94" s="76">
        <f t="shared" si="4"/>
        <v>0</v>
      </c>
      <c r="Z94" s="76"/>
      <c r="AA94" s="76">
        <v>0</v>
      </c>
      <c r="AB94" s="76"/>
      <c r="AC94" s="76">
        <v>0</v>
      </c>
      <c r="AD94" s="76"/>
      <c r="AE94" s="76">
        <f t="shared" si="3"/>
        <v>0</v>
      </c>
      <c r="AF94" s="76"/>
      <c r="AG94" s="77">
        <v>0</v>
      </c>
    </row>
    <row r="95" spans="1:33" s="82" customFormat="1" ht="12.75">
      <c r="A95" s="75" t="s">
        <v>84</v>
      </c>
      <c r="B95" s="76"/>
      <c r="C95" s="76">
        <v>14730269</v>
      </c>
      <c r="D95" s="76"/>
      <c r="E95" s="76">
        <v>6592738</v>
      </c>
      <c r="F95" s="76"/>
      <c r="G95" s="76">
        <v>7713811</v>
      </c>
      <c r="H95" s="76"/>
      <c r="I95" s="76">
        <v>9554854</v>
      </c>
      <c r="J95" s="76"/>
      <c r="K95" s="76">
        <f>9955538+475855</f>
        <v>10431393</v>
      </c>
      <c r="L95" s="76"/>
      <c r="M95" s="76">
        <f>3983043+19571319+2102921+8713197</f>
        <v>34370480</v>
      </c>
      <c r="N95" s="76"/>
      <c r="O95" s="76">
        <v>1442864</v>
      </c>
      <c r="P95" s="76"/>
      <c r="Q95" s="76">
        <v>274086</v>
      </c>
      <c r="R95" s="76"/>
      <c r="S95" s="76">
        <v>1399268</v>
      </c>
      <c r="T95" s="76"/>
      <c r="U95" s="76">
        <v>518030</v>
      </c>
      <c r="V95" s="76"/>
      <c r="W95" s="76">
        <v>854416</v>
      </c>
      <c r="X95" s="76"/>
      <c r="Y95" s="76">
        <f t="shared" si="4"/>
        <v>87882209</v>
      </c>
      <c r="Z95" s="76"/>
      <c r="AA95" s="76">
        <v>5937088</v>
      </c>
      <c r="AB95" s="76"/>
      <c r="AC95" s="76">
        <v>133204751</v>
      </c>
      <c r="AD95" s="76"/>
      <c r="AE95" s="76">
        <f t="shared" si="3"/>
        <v>139141839</v>
      </c>
      <c r="AF95" s="76"/>
      <c r="AG95" s="77">
        <v>0</v>
      </c>
    </row>
    <row r="96" spans="1:33" s="82" customFormat="1" ht="12.75" hidden="1">
      <c r="A96" s="26" t="s">
        <v>184</v>
      </c>
      <c r="B96" s="76"/>
      <c r="C96" s="76">
        <v>0</v>
      </c>
      <c r="D96" s="76"/>
      <c r="E96" s="76">
        <v>0</v>
      </c>
      <c r="F96" s="76"/>
      <c r="G96" s="76">
        <v>0</v>
      </c>
      <c r="H96" s="76"/>
      <c r="I96" s="76">
        <v>0</v>
      </c>
      <c r="J96" s="76"/>
      <c r="K96" s="76">
        <v>0</v>
      </c>
      <c r="L96" s="76"/>
      <c r="M96" s="76">
        <v>0</v>
      </c>
      <c r="N96" s="76"/>
      <c r="O96" s="76">
        <v>0</v>
      </c>
      <c r="P96" s="76"/>
      <c r="Q96" s="76">
        <v>0</v>
      </c>
      <c r="R96" s="76"/>
      <c r="S96" s="76">
        <v>0</v>
      </c>
      <c r="T96" s="76"/>
      <c r="U96" s="76">
        <v>0</v>
      </c>
      <c r="V96" s="76"/>
      <c r="W96" s="76">
        <v>0</v>
      </c>
      <c r="X96" s="76"/>
      <c r="Y96" s="76">
        <f t="shared" si="4"/>
        <v>0</v>
      </c>
      <c r="Z96" s="76"/>
      <c r="AA96" s="76">
        <f>+'St of Activities - GA Rev'!X96-'St of Activities - GA Exp'!Y96</f>
        <v>0</v>
      </c>
      <c r="AB96" s="76"/>
      <c r="AC96" s="76">
        <v>0</v>
      </c>
      <c r="AD96" s="76"/>
      <c r="AE96" s="76">
        <f t="shared" si="3"/>
        <v>0</v>
      </c>
      <c r="AF96" s="76"/>
      <c r="AG96" s="77">
        <f>+'St of Net Assets - GA'!W96-'St of Activities - GA Exp'!AE96</f>
        <v>0</v>
      </c>
    </row>
    <row r="97" spans="1:33" ht="12.75">
      <c r="A97" s="26"/>
      <c r="B97" s="19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7"/>
    </row>
    <row r="98" spans="1:33" ht="12.75">
      <c r="A98" s="26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56"/>
    </row>
    <row r="99" spans="1:33" ht="12.75">
      <c r="A99" s="16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56"/>
    </row>
    <row r="100" spans="1:33" ht="12.75">
      <c r="A100" s="16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56"/>
    </row>
    <row r="101" spans="2:33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56"/>
    </row>
    <row r="102" spans="2:33" ht="12.7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</row>
    <row r="103" spans="2:32" ht="12.7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</row>
    <row r="104" spans="2:32" ht="12.75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</row>
    <row r="105" spans="2:32" ht="12.75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</row>
    <row r="106" spans="2:32" ht="12.75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</row>
    <row r="107" spans="2:32" ht="12.75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</row>
  </sheetData>
  <mergeCells count="1">
    <mergeCell ref="C6:W6"/>
  </mergeCells>
  <printOptions/>
  <pageMargins left="1" right="1" top="0.5" bottom="0.25" header="0" footer="0.25"/>
  <pageSetup firstPageNumber="6" useFirstPageNumber="1" horizontalDpi="600" verticalDpi="600" orientation="portrait" scale="9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98"/>
  <sheetViews>
    <sheetView workbookViewId="0" topLeftCell="A1">
      <selection activeCell="A5" sqref="A5"/>
    </sheetView>
  </sheetViews>
  <sheetFormatPr defaultColWidth="9.140625" defaultRowHeight="12.75"/>
  <cols>
    <col min="1" max="1" width="15.7109375" style="66" customWidth="1"/>
    <col min="2" max="2" width="1.7109375" style="66" customWidth="1"/>
    <col min="3" max="3" width="12.7109375" style="56" customWidth="1"/>
    <col min="4" max="4" width="1.7109375" style="56" customWidth="1"/>
    <col min="5" max="5" width="12.7109375" style="56" customWidth="1"/>
    <col min="6" max="6" width="1.7109375" style="56" customWidth="1"/>
    <col min="7" max="7" width="12.7109375" style="56" customWidth="1"/>
    <col min="8" max="8" width="1.7109375" style="56" customWidth="1"/>
    <col min="9" max="9" width="12.7109375" style="56" customWidth="1"/>
    <col min="10" max="10" width="1.7109375" style="56" customWidth="1"/>
    <col min="11" max="11" width="12.7109375" style="56" customWidth="1"/>
    <col min="12" max="12" width="1.7109375" style="56" customWidth="1"/>
    <col min="13" max="13" width="12.7109375" style="56" customWidth="1"/>
    <col min="14" max="14" width="1.7109375" style="56" customWidth="1"/>
    <col min="15" max="15" width="12.7109375" style="56" customWidth="1"/>
    <col min="16" max="16" width="2.7109375" style="66" customWidth="1"/>
    <col min="17" max="17" width="12.7109375" style="66" customWidth="1"/>
    <col min="18" max="16384" width="9.140625" style="66" customWidth="1"/>
  </cols>
  <sheetData>
    <row r="1" spans="1:16" ht="12.75">
      <c r="A1" s="20" t="s">
        <v>215</v>
      </c>
      <c r="B1" s="20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0"/>
    </row>
    <row r="2" spans="1:16" ht="12.75">
      <c r="A2" s="20" t="s">
        <v>225</v>
      </c>
      <c r="B2" s="20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0"/>
    </row>
    <row r="3" spans="1:16" ht="12.75">
      <c r="A3" s="21"/>
      <c r="B3" s="21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21"/>
    </row>
    <row r="4" spans="1:16" ht="12.75">
      <c r="A4" s="15" t="s">
        <v>196</v>
      </c>
      <c r="B4" s="17"/>
      <c r="C4" s="44"/>
      <c r="D4" s="44"/>
      <c r="E4" s="44"/>
      <c r="F4" s="44"/>
      <c r="G4" s="44"/>
      <c r="H4" s="44"/>
      <c r="I4" s="44"/>
      <c r="J4" s="44"/>
      <c r="P4" s="22"/>
    </row>
    <row r="5" spans="1:16" ht="12.75">
      <c r="A5" s="15"/>
      <c r="B5" s="17"/>
      <c r="C5" s="44"/>
      <c r="D5" s="44"/>
      <c r="E5" s="44"/>
      <c r="F5" s="44"/>
      <c r="G5" s="44"/>
      <c r="H5" s="44"/>
      <c r="I5" s="44"/>
      <c r="J5" s="44"/>
      <c r="P5" s="22"/>
    </row>
    <row r="6" spans="1:16" ht="12.75">
      <c r="A6" s="15"/>
      <c r="B6" s="17"/>
      <c r="C6" s="44"/>
      <c r="D6" s="44"/>
      <c r="E6" s="44"/>
      <c r="F6" s="44"/>
      <c r="G6" s="44"/>
      <c r="H6" s="44"/>
      <c r="I6" s="44"/>
      <c r="J6" s="44"/>
      <c r="K6" s="44" t="s">
        <v>119</v>
      </c>
      <c r="L6" s="44"/>
      <c r="M6" s="44" t="s">
        <v>120</v>
      </c>
      <c r="N6" s="44"/>
      <c r="O6" s="44" t="s">
        <v>4</v>
      </c>
      <c r="P6" s="22"/>
    </row>
    <row r="7" spans="1:17" ht="12.75">
      <c r="A7" s="17"/>
      <c r="B7" s="17"/>
      <c r="C7" s="44" t="s">
        <v>121</v>
      </c>
      <c r="D7" s="44"/>
      <c r="E7" s="44" t="s">
        <v>4</v>
      </c>
      <c r="F7" s="44"/>
      <c r="G7" s="44" t="s">
        <v>122</v>
      </c>
      <c r="H7" s="44"/>
      <c r="I7" s="44" t="s">
        <v>4</v>
      </c>
      <c r="J7" s="44"/>
      <c r="K7" s="44" t="s">
        <v>123</v>
      </c>
      <c r="L7" s="44"/>
      <c r="M7" s="44" t="s">
        <v>124</v>
      </c>
      <c r="N7" s="44"/>
      <c r="O7" s="44" t="s">
        <v>123</v>
      </c>
      <c r="P7" s="22"/>
      <c r="Q7" s="109" t="s">
        <v>241</v>
      </c>
    </row>
    <row r="8" spans="1:17" s="121" customFormat="1" ht="12.75">
      <c r="A8" s="74" t="s">
        <v>5</v>
      </c>
      <c r="B8" s="68"/>
      <c r="C8" s="53" t="s">
        <v>125</v>
      </c>
      <c r="D8" s="73"/>
      <c r="E8" s="53" t="s">
        <v>117</v>
      </c>
      <c r="F8" s="73"/>
      <c r="G8" s="53" t="s">
        <v>11</v>
      </c>
      <c r="H8" s="73"/>
      <c r="I8" s="53" t="s">
        <v>126</v>
      </c>
      <c r="J8" s="73"/>
      <c r="K8" s="53" t="s">
        <v>127</v>
      </c>
      <c r="L8" s="73"/>
      <c r="M8" s="53" t="s">
        <v>128</v>
      </c>
      <c r="N8" s="73"/>
      <c r="O8" s="53" t="s">
        <v>118</v>
      </c>
      <c r="P8" s="22"/>
      <c r="Q8" s="120" t="s">
        <v>250</v>
      </c>
    </row>
    <row r="9" spans="1:16" ht="12.75" hidden="1">
      <c r="A9" s="68"/>
      <c r="B9" s="68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22"/>
    </row>
    <row r="10" spans="1:17" ht="12.75">
      <c r="A10" s="26" t="s">
        <v>13</v>
      </c>
      <c r="B10" s="26"/>
      <c r="C10" s="52">
        <f>5932513+4639</f>
        <v>5937152</v>
      </c>
      <c r="D10" s="52"/>
      <c r="E10" s="52">
        <v>15106187</v>
      </c>
      <c r="F10" s="52"/>
      <c r="G10" s="52">
        <v>6860699</v>
      </c>
      <c r="H10" s="52"/>
      <c r="I10" s="52">
        <v>9516008</v>
      </c>
      <c r="J10" s="52"/>
      <c r="K10" s="52">
        <f>270000+273664+164491</f>
        <v>708155</v>
      </c>
      <c r="L10" s="52"/>
      <c r="M10" s="52">
        <v>4882024</v>
      </c>
      <c r="N10" s="52"/>
      <c r="O10" s="52">
        <f>+M10+K10</f>
        <v>5590179</v>
      </c>
      <c r="P10" s="52"/>
      <c r="Q10" s="56">
        <f>+E10-I10-O10</f>
        <v>0</v>
      </c>
    </row>
    <row r="11" spans="1:17" ht="12.75">
      <c r="A11" s="26" t="s">
        <v>14</v>
      </c>
      <c r="B11" s="26"/>
      <c r="C11" s="52">
        <f>4515091+2759</f>
        <v>4517850</v>
      </c>
      <c r="D11" s="52"/>
      <c r="E11" s="52">
        <v>8575560</v>
      </c>
      <c r="F11" s="52"/>
      <c r="G11" s="52">
        <v>3418107</v>
      </c>
      <c r="H11" s="52"/>
      <c r="I11" s="52">
        <v>3795434</v>
      </c>
      <c r="J11" s="52"/>
      <c r="K11" s="52">
        <f>52282+49716</f>
        <v>101998</v>
      </c>
      <c r="L11" s="52"/>
      <c r="M11" s="52">
        <v>4678128</v>
      </c>
      <c r="N11" s="52"/>
      <c r="O11" s="52">
        <f aca="true" t="shared" si="0" ref="O11:O72">+M11+K11</f>
        <v>4780126</v>
      </c>
      <c r="P11" s="52"/>
      <c r="Q11" s="56">
        <f aca="true" t="shared" si="1" ref="Q11:Q72">+E11-I11-O11</f>
        <v>0</v>
      </c>
    </row>
    <row r="12" spans="1:17" ht="12.75">
      <c r="A12" s="26" t="s">
        <v>15</v>
      </c>
      <c r="B12" s="26"/>
      <c r="C12" s="52">
        <f>3861996+124328</f>
        <v>3986324</v>
      </c>
      <c r="D12" s="52"/>
      <c r="E12" s="52">
        <v>8658596</v>
      </c>
      <c r="F12" s="52"/>
      <c r="G12" s="52">
        <v>2947718</v>
      </c>
      <c r="H12" s="52"/>
      <c r="I12" s="52">
        <v>4179993</v>
      </c>
      <c r="J12" s="52"/>
      <c r="K12" s="52">
        <f>411879+36160+90000</f>
        <v>538039</v>
      </c>
      <c r="L12" s="52"/>
      <c r="M12" s="52">
        <v>3940564</v>
      </c>
      <c r="N12" s="52"/>
      <c r="O12" s="52">
        <f t="shared" si="0"/>
        <v>4478603</v>
      </c>
      <c r="P12" s="52"/>
      <c r="Q12" s="56">
        <f t="shared" si="1"/>
        <v>0</v>
      </c>
    </row>
    <row r="13" spans="1:17" ht="12.75">
      <c r="A13" s="26" t="s">
        <v>16</v>
      </c>
      <c r="B13" s="26"/>
      <c r="C13" s="52">
        <f>1375628+8287</f>
        <v>1383915</v>
      </c>
      <c r="D13" s="52"/>
      <c r="E13" s="52">
        <v>4668839</v>
      </c>
      <c r="F13" s="52"/>
      <c r="G13" s="52">
        <v>1916699</v>
      </c>
      <c r="H13" s="52"/>
      <c r="I13" s="52">
        <v>2460164</v>
      </c>
      <c r="J13" s="52"/>
      <c r="K13" s="52">
        <v>34084</v>
      </c>
      <c r="L13" s="52"/>
      <c r="M13" s="52">
        <v>2174591</v>
      </c>
      <c r="N13" s="52"/>
      <c r="O13" s="52">
        <f t="shared" si="0"/>
        <v>2208675</v>
      </c>
      <c r="P13" s="52"/>
      <c r="Q13" s="56">
        <f t="shared" si="1"/>
        <v>0</v>
      </c>
    </row>
    <row r="14" spans="1:17" ht="12.75">
      <c r="A14" s="26" t="s">
        <v>17</v>
      </c>
      <c r="B14" s="26"/>
      <c r="C14" s="52">
        <v>3599360</v>
      </c>
      <c r="D14" s="52"/>
      <c r="E14" s="52">
        <v>6703214</v>
      </c>
      <c r="F14" s="52"/>
      <c r="G14" s="52">
        <v>2132856</v>
      </c>
      <c r="H14" s="52"/>
      <c r="I14" s="52">
        <v>2442445</v>
      </c>
      <c r="J14" s="52"/>
      <c r="K14" s="52">
        <f>126955+57600</f>
        <v>184555</v>
      </c>
      <c r="L14" s="52"/>
      <c r="M14" s="52">
        <v>4076214</v>
      </c>
      <c r="N14" s="52"/>
      <c r="O14" s="52">
        <f t="shared" si="0"/>
        <v>4260769</v>
      </c>
      <c r="P14" s="52"/>
      <c r="Q14" s="56">
        <f t="shared" si="1"/>
        <v>0</v>
      </c>
    </row>
    <row r="15" spans="1:17" ht="12.75">
      <c r="A15" s="26" t="s">
        <v>18</v>
      </c>
      <c r="B15" s="26"/>
      <c r="C15" s="52">
        <f>3894308+16120</f>
        <v>3910428</v>
      </c>
      <c r="D15" s="52"/>
      <c r="E15" s="52">
        <v>9435021</v>
      </c>
      <c r="F15" s="52"/>
      <c r="G15" s="52">
        <v>2973431</v>
      </c>
      <c r="H15" s="52"/>
      <c r="I15" s="52">
        <v>3703824</v>
      </c>
      <c r="J15" s="52"/>
      <c r="K15" s="52">
        <f>1376485+119797</f>
        <v>1496282</v>
      </c>
      <c r="L15" s="52"/>
      <c r="M15" s="52">
        <f>1160000+3074915</f>
        <v>4234915</v>
      </c>
      <c r="N15" s="52"/>
      <c r="O15" s="52">
        <f t="shared" si="0"/>
        <v>5731197</v>
      </c>
      <c r="P15" s="52"/>
      <c r="Q15" s="56">
        <f t="shared" si="1"/>
        <v>0</v>
      </c>
    </row>
    <row r="16" spans="1:17" ht="12.75" hidden="1">
      <c r="A16" s="26" t="s">
        <v>138</v>
      </c>
      <c r="B16" s="26"/>
      <c r="C16" s="52">
        <v>0</v>
      </c>
      <c r="D16" s="52"/>
      <c r="E16" s="52">
        <v>0</v>
      </c>
      <c r="F16" s="52"/>
      <c r="G16" s="52">
        <v>0</v>
      </c>
      <c r="H16" s="52"/>
      <c r="I16" s="52">
        <v>0</v>
      </c>
      <c r="J16" s="52"/>
      <c r="K16" s="52">
        <v>0</v>
      </c>
      <c r="L16" s="52"/>
      <c r="M16" s="52">
        <v>0</v>
      </c>
      <c r="N16" s="52"/>
      <c r="O16" s="52">
        <f t="shared" si="0"/>
        <v>0</v>
      </c>
      <c r="P16" s="52"/>
      <c r="Q16" s="56">
        <f t="shared" si="1"/>
        <v>0</v>
      </c>
    </row>
    <row r="17" spans="1:17" ht="12.75">
      <c r="A17" s="26" t="s">
        <v>187</v>
      </c>
      <c r="B17" s="26"/>
      <c r="C17" s="52">
        <f>11237418+260950+2468512</f>
        <v>13966880</v>
      </c>
      <c r="D17" s="52"/>
      <c r="E17" s="52">
        <v>34800709</v>
      </c>
      <c r="F17" s="52"/>
      <c r="G17" s="52">
        <v>15782220</v>
      </c>
      <c r="H17" s="52"/>
      <c r="I17" s="52">
        <v>21149521</v>
      </c>
      <c r="J17" s="52"/>
      <c r="K17" s="52">
        <f>206414+117545+70000+2691699+551802</f>
        <v>3637460</v>
      </c>
      <c r="L17" s="52"/>
      <c r="M17" s="52">
        <v>10013728</v>
      </c>
      <c r="N17" s="52"/>
      <c r="O17" s="52">
        <f t="shared" si="0"/>
        <v>13651188</v>
      </c>
      <c r="P17" s="52"/>
      <c r="Q17" s="56">
        <f t="shared" si="1"/>
        <v>0</v>
      </c>
    </row>
    <row r="18" spans="1:17" ht="12.75">
      <c r="A18" s="26" t="s">
        <v>20</v>
      </c>
      <c r="B18" s="26"/>
      <c r="C18" s="52">
        <f>515420+58775</f>
        <v>574195</v>
      </c>
      <c r="D18" s="52"/>
      <c r="E18" s="52">
        <v>2781139</v>
      </c>
      <c r="F18" s="52"/>
      <c r="G18" s="52">
        <v>1637612</v>
      </c>
      <c r="H18" s="52"/>
      <c r="I18" s="52">
        <v>1877976</v>
      </c>
      <c r="J18" s="52"/>
      <c r="K18" s="52">
        <f>200511+51533+18505+6000+21745</f>
        <v>298294</v>
      </c>
      <c r="L18" s="52"/>
      <c r="M18" s="52">
        <v>604869</v>
      </c>
      <c r="N18" s="52"/>
      <c r="O18" s="52">
        <f t="shared" si="0"/>
        <v>903163</v>
      </c>
      <c r="P18" s="52"/>
      <c r="Q18" s="56">
        <f t="shared" si="1"/>
        <v>0</v>
      </c>
    </row>
    <row r="19" spans="1:17" ht="12.75" hidden="1">
      <c r="A19" s="26" t="s">
        <v>181</v>
      </c>
      <c r="B19" s="26"/>
      <c r="C19" s="52">
        <v>0</v>
      </c>
      <c r="D19" s="52"/>
      <c r="E19" s="52">
        <v>0</v>
      </c>
      <c r="F19" s="52"/>
      <c r="G19" s="52">
        <v>0</v>
      </c>
      <c r="H19" s="52"/>
      <c r="I19" s="52">
        <v>0</v>
      </c>
      <c r="J19" s="52"/>
      <c r="K19" s="52">
        <v>0</v>
      </c>
      <c r="L19" s="52"/>
      <c r="M19" s="52">
        <v>0</v>
      </c>
      <c r="N19" s="52"/>
      <c r="O19" s="52">
        <f t="shared" si="0"/>
        <v>0</v>
      </c>
      <c r="P19" s="52"/>
      <c r="Q19" s="56">
        <f t="shared" si="1"/>
        <v>0</v>
      </c>
    </row>
    <row r="20" spans="1:17" ht="12.75">
      <c r="A20" s="26" t="s">
        <v>21</v>
      </c>
      <c r="B20" s="26"/>
      <c r="C20" s="52">
        <f>7286402</f>
        <v>7286402</v>
      </c>
      <c r="D20" s="52"/>
      <c r="E20" s="52">
        <v>14586535</v>
      </c>
      <c r="F20" s="52"/>
      <c r="G20" s="52">
        <v>5955906</v>
      </c>
      <c r="H20" s="52"/>
      <c r="I20" s="52">
        <v>7211661</v>
      </c>
      <c r="J20" s="52"/>
      <c r="K20" s="52">
        <f>820537+88597+36818</f>
        <v>945952</v>
      </c>
      <c r="L20" s="52"/>
      <c r="M20" s="52">
        <v>6428922</v>
      </c>
      <c r="N20" s="52"/>
      <c r="O20" s="52">
        <f t="shared" si="0"/>
        <v>7374874</v>
      </c>
      <c r="P20" s="52"/>
      <c r="Q20" s="56">
        <f t="shared" si="1"/>
        <v>0</v>
      </c>
    </row>
    <row r="21" spans="1:17" ht="12.75">
      <c r="A21" s="26" t="s">
        <v>193</v>
      </c>
      <c r="B21" s="26"/>
      <c r="C21" s="52">
        <f>26625338</f>
        <v>26625338</v>
      </c>
      <c r="D21" s="52"/>
      <c r="E21" s="52">
        <v>41923776</v>
      </c>
      <c r="F21" s="52"/>
      <c r="G21" s="52">
        <v>11189087</v>
      </c>
      <c r="H21" s="52"/>
      <c r="I21" s="52">
        <v>13327018</v>
      </c>
      <c r="J21" s="52"/>
      <c r="K21" s="52">
        <f>924267</f>
        <v>924267</v>
      </c>
      <c r="L21" s="52"/>
      <c r="M21" s="52">
        <f>2300000+25372491</f>
        <v>27672491</v>
      </c>
      <c r="N21" s="52"/>
      <c r="O21" s="52">
        <f t="shared" si="0"/>
        <v>28596758</v>
      </c>
      <c r="P21" s="52"/>
      <c r="Q21" s="56">
        <f t="shared" si="1"/>
        <v>0</v>
      </c>
    </row>
    <row r="22" spans="1:17" ht="12.75">
      <c r="A22" s="26" t="s">
        <v>22</v>
      </c>
      <c r="B22" s="26"/>
      <c r="C22" s="52">
        <f>798038</f>
        <v>798038</v>
      </c>
      <c r="D22" s="52"/>
      <c r="E22" s="52">
        <v>3875347</v>
      </c>
      <c r="F22" s="52"/>
      <c r="G22" s="52">
        <v>1816444</v>
      </c>
      <c r="H22" s="52"/>
      <c r="I22" s="52">
        <v>3402920</v>
      </c>
      <c r="J22" s="52"/>
      <c r="K22" s="52">
        <f>182109+79735+46878+84225</f>
        <v>392947</v>
      </c>
      <c r="L22" s="52"/>
      <c r="M22" s="52">
        <v>79480</v>
      </c>
      <c r="N22" s="52"/>
      <c r="O22" s="52">
        <f t="shared" si="0"/>
        <v>472427</v>
      </c>
      <c r="P22" s="52"/>
      <c r="Q22" s="56">
        <f t="shared" si="1"/>
        <v>0</v>
      </c>
    </row>
    <row r="23" spans="1:17" ht="12.75" hidden="1">
      <c r="A23" s="26" t="s">
        <v>23</v>
      </c>
      <c r="B23" s="26"/>
      <c r="C23" s="52">
        <v>0</v>
      </c>
      <c r="D23" s="52"/>
      <c r="E23" s="52">
        <v>0</v>
      </c>
      <c r="F23" s="52"/>
      <c r="G23" s="52">
        <v>0</v>
      </c>
      <c r="H23" s="52"/>
      <c r="I23" s="52">
        <v>0</v>
      </c>
      <c r="J23" s="52"/>
      <c r="K23" s="52">
        <v>0</v>
      </c>
      <c r="L23" s="52"/>
      <c r="M23" s="52">
        <v>0</v>
      </c>
      <c r="N23" s="52"/>
      <c r="O23" s="52">
        <f t="shared" si="0"/>
        <v>0</v>
      </c>
      <c r="P23" s="52"/>
      <c r="Q23" s="56">
        <f t="shared" si="1"/>
        <v>0</v>
      </c>
    </row>
    <row r="24" spans="1:17" ht="12.75" hidden="1">
      <c r="A24" s="26" t="s">
        <v>24</v>
      </c>
      <c r="B24" s="26"/>
      <c r="C24" s="52">
        <v>0</v>
      </c>
      <c r="D24" s="52"/>
      <c r="E24" s="52">
        <v>0</v>
      </c>
      <c r="F24" s="52"/>
      <c r="G24" s="52">
        <v>0</v>
      </c>
      <c r="H24" s="52"/>
      <c r="I24" s="52">
        <v>0</v>
      </c>
      <c r="J24" s="52"/>
      <c r="K24" s="52">
        <v>0</v>
      </c>
      <c r="L24" s="52"/>
      <c r="M24" s="52">
        <v>0</v>
      </c>
      <c r="N24" s="52"/>
      <c r="O24" s="52">
        <f t="shared" si="0"/>
        <v>0</v>
      </c>
      <c r="P24" s="52"/>
      <c r="Q24" s="56">
        <f t="shared" si="1"/>
        <v>0</v>
      </c>
    </row>
    <row r="25" spans="1:17" ht="12.75">
      <c r="A25" s="26" t="s">
        <v>191</v>
      </c>
      <c r="B25" s="26"/>
      <c r="C25" s="52">
        <f>2786576</f>
        <v>2786576</v>
      </c>
      <c r="D25" s="52"/>
      <c r="E25" s="52">
        <v>6228583</v>
      </c>
      <c r="F25" s="52"/>
      <c r="G25" s="52">
        <v>2133087</v>
      </c>
      <c r="H25" s="52"/>
      <c r="I25" s="52">
        <v>2565945</v>
      </c>
      <c r="J25" s="52"/>
      <c r="K25" s="52">
        <f>94755+683818</f>
        <v>778573</v>
      </c>
      <c r="L25" s="52"/>
      <c r="M25" s="52">
        <v>2884065</v>
      </c>
      <c r="N25" s="52"/>
      <c r="O25" s="52">
        <f t="shared" si="0"/>
        <v>3662638</v>
      </c>
      <c r="P25" s="52"/>
      <c r="Q25" s="56">
        <f t="shared" si="1"/>
        <v>0</v>
      </c>
    </row>
    <row r="26" spans="1:17" ht="12.75">
      <c r="A26" s="26" t="s">
        <v>25</v>
      </c>
      <c r="B26" s="26"/>
      <c r="C26" s="52">
        <v>11704</v>
      </c>
      <c r="D26" s="52"/>
      <c r="E26" s="52">
        <v>251732</v>
      </c>
      <c r="F26" s="52"/>
      <c r="G26" s="52">
        <v>51723</v>
      </c>
      <c r="H26" s="52"/>
      <c r="I26" s="52">
        <v>65379</v>
      </c>
      <c r="J26" s="52"/>
      <c r="K26" s="52">
        <f>33654+1000+9989</f>
        <v>44643</v>
      </c>
      <c r="L26" s="52"/>
      <c r="M26" s="52">
        <f>1978+7020+132712</f>
        <v>141710</v>
      </c>
      <c r="N26" s="52"/>
      <c r="O26" s="52">
        <f t="shared" si="0"/>
        <v>186353</v>
      </c>
      <c r="P26" s="52"/>
      <c r="Q26" s="56">
        <f t="shared" si="1"/>
        <v>0</v>
      </c>
    </row>
    <row r="27" spans="1:17" ht="12.75">
      <c r="A27" s="26" t="s">
        <v>26</v>
      </c>
      <c r="B27" s="26"/>
      <c r="C27" s="52">
        <f>1632591+201812+3256620+483912+159508+60729</f>
        <v>5795172</v>
      </c>
      <c r="D27" s="52"/>
      <c r="E27" s="52">
        <v>5867245</v>
      </c>
      <c r="F27" s="52"/>
      <c r="G27" s="52">
        <v>3070470</v>
      </c>
      <c r="H27" s="52"/>
      <c r="I27" s="52">
        <v>3538211</v>
      </c>
      <c r="J27" s="52"/>
      <c r="K27" s="52">
        <f>35391+17732+54341</f>
        <v>107464</v>
      </c>
      <c r="L27" s="52"/>
      <c r="M27" s="52">
        <v>2221570</v>
      </c>
      <c r="N27" s="52"/>
      <c r="O27" s="52">
        <f t="shared" si="0"/>
        <v>2329034</v>
      </c>
      <c r="P27" s="52"/>
      <c r="Q27" s="56">
        <f t="shared" si="1"/>
        <v>0</v>
      </c>
    </row>
    <row r="28" spans="1:17" ht="12.75">
      <c r="A28" s="26" t="s">
        <v>27</v>
      </c>
      <c r="B28" s="26"/>
      <c r="C28" s="52">
        <f>6290262+81899</f>
        <v>6372161</v>
      </c>
      <c r="D28" s="52"/>
      <c r="E28" s="52">
        <v>11252775</v>
      </c>
      <c r="F28" s="52"/>
      <c r="G28" s="52">
        <v>2571145</v>
      </c>
      <c r="H28" s="52"/>
      <c r="I28" s="52">
        <v>2789991</v>
      </c>
      <c r="J28" s="52"/>
      <c r="K28" s="52">
        <f>105840+80567+1657450</f>
        <v>1843857</v>
      </c>
      <c r="L28" s="52"/>
      <c r="M28" s="52">
        <v>6618927</v>
      </c>
      <c r="N28" s="52"/>
      <c r="O28" s="52">
        <f t="shared" si="0"/>
        <v>8462784</v>
      </c>
      <c r="P28" s="52"/>
      <c r="Q28" s="56">
        <f t="shared" si="1"/>
        <v>0</v>
      </c>
    </row>
    <row r="29" spans="1:17" ht="12.75">
      <c r="A29" s="26" t="s">
        <v>28</v>
      </c>
      <c r="B29" s="26"/>
      <c r="C29" s="52">
        <f>13164406+16195</f>
        <v>13180601</v>
      </c>
      <c r="D29" s="52"/>
      <c r="E29" s="52">
        <v>22236280</v>
      </c>
      <c r="F29" s="52"/>
      <c r="G29" s="52">
        <v>4935289</v>
      </c>
      <c r="H29" s="52"/>
      <c r="I29" s="52">
        <v>6178398</v>
      </c>
      <c r="J29" s="52"/>
      <c r="K29" s="52">
        <f>785177</f>
        <v>785177</v>
      </c>
      <c r="L29" s="52"/>
      <c r="M29" s="52">
        <v>15272705</v>
      </c>
      <c r="N29" s="52"/>
      <c r="O29" s="52">
        <f t="shared" si="0"/>
        <v>16057882</v>
      </c>
      <c r="P29" s="52"/>
      <c r="Q29" s="56">
        <f t="shared" si="1"/>
        <v>0</v>
      </c>
    </row>
    <row r="30" spans="1:17" ht="12.75">
      <c r="A30" s="26" t="s">
        <v>29</v>
      </c>
      <c r="B30" s="26"/>
      <c r="C30" s="52">
        <v>6399501</v>
      </c>
      <c r="D30" s="52"/>
      <c r="E30" s="52">
        <v>15480123</v>
      </c>
      <c r="F30" s="52"/>
      <c r="G30" s="52">
        <v>6439724</v>
      </c>
      <c r="H30" s="52"/>
      <c r="I30" s="52">
        <v>7709354</v>
      </c>
      <c r="J30" s="52"/>
      <c r="K30" s="52">
        <f>655791+30229+6401</f>
        <v>692421</v>
      </c>
      <c r="L30" s="52"/>
      <c r="M30" s="52">
        <f>2000000+5078348</f>
        <v>7078348</v>
      </c>
      <c r="N30" s="52"/>
      <c r="O30" s="52">
        <f t="shared" si="0"/>
        <v>7770769</v>
      </c>
      <c r="P30" s="52"/>
      <c r="Q30" s="56">
        <f t="shared" si="1"/>
        <v>0</v>
      </c>
    </row>
    <row r="31" spans="1:17" ht="12.75">
      <c r="A31" s="26" t="s">
        <v>30</v>
      </c>
      <c r="B31" s="26"/>
      <c r="C31" s="52">
        <f>8052392+93696</f>
        <v>8146088</v>
      </c>
      <c r="D31" s="52"/>
      <c r="E31" s="52">
        <v>20402633</v>
      </c>
      <c r="F31" s="52"/>
      <c r="G31" s="52">
        <v>7912658</v>
      </c>
      <c r="H31" s="52"/>
      <c r="I31" s="52">
        <v>9492509</v>
      </c>
      <c r="J31" s="52"/>
      <c r="K31" s="52">
        <f>1236142+99726</f>
        <v>1335868</v>
      </c>
      <c r="L31" s="52"/>
      <c r="M31" s="52">
        <v>9574256</v>
      </c>
      <c r="N31" s="52"/>
      <c r="O31" s="52">
        <f t="shared" si="0"/>
        <v>10910124</v>
      </c>
      <c r="P31" s="52"/>
      <c r="Q31" s="56">
        <f t="shared" si="1"/>
        <v>0</v>
      </c>
    </row>
    <row r="32" spans="1:17" ht="12.75" hidden="1">
      <c r="A32" s="26" t="s">
        <v>31</v>
      </c>
      <c r="B32" s="26"/>
      <c r="C32" s="52">
        <v>0</v>
      </c>
      <c r="D32" s="52"/>
      <c r="E32" s="52">
        <v>0</v>
      </c>
      <c r="F32" s="52"/>
      <c r="G32" s="52">
        <v>0</v>
      </c>
      <c r="H32" s="52"/>
      <c r="I32" s="52">
        <v>0</v>
      </c>
      <c r="J32" s="52"/>
      <c r="K32" s="52">
        <v>0</v>
      </c>
      <c r="L32" s="52"/>
      <c r="M32" s="52">
        <v>0</v>
      </c>
      <c r="N32" s="52"/>
      <c r="O32" s="52">
        <f t="shared" si="0"/>
        <v>0</v>
      </c>
      <c r="P32" s="52"/>
      <c r="Q32" s="56">
        <f t="shared" si="1"/>
        <v>0</v>
      </c>
    </row>
    <row r="33" spans="1:17" ht="12.75">
      <c r="A33" s="26" t="s">
        <v>32</v>
      </c>
      <c r="B33" s="26"/>
      <c r="C33" s="52">
        <v>1</v>
      </c>
      <c r="D33" s="52"/>
      <c r="E33" s="52">
        <v>198121</v>
      </c>
      <c r="F33" s="52"/>
      <c r="G33" s="52">
        <v>23725</v>
      </c>
      <c r="H33" s="52"/>
      <c r="I33" s="52">
        <v>76916</v>
      </c>
      <c r="J33" s="52"/>
      <c r="K33" s="52">
        <f>819+1817</f>
        <v>2636</v>
      </c>
      <c r="L33" s="52"/>
      <c r="M33" s="52">
        <f>15700+18404+84465</f>
        <v>118569</v>
      </c>
      <c r="N33" s="52"/>
      <c r="O33" s="52">
        <f t="shared" si="0"/>
        <v>121205</v>
      </c>
      <c r="P33" s="52"/>
      <c r="Q33" s="56">
        <f t="shared" si="1"/>
        <v>0</v>
      </c>
    </row>
    <row r="34" spans="1:17" ht="12.75">
      <c r="A34" s="26" t="s">
        <v>33</v>
      </c>
      <c r="B34" s="26"/>
      <c r="C34" s="52">
        <f>3011690+106821</f>
        <v>3118511</v>
      </c>
      <c r="D34" s="52"/>
      <c r="E34" s="52">
        <v>7154347</v>
      </c>
      <c r="F34" s="52"/>
      <c r="G34" s="52">
        <v>2252181</v>
      </c>
      <c r="H34" s="52"/>
      <c r="I34" s="52">
        <v>2628570</v>
      </c>
      <c r="J34" s="52"/>
      <c r="K34" s="52">
        <f>175608+31413+69939+373665+64297</f>
        <v>714922</v>
      </c>
      <c r="L34" s="52"/>
      <c r="M34" s="52">
        <f>505260+3305595</f>
        <v>3810855</v>
      </c>
      <c r="N34" s="52"/>
      <c r="O34" s="52">
        <f t="shared" si="0"/>
        <v>4525777</v>
      </c>
      <c r="P34" s="52"/>
      <c r="Q34" s="56">
        <f t="shared" si="1"/>
        <v>0</v>
      </c>
    </row>
    <row r="35" spans="1:17" ht="12.75">
      <c r="A35" s="26" t="s">
        <v>34</v>
      </c>
      <c r="B35" s="26"/>
      <c r="C35" s="52">
        <f>899880+524</f>
        <v>900404</v>
      </c>
      <c r="D35" s="52"/>
      <c r="E35" s="52">
        <v>3387352</v>
      </c>
      <c r="F35" s="52"/>
      <c r="G35" s="52">
        <v>1810588</v>
      </c>
      <c r="H35" s="52"/>
      <c r="I35" s="52">
        <v>2211363</v>
      </c>
      <c r="J35" s="52"/>
      <c r="K35" s="52">
        <f>4191+2261+49827+69472</f>
        <v>125751</v>
      </c>
      <c r="L35" s="52"/>
      <c r="M35" s="52">
        <f>1050238</f>
        <v>1050238</v>
      </c>
      <c r="N35" s="52"/>
      <c r="O35" s="52">
        <f t="shared" si="0"/>
        <v>1175989</v>
      </c>
      <c r="P35" s="52"/>
      <c r="Q35" s="56">
        <f t="shared" si="1"/>
        <v>0</v>
      </c>
    </row>
    <row r="36" spans="1:17" ht="12.75">
      <c r="A36" s="26" t="s">
        <v>35</v>
      </c>
      <c r="B36" s="26"/>
      <c r="C36" s="52">
        <f>3016578+20</f>
        <v>3016598</v>
      </c>
      <c r="D36" s="52"/>
      <c r="E36" s="52">
        <v>13121446</v>
      </c>
      <c r="F36" s="52"/>
      <c r="G36" s="52">
        <v>8268010</v>
      </c>
      <c r="H36" s="52"/>
      <c r="I36" s="52">
        <v>8924726</v>
      </c>
      <c r="J36" s="52"/>
      <c r="K36" s="52">
        <f>137294+148123</f>
        <v>285417</v>
      </c>
      <c r="L36" s="52"/>
      <c r="M36" s="52">
        <f>3911303</f>
        <v>3911303</v>
      </c>
      <c r="N36" s="52"/>
      <c r="O36" s="52">
        <f t="shared" si="0"/>
        <v>4196720</v>
      </c>
      <c r="P36" s="52"/>
      <c r="Q36" s="56">
        <f t="shared" si="1"/>
        <v>0</v>
      </c>
    </row>
    <row r="37" spans="1:17" ht="12.75">
      <c r="A37" s="26" t="s">
        <v>140</v>
      </c>
      <c r="B37" s="26"/>
      <c r="C37" s="52">
        <v>8404966</v>
      </c>
      <c r="D37" s="52"/>
      <c r="E37" s="52">
        <v>22100842</v>
      </c>
      <c r="F37" s="52"/>
      <c r="G37" s="52">
        <v>8567299</v>
      </c>
      <c r="H37" s="52"/>
      <c r="I37" s="52">
        <v>11455684</v>
      </c>
      <c r="J37" s="52"/>
      <c r="K37" s="52">
        <f>955386</f>
        <v>955386</v>
      </c>
      <c r="L37" s="52"/>
      <c r="M37" s="52">
        <v>9689772</v>
      </c>
      <c r="N37" s="52"/>
      <c r="O37" s="52">
        <f t="shared" si="0"/>
        <v>10645158</v>
      </c>
      <c r="P37" s="52"/>
      <c r="Q37" s="56">
        <f t="shared" si="1"/>
        <v>0</v>
      </c>
    </row>
    <row r="38" spans="1:17" ht="12.75">
      <c r="A38" s="26" t="s">
        <v>36</v>
      </c>
      <c r="B38" s="26"/>
      <c r="C38" s="52">
        <v>1425313</v>
      </c>
      <c r="D38" s="52"/>
      <c r="E38" s="52">
        <v>4471897</v>
      </c>
      <c r="F38" s="52"/>
      <c r="G38" s="52">
        <v>1837884</v>
      </c>
      <c r="H38" s="52"/>
      <c r="I38" s="52">
        <v>2427338</v>
      </c>
      <c r="J38" s="52"/>
      <c r="K38" s="52">
        <f>47461+52977</f>
        <v>100438</v>
      </c>
      <c r="L38" s="52"/>
      <c r="M38" s="52">
        <f>1944121</f>
        <v>1944121</v>
      </c>
      <c r="N38" s="52"/>
      <c r="O38" s="52">
        <f t="shared" si="0"/>
        <v>2044559</v>
      </c>
      <c r="P38" s="52"/>
      <c r="Q38" s="56">
        <f t="shared" si="1"/>
        <v>0</v>
      </c>
    </row>
    <row r="39" spans="1:17" ht="12.75">
      <c r="A39" s="26" t="s">
        <v>37</v>
      </c>
      <c r="B39" s="26"/>
      <c r="C39" s="52">
        <f>80419</f>
        <v>80419</v>
      </c>
      <c r="D39" s="52"/>
      <c r="E39" s="52">
        <v>146706</v>
      </c>
      <c r="F39" s="52"/>
      <c r="G39" s="52">
        <v>35465</v>
      </c>
      <c r="H39" s="52"/>
      <c r="I39" s="52">
        <v>51202</v>
      </c>
      <c r="J39" s="52"/>
      <c r="K39" s="52">
        <f>1000+30449+6202+6834+1999</f>
        <v>46484</v>
      </c>
      <c r="L39" s="52"/>
      <c r="M39" s="52">
        <v>49020</v>
      </c>
      <c r="N39" s="52"/>
      <c r="O39" s="52">
        <f t="shared" si="0"/>
        <v>95504</v>
      </c>
      <c r="P39" s="52"/>
      <c r="Q39" s="56">
        <f t="shared" si="1"/>
        <v>0</v>
      </c>
    </row>
    <row r="40" spans="1:17" ht="12.75">
      <c r="A40" s="26" t="s">
        <v>38</v>
      </c>
      <c r="B40" s="26"/>
      <c r="C40" s="52">
        <f>3128002+5220</f>
        <v>3133222</v>
      </c>
      <c r="D40" s="52"/>
      <c r="E40" s="52">
        <v>7478602</v>
      </c>
      <c r="F40" s="52"/>
      <c r="G40" s="52">
        <v>3166407</v>
      </c>
      <c r="H40" s="52"/>
      <c r="I40" s="52">
        <v>3899682</v>
      </c>
      <c r="J40" s="52"/>
      <c r="K40" s="52">
        <v>293890</v>
      </c>
      <c r="L40" s="52"/>
      <c r="M40" s="52">
        <v>3285030</v>
      </c>
      <c r="N40" s="52"/>
      <c r="O40" s="52">
        <f t="shared" si="0"/>
        <v>3578920</v>
      </c>
      <c r="P40" s="52"/>
      <c r="Q40" s="56">
        <f t="shared" si="1"/>
        <v>0</v>
      </c>
    </row>
    <row r="41" spans="1:17" ht="12.75" hidden="1">
      <c r="A41" s="26" t="s">
        <v>177</v>
      </c>
      <c r="B41" s="26"/>
      <c r="C41" s="52">
        <v>0</v>
      </c>
      <c r="D41" s="52"/>
      <c r="E41" s="52">
        <v>0</v>
      </c>
      <c r="F41" s="52"/>
      <c r="G41" s="52">
        <v>0</v>
      </c>
      <c r="H41" s="52"/>
      <c r="I41" s="52">
        <v>0</v>
      </c>
      <c r="J41" s="52"/>
      <c r="K41" s="52">
        <v>0</v>
      </c>
      <c r="L41" s="52"/>
      <c r="M41" s="52">
        <v>0</v>
      </c>
      <c r="N41" s="52"/>
      <c r="O41" s="52">
        <f t="shared" si="0"/>
        <v>0</v>
      </c>
      <c r="P41" s="52"/>
      <c r="Q41" s="56">
        <f t="shared" si="1"/>
        <v>0</v>
      </c>
    </row>
    <row r="42" spans="1:17" ht="12.75" hidden="1">
      <c r="A42" s="26" t="s">
        <v>39</v>
      </c>
      <c r="B42" s="26"/>
      <c r="C42" s="52">
        <v>0</v>
      </c>
      <c r="D42" s="52"/>
      <c r="E42" s="52">
        <v>0</v>
      </c>
      <c r="F42" s="52"/>
      <c r="G42" s="52">
        <v>0</v>
      </c>
      <c r="H42" s="52"/>
      <c r="I42" s="52">
        <v>0</v>
      </c>
      <c r="J42" s="52"/>
      <c r="K42" s="52">
        <v>0</v>
      </c>
      <c r="L42" s="52"/>
      <c r="M42" s="52">
        <v>0</v>
      </c>
      <c r="N42" s="52"/>
      <c r="O42" s="52">
        <f t="shared" si="0"/>
        <v>0</v>
      </c>
      <c r="P42" s="52"/>
      <c r="Q42" s="56">
        <f t="shared" si="1"/>
        <v>0</v>
      </c>
    </row>
    <row r="43" spans="1:17" ht="12.75">
      <c r="A43" s="26" t="s">
        <v>40</v>
      </c>
      <c r="B43" s="26"/>
      <c r="C43" s="52">
        <v>2372834</v>
      </c>
      <c r="D43" s="52"/>
      <c r="E43" s="52">
        <v>5511464</v>
      </c>
      <c r="F43" s="52"/>
      <c r="G43" s="52">
        <v>2538035</v>
      </c>
      <c r="H43" s="52"/>
      <c r="I43" s="52">
        <v>2877674</v>
      </c>
      <c r="J43" s="52"/>
      <c r="K43" s="52">
        <f>3526+5808+38767</f>
        <v>48101</v>
      </c>
      <c r="L43" s="52"/>
      <c r="M43" s="52">
        <v>2585689</v>
      </c>
      <c r="N43" s="52"/>
      <c r="O43" s="52">
        <f t="shared" si="0"/>
        <v>2633790</v>
      </c>
      <c r="P43" s="52"/>
      <c r="Q43" s="56">
        <f t="shared" si="1"/>
        <v>0</v>
      </c>
    </row>
    <row r="44" spans="1:17" ht="12.75" hidden="1">
      <c r="A44" s="26" t="s">
        <v>41</v>
      </c>
      <c r="B44" s="26"/>
      <c r="C44" s="52">
        <v>0</v>
      </c>
      <c r="D44" s="52"/>
      <c r="E44" s="52">
        <v>0</v>
      </c>
      <c r="F44" s="52"/>
      <c r="G44" s="52">
        <v>0</v>
      </c>
      <c r="H44" s="52"/>
      <c r="I44" s="52">
        <v>0</v>
      </c>
      <c r="J44" s="52"/>
      <c r="K44" s="52">
        <v>0</v>
      </c>
      <c r="L44" s="52"/>
      <c r="M44" s="52">
        <v>0</v>
      </c>
      <c r="N44" s="52"/>
      <c r="O44" s="52">
        <f t="shared" si="0"/>
        <v>0</v>
      </c>
      <c r="P44" s="52"/>
      <c r="Q44" s="56">
        <f t="shared" si="1"/>
        <v>0</v>
      </c>
    </row>
    <row r="45" spans="1:17" ht="12.75">
      <c r="A45" s="26" t="s">
        <v>42</v>
      </c>
      <c r="B45" s="26"/>
      <c r="C45" s="52">
        <v>0</v>
      </c>
      <c r="D45" s="52"/>
      <c r="E45" s="52">
        <v>3903046</v>
      </c>
      <c r="F45" s="52"/>
      <c r="G45" s="52">
        <v>1848370</v>
      </c>
      <c r="H45" s="52"/>
      <c r="I45" s="52">
        <v>2096266</v>
      </c>
      <c r="J45" s="52"/>
      <c r="K45" s="52">
        <f>82704</f>
        <v>82704</v>
      </c>
      <c r="L45" s="52"/>
      <c r="M45" s="52">
        <v>1724076</v>
      </c>
      <c r="N45" s="52"/>
      <c r="O45" s="52">
        <f t="shared" si="0"/>
        <v>1806780</v>
      </c>
      <c r="P45" s="52"/>
      <c r="Q45" s="56">
        <f t="shared" si="1"/>
        <v>0</v>
      </c>
    </row>
    <row r="46" spans="1:17" ht="12.75">
      <c r="A46" s="26" t="s">
        <v>43</v>
      </c>
      <c r="B46" s="26"/>
      <c r="C46" s="52">
        <f>1305649</f>
        <v>1305649</v>
      </c>
      <c r="D46" s="52"/>
      <c r="E46" s="52">
        <v>4533337</v>
      </c>
      <c r="F46" s="52"/>
      <c r="G46" s="52">
        <v>2609187</v>
      </c>
      <c r="H46" s="52"/>
      <c r="I46" s="52">
        <v>3119643</v>
      </c>
      <c r="J46" s="52"/>
      <c r="K46" s="52">
        <f>50541+36409+60721+55000</f>
        <v>202671</v>
      </c>
      <c r="L46" s="52"/>
      <c r="M46" s="52">
        <v>1211023</v>
      </c>
      <c r="N46" s="52"/>
      <c r="O46" s="52">
        <f t="shared" si="0"/>
        <v>1413694</v>
      </c>
      <c r="P46" s="52"/>
      <c r="Q46" s="56">
        <f t="shared" si="1"/>
        <v>0</v>
      </c>
    </row>
    <row r="47" spans="1:17" ht="12.75">
      <c r="A47" s="26" t="s">
        <v>44</v>
      </c>
      <c r="B47" s="26"/>
      <c r="C47" s="52">
        <v>2217897</v>
      </c>
      <c r="D47" s="52"/>
      <c r="E47" s="52">
        <v>5080118</v>
      </c>
      <c r="F47" s="52"/>
      <c r="G47" s="52">
        <v>902386</v>
      </c>
      <c r="H47" s="52"/>
      <c r="I47" s="52">
        <v>1521781</v>
      </c>
      <c r="J47" s="52"/>
      <c r="K47" s="52">
        <f>82438+105389+1889</f>
        <v>189716</v>
      </c>
      <c r="L47" s="52"/>
      <c r="M47" s="52">
        <v>3368621</v>
      </c>
      <c r="N47" s="52"/>
      <c r="O47" s="52">
        <f t="shared" si="0"/>
        <v>3558337</v>
      </c>
      <c r="P47" s="52"/>
      <c r="Q47" s="56">
        <f t="shared" si="1"/>
        <v>0</v>
      </c>
    </row>
    <row r="48" spans="1:17" ht="12.75" hidden="1">
      <c r="A48" s="26" t="s">
        <v>45</v>
      </c>
      <c r="B48" s="26"/>
      <c r="C48" s="52">
        <v>0</v>
      </c>
      <c r="D48" s="52"/>
      <c r="E48" s="52">
        <v>0</v>
      </c>
      <c r="F48" s="52"/>
      <c r="G48" s="52">
        <v>0</v>
      </c>
      <c r="H48" s="52"/>
      <c r="I48" s="52">
        <v>0</v>
      </c>
      <c r="J48" s="52"/>
      <c r="K48" s="52">
        <v>0</v>
      </c>
      <c r="L48" s="52"/>
      <c r="M48" s="52">
        <v>0</v>
      </c>
      <c r="N48" s="52"/>
      <c r="O48" s="52">
        <f t="shared" si="0"/>
        <v>0</v>
      </c>
      <c r="P48" s="52"/>
      <c r="Q48" s="56">
        <f t="shared" si="1"/>
        <v>0</v>
      </c>
    </row>
    <row r="49" spans="1:17" ht="12.75">
      <c r="A49" s="26" t="s">
        <v>46</v>
      </c>
      <c r="B49" s="26"/>
      <c r="C49" s="52">
        <f>535364+135540+41980</f>
        <v>712884</v>
      </c>
      <c r="D49" s="52"/>
      <c r="E49" s="52">
        <v>6531695</v>
      </c>
      <c r="F49" s="52"/>
      <c r="G49" s="52">
        <v>3419867</v>
      </c>
      <c r="H49" s="52"/>
      <c r="I49" s="52">
        <v>3900061</v>
      </c>
      <c r="J49" s="52"/>
      <c r="K49" s="52">
        <f>20137+282455</f>
        <v>302592</v>
      </c>
      <c r="L49" s="52"/>
      <c r="M49" s="52">
        <f>41980+2287062</f>
        <v>2329042</v>
      </c>
      <c r="N49" s="52"/>
      <c r="O49" s="52">
        <f t="shared" si="0"/>
        <v>2631634</v>
      </c>
      <c r="P49" s="52"/>
      <c r="Q49" s="56">
        <f t="shared" si="1"/>
        <v>0</v>
      </c>
    </row>
    <row r="50" spans="1:17" ht="12.75">
      <c r="A50" s="26" t="s">
        <v>47</v>
      </c>
      <c r="B50" s="26"/>
      <c r="C50" s="52">
        <f>3486578+7839</f>
        <v>3494417</v>
      </c>
      <c r="D50" s="52"/>
      <c r="E50" s="52">
        <v>7977861</v>
      </c>
      <c r="F50" s="52"/>
      <c r="G50" s="52">
        <v>4330613</v>
      </c>
      <c r="H50" s="52"/>
      <c r="I50" s="52">
        <v>4774166</v>
      </c>
      <c r="J50" s="52"/>
      <c r="K50" s="52">
        <f>343429+3923+33803+267676</f>
        <v>648831</v>
      </c>
      <c r="L50" s="52"/>
      <c r="M50" s="52">
        <v>2554864</v>
      </c>
      <c r="N50" s="52"/>
      <c r="O50" s="52">
        <f t="shared" si="0"/>
        <v>3203695</v>
      </c>
      <c r="P50" s="52"/>
      <c r="Q50" s="56">
        <f t="shared" si="1"/>
        <v>0</v>
      </c>
    </row>
    <row r="51" spans="1:17" ht="12.75">
      <c r="A51" s="26" t="s">
        <v>48</v>
      </c>
      <c r="B51" s="26"/>
      <c r="C51" s="52">
        <f>9649137</f>
        <v>9649137</v>
      </c>
      <c r="D51" s="52"/>
      <c r="E51" s="52">
        <v>41928489</v>
      </c>
      <c r="F51" s="52"/>
      <c r="G51" s="52">
        <v>13594717</v>
      </c>
      <c r="H51" s="52"/>
      <c r="I51" s="52">
        <v>16258844</v>
      </c>
      <c r="J51" s="52"/>
      <c r="K51" s="52">
        <f>220499+139998+3937071+3060104</f>
        <v>7357672</v>
      </c>
      <c r="L51" s="52"/>
      <c r="M51" s="52">
        <f>177783+18134190</f>
        <v>18311973</v>
      </c>
      <c r="N51" s="52"/>
      <c r="O51" s="52">
        <f t="shared" si="0"/>
        <v>25669645</v>
      </c>
      <c r="P51" s="52"/>
      <c r="Q51" s="56">
        <f t="shared" si="1"/>
        <v>0</v>
      </c>
    </row>
    <row r="52" spans="1:17" ht="12.75" hidden="1">
      <c r="A52" s="26" t="s">
        <v>247</v>
      </c>
      <c r="B52" s="26"/>
      <c r="C52" s="52">
        <v>0</v>
      </c>
      <c r="D52" s="52"/>
      <c r="E52" s="52">
        <v>0</v>
      </c>
      <c r="F52" s="52"/>
      <c r="G52" s="52">
        <v>0</v>
      </c>
      <c r="H52" s="52"/>
      <c r="I52" s="52">
        <v>0</v>
      </c>
      <c r="J52" s="52"/>
      <c r="K52" s="52">
        <v>0</v>
      </c>
      <c r="L52" s="52"/>
      <c r="M52" s="52">
        <v>0</v>
      </c>
      <c r="N52" s="52"/>
      <c r="O52" s="52">
        <f t="shared" si="0"/>
        <v>0</v>
      </c>
      <c r="P52" s="52"/>
      <c r="Q52" s="56">
        <f t="shared" si="1"/>
        <v>0</v>
      </c>
    </row>
    <row r="53" spans="1:17" ht="12.75">
      <c r="A53" s="26" t="s">
        <v>49</v>
      </c>
      <c r="B53" s="26"/>
      <c r="C53" s="52">
        <f>5767411+2738875</f>
        <v>8506286</v>
      </c>
      <c r="D53" s="52"/>
      <c r="E53" s="52">
        <v>20374756</v>
      </c>
      <c r="F53" s="52"/>
      <c r="G53" s="52">
        <v>8224489</v>
      </c>
      <c r="H53" s="52"/>
      <c r="I53" s="52">
        <v>10139138</v>
      </c>
      <c r="J53" s="52"/>
      <c r="K53" s="52">
        <f>570490+139489+80382</f>
        <v>790361</v>
      </c>
      <c r="L53" s="52"/>
      <c r="M53" s="52">
        <v>9445257</v>
      </c>
      <c r="N53" s="52"/>
      <c r="O53" s="52">
        <f t="shared" si="0"/>
        <v>10235618</v>
      </c>
      <c r="P53" s="52"/>
      <c r="Q53" s="56">
        <f t="shared" si="1"/>
        <v>0</v>
      </c>
    </row>
    <row r="54" spans="1:17" ht="12.75">
      <c r="A54" s="26" t="s">
        <v>50</v>
      </c>
      <c r="B54" s="26"/>
      <c r="C54" s="52">
        <v>0</v>
      </c>
      <c r="D54" s="52"/>
      <c r="E54" s="52">
        <v>10857358</v>
      </c>
      <c r="F54" s="52"/>
      <c r="G54" s="52">
        <v>3261009</v>
      </c>
      <c r="H54" s="52"/>
      <c r="I54" s="52">
        <v>4330416</v>
      </c>
      <c r="J54" s="52"/>
      <c r="K54" s="52">
        <f>415045+39715+656825</f>
        <v>1111585</v>
      </c>
      <c r="L54" s="52"/>
      <c r="M54" s="52">
        <v>5415357</v>
      </c>
      <c r="N54" s="52"/>
      <c r="O54" s="52">
        <f t="shared" si="0"/>
        <v>6526942</v>
      </c>
      <c r="P54" s="52"/>
      <c r="Q54" s="56">
        <f t="shared" si="1"/>
        <v>0</v>
      </c>
    </row>
    <row r="55" spans="1:17" ht="12.75">
      <c r="A55" s="26" t="s">
        <v>51</v>
      </c>
      <c r="B55" s="26"/>
      <c r="C55" s="52">
        <f>21183532</f>
        <v>21183532</v>
      </c>
      <c r="D55" s="52"/>
      <c r="E55" s="52">
        <v>54296157</v>
      </c>
      <c r="F55" s="52"/>
      <c r="G55" s="52">
        <v>12115634</v>
      </c>
      <c r="H55" s="52"/>
      <c r="I55" s="52">
        <v>14827779</v>
      </c>
      <c r="J55" s="52"/>
      <c r="K55" s="52">
        <f>459406+236540+11914766</f>
        <v>12610712</v>
      </c>
      <c r="L55" s="52"/>
      <c r="M55" s="52">
        <v>26857666</v>
      </c>
      <c r="N55" s="52"/>
      <c r="O55" s="52">
        <f t="shared" si="0"/>
        <v>39468378</v>
      </c>
      <c r="P55" s="52"/>
      <c r="Q55" s="56">
        <f t="shared" si="1"/>
        <v>0</v>
      </c>
    </row>
    <row r="56" spans="1:17" ht="12.75">
      <c r="A56" s="26" t="s">
        <v>195</v>
      </c>
      <c r="B56" s="26"/>
      <c r="C56" s="52">
        <f>2502+23315</f>
        <v>25817</v>
      </c>
      <c r="D56" s="52"/>
      <c r="E56" s="52">
        <v>69119</v>
      </c>
      <c r="F56" s="52"/>
      <c r="G56" s="52">
        <v>27895</v>
      </c>
      <c r="H56" s="52"/>
      <c r="I56" s="52">
        <v>32749</v>
      </c>
      <c r="J56" s="52"/>
      <c r="K56" s="52">
        <v>692</v>
      </c>
      <c r="L56" s="52"/>
      <c r="M56" s="52">
        <v>35678</v>
      </c>
      <c r="N56" s="52"/>
      <c r="O56" s="52">
        <f t="shared" si="0"/>
        <v>36370</v>
      </c>
      <c r="P56" s="52"/>
      <c r="Q56" s="56">
        <f t="shared" si="1"/>
        <v>0</v>
      </c>
    </row>
    <row r="57" spans="1:17" ht="12.75" hidden="1">
      <c r="A57" s="26" t="s">
        <v>52</v>
      </c>
      <c r="B57" s="26"/>
      <c r="C57" s="52">
        <v>0</v>
      </c>
      <c r="D57" s="52"/>
      <c r="E57" s="52">
        <v>0</v>
      </c>
      <c r="F57" s="52"/>
      <c r="G57" s="52">
        <v>0</v>
      </c>
      <c r="H57" s="52"/>
      <c r="I57" s="52">
        <v>0</v>
      </c>
      <c r="J57" s="52"/>
      <c r="K57" s="52">
        <v>0</v>
      </c>
      <c r="L57" s="52"/>
      <c r="M57" s="52">
        <v>0</v>
      </c>
      <c r="N57" s="52"/>
      <c r="O57" s="52">
        <f t="shared" si="0"/>
        <v>0</v>
      </c>
      <c r="P57" s="52"/>
      <c r="Q57" s="56">
        <f t="shared" si="1"/>
        <v>0</v>
      </c>
    </row>
    <row r="58" spans="1:17" ht="12.75">
      <c r="A58" s="26" t="s">
        <v>53</v>
      </c>
      <c r="B58" s="26"/>
      <c r="C58" s="52">
        <f>555979+5017500</f>
        <v>5573479</v>
      </c>
      <c r="D58" s="52"/>
      <c r="E58" s="52">
        <v>27044175</v>
      </c>
      <c r="F58" s="52"/>
      <c r="G58" s="52">
        <v>12375580</v>
      </c>
      <c r="H58" s="52"/>
      <c r="I58" s="52">
        <v>16910171</v>
      </c>
      <c r="J58" s="52"/>
      <c r="K58" s="52">
        <v>2057358</v>
      </c>
      <c r="L58" s="52"/>
      <c r="M58" s="52">
        <v>8076646</v>
      </c>
      <c r="N58" s="52"/>
      <c r="O58" s="52">
        <f t="shared" si="0"/>
        <v>10134004</v>
      </c>
      <c r="P58" s="52"/>
      <c r="Q58" s="56">
        <f t="shared" si="1"/>
        <v>0</v>
      </c>
    </row>
    <row r="59" spans="1:17" ht="12.75">
      <c r="A59" s="26" t="s">
        <v>54</v>
      </c>
      <c r="B59" s="26"/>
      <c r="C59" s="52">
        <v>3995138</v>
      </c>
      <c r="D59" s="52"/>
      <c r="E59" s="52">
        <v>8430341</v>
      </c>
      <c r="F59" s="52"/>
      <c r="G59" s="52">
        <v>3518180</v>
      </c>
      <c r="H59" s="52"/>
      <c r="I59" s="52">
        <v>4058217</v>
      </c>
      <c r="J59" s="52"/>
      <c r="K59" s="52">
        <v>298446</v>
      </c>
      <c r="L59" s="52"/>
      <c r="M59" s="52">
        <v>4073678</v>
      </c>
      <c r="N59" s="52"/>
      <c r="O59" s="52">
        <f t="shared" si="0"/>
        <v>4372124</v>
      </c>
      <c r="P59" s="52"/>
      <c r="Q59" s="56">
        <f t="shared" si="1"/>
        <v>0</v>
      </c>
    </row>
    <row r="60" spans="1:17" ht="12.75">
      <c r="A60" s="26" t="s">
        <v>55</v>
      </c>
      <c r="B60" s="26"/>
      <c r="C60" s="52">
        <f>9371028+2153</f>
        <v>9373181</v>
      </c>
      <c r="D60" s="52"/>
      <c r="E60" s="52">
        <v>24464956</v>
      </c>
      <c r="F60" s="52"/>
      <c r="G60" s="52">
        <v>10775190</v>
      </c>
      <c r="H60" s="52"/>
      <c r="I60" s="52">
        <v>12697620</v>
      </c>
      <c r="J60" s="52"/>
      <c r="K60" s="52">
        <f>124995+86788</f>
        <v>211783</v>
      </c>
      <c r="L60" s="52"/>
      <c r="M60" s="52">
        <v>11555553</v>
      </c>
      <c r="N60" s="52"/>
      <c r="O60" s="52">
        <f t="shared" si="0"/>
        <v>11767336</v>
      </c>
      <c r="P60" s="52"/>
      <c r="Q60" s="56">
        <f t="shared" si="1"/>
        <v>0</v>
      </c>
    </row>
    <row r="61" spans="1:17" ht="12.75" hidden="1">
      <c r="A61" s="26" t="s">
        <v>180</v>
      </c>
      <c r="B61" s="26"/>
      <c r="C61" s="52">
        <v>0</v>
      </c>
      <c r="D61" s="52"/>
      <c r="E61" s="52">
        <v>0</v>
      </c>
      <c r="F61" s="52"/>
      <c r="G61" s="52">
        <v>0</v>
      </c>
      <c r="H61" s="52"/>
      <c r="I61" s="52">
        <v>0</v>
      </c>
      <c r="J61" s="52"/>
      <c r="K61" s="52">
        <v>0</v>
      </c>
      <c r="L61" s="52"/>
      <c r="M61" s="52">
        <v>0</v>
      </c>
      <c r="N61" s="52"/>
      <c r="O61" s="52">
        <f t="shared" si="0"/>
        <v>0</v>
      </c>
      <c r="P61" s="52"/>
      <c r="Q61" s="56">
        <f t="shared" si="1"/>
        <v>0</v>
      </c>
    </row>
    <row r="62" spans="1:17" ht="12.75" hidden="1">
      <c r="A62" s="26" t="s">
        <v>56</v>
      </c>
      <c r="B62" s="26"/>
      <c r="C62" s="52">
        <v>0</v>
      </c>
      <c r="D62" s="52"/>
      <c r="E62" s="52">
        <v>0</v>
      </c>
      <c r="F62" s="52"/>
      <c r="G62" s="52">
        <v>0</v>
      </c>
      <c r="H62" s="52"/>
      <c r="I62" s="52">
        <v>0</v>
      </c>
      <c r="J62" s="52"/>
      <c r="K62" s="52">
        <v>0</v>
      </c>
      <c r="L62" s="52"/>
      <c r="M62" s="52">
        <v>0</v>
      </c>
      <c r="N62" s="52"/>
      <c r="O62" s="52">
        <f t="shared" si="0"/>
        <v>0</v>
      </c>
      <c r="P62" s="52"/>
      <c r="Q62" s="56">
        <f t="shared" si="1"/>
        <v>0</v>
      </c>
    </row>
    <row r="63" spans="1:17" ht="12.75">
      <c r="A63" s="26" t="s">
        <v>57</v>
      </c>
      <c r="B63" s="26"/>
      <c r="C63" s="52">
        <f>847905+15099704</f>
        <v>15947609</v>
      </c>
      <c r="D63" s="52"/>
      <c r="E63" s="52">
        <v>24836076</v>
      </c>
      <c r="F63" s="52"/>
      <c r="G63" s="52">
        <v>6158677</v>
      </c>
      <c r="H63" s="52"/>
      <c r="I63" s="52">
        <v>6988687</v>
      </c>
      <c r="J63" s="52"/>
      <c r="K63" s="52">
        <f>636271+120917+50468</f>
        <v>807656</v>
      </c>
      <c r="L63" s="52"/>
      <c r="M63" s="52">
        <v>17039733</v>
      </c>
      <c r="N63" s="52"/>
      <c r="O63" s="52">
        <f t="shared" si="0"/>
        <v>17847389</v>
      </c>
      <c r="P63" s="52"/>
      <c r="Q63" s="56">
        <f t="shared" si="1"/>
        <v>0</v>
      </c>
    </row>
    <row r="64" spans="1:17" ht="12.75">
      <c r="A64" s="26" t="s">
        <v>58</v>
      </c>
      <c r="B64" s="26"/>
      <c r="C64" s="52">
        <v>125818</v>
      </c>
      <c r="D64" s="52"/>
      <c r="E64" s="52">
        <v>1533625</v>
      </c>
      <c r="F64" s="52"/>
      <c r="G64" s="52">
        <v>1032664</v>
      </c>
      <c r="H64" s="52"/>
      <c r="I64" s="52">
        <v>1319715</v>
      </c>
      <c r="J64" s="52"/>
      <c r="K64" s="52">
        <f>4000</f>
        <v>4000</v>
      </c>
      <c r="L64" s="52"/>
      <c r="M64" s="52">
        <v>209910</v>
      </c>
      <c r="N64" s="52"/>
      <c r="O64" s="52">
        <f t="shared" si="0"/>
        <v>213910</v>
      </c>
      <c r="P64" s="52"/>
      <c r="Q64" s="56">
        <f t="shared" si="1"/>
        <v>0</v>
      </c>
    </row>
    <row r="65" spans="1:17" ht="12.75">
      <c r="A65" s="26" t="s">
        <v>59</v>
      </c>
      <c r="B65" s="26"/>
      <c r="C65" s="52">
        <v>47946815</v>
      </c>
      <c r="D65" s="52"/>
      <c r="E65" s="52">
        <v>103956199</v>
      </c>
      <c r="F65" s="52"/>
      <c r="G65" s="52">
        <v>37858070</v>
      </c>
      <c r="H65" s="52"/>
      <c r="I65" s="52">
        <v>45400906</v>
      </c>
      <c r="J65" s="52"/>
      <c r="K65" s="52">
        <f>362478</f>
        <v>362478</v>
      </c>
      <c r="L65" s="52"/>
      <c r="M65" s="52">
        <v>58192815</v>
      </c>
      <c r="N65" s="52"/>
      <c r="O65" s="52">
        <f t="shared" si="0"/>
        <v>58555293</v>
      </c>
      <c r="P65" s="52"/>
      <c r="Q65" s="56">
        <f t="shared" si="1"/>
        <v>0</v>
      </c>
    </row>
    <row r="66" spans="1:17" ht="12.75" hidden="1">
      <c r="A66" s="26" t="s">
        <v>60</v>
      </c>
      <c r="B66" s="26"/>
      <c r="C66" s="52">
        <v>0</v>
      </c>
      <c r="D66" s="52"/>
      <c r="E66" s="52">
        <v>0</v>
      </c>
      <c r="F66" s="52"/>
      <c r="G66" s="52">
        <v>0</v>
      </c>
      <c r="H66" s="52"/>
      <c r="I66" s="52">
        <v>0</v>
      </c>
      <c r="J66" s="52"/>
      <c r="K66" s="52">
        <v>0</v>
      </c>
      <c r="L66" s="52"/>
      <c r="M66" s="52">
        <v>0</v>
      </c>
      <c r="N66" s="52"/>
      <c r="O66" s="52">
        <f t="shared" si="0"/>
        <v>0</v>
      </c>
      <c r="P66" s="52"/>
      <c r="Q66" s="56">
        <f t="shared" si="1"/>
        <v>0</v>
      </c>
    </row>
    <row r="67" spans="1:17" ht="12.75">
      <c r="A67" s="26" t="s">
        <v>98</v>
      </c>
      <c r="B67" s="26"/>
      <c r="C67" s="52">
        <v>993018</v>
      </c>
      <c r="D67" s="52"/>
      <c r="E67" s="52">
        <v>4088339</v>
      </c>
      <c r="F67" s="52"/>
      <c r="G67" s="52">
        <v>1992406</v>
      </c>
      <c r="H67" s="52"/>
      <c r="I67" s="52">
        <v>2549404</v>
      </c>
      <c r="J67" s="52"/>
      <c r="K67" s="52">
        <f>188642+16892+76936+29115</f>
        <v>311585</v>
      </c>
      <c r="L67" s="52"/>
      <c r="M67" s="52">
        <v>1227350</v>
      </c>
      <c r="N67" s="52"/>
      <c r="O67" s="52">
        <f t="shared" si="0"/>
        <v>1538935</v>
      </c>
      <c r="P67" s="52"/>
      <c r="Q67" s="56">
        <f t="shared" si="1"/>
        <v>0</v>
      </c>
    </row>
    <row r="68" spans="1:17" ht="12.75">
      <c r="A68" s="26" t="s">
        <v>62</v>
      </c>
      <c r="B68" s="26"/>
      <c r="C68" s="52">
        <f>8728729</f>
        <v>8728729</v>
      </c>
      <c r="D68" s="52"/>
      <c r="E68" s="52">
        <v>15503765</v>
      </c>
      <c r="F68" s="52"/>
      <c r="G68" s="52">
        <v>5178406</v>
      </c>
      <c r="H68" s="52"/>
      <c r="I68" s="52">
        <v>6833277</v>
      </c>
      <c r="J68" s="52"/>
      <c r="K68" s="52">
        <v>516056</v>
      </c>
      <c r="L68" s="52"/>
      <c r="M68" s="52">
        <f>8154432</f>
        <v>8154432</v>
      </c>
      <c r="N68" s="52"/>
      <c r="O68" s="52">
        <f t="shared" si="0"/>
        <v>8670488</v>
      </c>
      <c r="P68" s="52"/>
      <c r="Q68" s="56">
        <f t="shared" si="1"/>
        <v>0</v>
      </c>
    </row>
    <row r="69" spans="1:17" ht="12.75">
      <c r="A69" s="26" t="s">
        <v>63</v>
      </c>
      <c r="B69" s="26"/>
      <c r="C69" s="52">
        <v>433375</v>
      </c>
      <c r="D69" s="52"/>
      <c r="E69" s="52">
        <v>1491123</v>
      </c>
      <c r="F69" s="52"/>
      <c r="G69" s="52">
        <v>783519</v>
      </c>
      <c r="H69" s="52"/>
      <c r="I69" s="52">
        <v>889661</v>
      </c>
      <c r="J69" s="52"/>
      <c r="K69" s="52">
        <f>15335+16347</f>
        <v>31682</v>
      </c>
      <c r="L69" s="52"/>
      <c r="M69" s="52">
        <v>569780</v>
      </c>
      <c r="N69" s="52"/>
      <c r="O69" s="52">
        <f t="shared" si="0"/>
        <v>601462</v>
      </c>
      <c r="P69" s="52"/>
      <c r="Q69" s="56">
        <f t="shared" si="1"/>
        <v>0</v>
      </c>
    </row>
    <row r="70" spans="1:17" ht="12.75">
      <c r="A70" s="26" t="s">
        <v>64</v>
      </c>
      <c r="B70" s="26"/>
      <c r="C70" s="52">
        <f>1173886+46395</f>
        <v>1220281</v>
      </c>
      <c r="D70" s="52"/>
      <c r="E70" s="52">
        <v>7929171</v>
      </c>
      <c r="F70" s="52"/>
      <c r="G70" s="52">
        <v>3873166</v>
      </c>
      <c r="H70" s="52"/>
      <c r="I70" s="52">
        <v>4518755</v>
      </c>
      <c r="J70" s="52"/>
      <c r="K70" s="52">
        <f>63325+442826+260504</f>
        <v>766655</v>
      </c>
      <c r="L70" s="52"/>
      <c r="M70" s="52">
        <v>2643761</v>
      </c>
      <c r="N70" s="52"/>
      <c r="O70" s="52">
        <f t="shared" si="0"/>
        <v>3410416</v>
      </c>
      <c r="P70" s="52"/>
      <c r="Q70" s="56">
        <f t="shared" si="1"/>
        <v>0</v>
      </c>
    </row>
    <row r="71" spans="1:17" ht="12.75" hidden="1">
      <c r="A71" s="26" t="s">
        <v>137</v>
      </c>
      <c r="B71" s="26"/>
      <c r="C71" s="52">
        <v>0</v>
      </c>
      <c r="D71" s="52"/>
      <c r="E71" s="52">
        <v>0</v>
      </c>
      <c r="F71" s="52"/>
      <c r="G71" s="52">
        <v>0</v>
      </c>
      <c r="H71" s="52"/>
      <c r="I71" s="52">
        <v>0</v>
      </c>
      <c r="J71" s="52"/>
      <c r="K71" s="52">
        <v>0</v>
      </c>
      <c r="L71" s="52"/>
      <c r="M71" s="52">
        <v>0</v>
      </c>
      <c r="N71" s="52"/>
      <c r="O71" s="52">
        <f t="shared" si="0"/>
        <v>0</v>
      </c>
      <c r="P71" s="52"/>
      <c r="Q71" s="56">
        <f t="shared" si="1"/>
        <v>0</v>
      </c>
    </row>
    <row r="72" spans="1:17" ht="12.75" hidden="1">
      <c r="A72" s="26" t="s">
        <v>65</v>
      </c>
      <c r="B72" s="26"/>
      <c r="C72" s="52">
        <v>0</v>
      </c>
      <c r="D72" s="52"/>
      <c r="E72" s="52">
        <v>0</v>
      </c>
      <c r="F72" s="52"/>
      <c r="G72" s="52">
        <v>0</v>
      </c>
      <c r="H72" s="52"/>
      <c r="I72" s="52">
        <v>0</v>
      </c>
      <c r="J72" s="52"/>
      <c r="K72" s="52">
        <v>0</v>
      </c>
      <c r="L72" s="52"/>
      <c r="M72" s="52">
        <v>0</v>
      </c>
      <c r="N72" s="52"/>
      <c r="O72" s="52">
        <f t="shared" si="0"/>
        <v>0</v>
      </c>
      <c r="P72" s="52"/>
      <c r="Q72" s="56">
        <f t="shared" si="1"/>
        <v>0</v>
      </c>
    </row>
    <row r="73" spans="1:17" ht="12.75">
      <c r="A73" s="26" t="s">
        <v>66</v>
      </c>
      <c r="B73" s="26"/>
      <c r="C73" s="52">
        <f>2944310+54243</f>
        <v>2998553</v>
      </c>
      <c r="D73" s="52"/>
      <c r="E73" s="52">
        <v>7119264</v>
      </c>
      <c r="F73" s="52"/>
      <c r="G73" s="52">
        <v>2842527</v>
      </c>
      <c r="H73" s="52"/>
      <c r="I73" s="52">
        <v>3821118</v>
      </c>
      <c r="J73" s="52"/>
      <c r="K73" s="52">
        <v>0</v>
      </c>
      <c r="L73" s="52"/>
      <c r="M73" s="52">
        <v>3298146</v>
      </c>
      <c r="N73" s="52"/>
      <c r="O73" s="52">
        <f>+M73+K73</f>
        <v>3298146</v>
      </c>
      <c r="P73" s="52"/>
      <c r="Q73" s="56">
        <f>+E73-I73-O73</f>
        <v>0</v>
      </c>
    </row>
    <row r="74" spans="1:17" ht="12.75">
      <c r="A74" s="26" t="s">
        <v>67</v>
      </c>
      <c r="B74" s="26"/>
      <c r="C74" s="52">
        <f>2255141+21654</f>
        <v>2276795</v>
      </c>
      <c r="D74" s="52"/>
      <c r="E74" s="52">
        <v>4474041</v>
      </c>
      <c r="F74" s="52"/>
      <c r="G74" s="52">
        <v>1481374</v>
      </c>
      <c r="H74" s="52"/>
      <c r="I74" s="52">
        <v>1688929</v>
      </c>
      <c r="J74" s="52"/>
      <c r="K74" s="52">
        <v>102960</v>
      </c>
      <c r="L74" s="52"/>
      <c r="M74" s="52">
        <v>2682152</v>
      </c>
      <c r="N74" s="52"/>
      <c r="O74" s="52">
        <f aca="true" t="shared" si="2" ref="O74:O95">+M74+K74</f>
        <v>2785112</v>
      </c>
      <c r="P74" s="52"/>
      <c r="Q74" s="56">
        <f aca="true" t="shared" si="3" ref="Q74:Q95">+E74-I74-O74</f>
        <v>0</v>
      </c>
    </row>
    <row r="75" spans="1:17" ht="12.75">
      <c r="A75" s="26" t="s">
        <v>68</v>
      </c>
      <c r="B75" s="26"/>
      <c r="C75" s="52">
        <f>5885641+79820+169423</f>
        <v>6134884</v>
      </c>
      <c r="D75" s="52"/>
      <c r="E75" s="52">
        <v>21573722</v>
      </c>
      <c r="F75" s="52"/>
      <c r="G75" s="52">
        <v>6496607</v>
      </c>
      <c r="H75" s="52"/>
      <c r="I75" s="52">
        <v>8264479</v>
      </c>
      <c r="J75" s="52"/>
      <c r="K75" s="52">
        <f>129988+419000+471000+383381</f>
        <v>1403369</v>
      </c>
      <c r="L75" s="52"/>
      <c r="M75" s="52">
        <v>11905874</v>
      </c>
      <c r="N75" s="52"/>
      <c r="O75" s="52">
        <f t="shared" si="2"/>
        <v>13309243</v>
      </c>
      <c r="P75" s="52"/>
      <c r="Q75" s="56">
        <f t="shared" si="3"/>
        <v>0</v>
      </c>
    </row>
    <row r="76" spans="1:17" ht="12.75">
      <c r="A76" s="26" t="s">
        <v>69</v>
      </c>
      <c r="B76" s="26"/>
      <c r="C76" s="52">
        <f>2016318+37303</f>
        <v>2053621</v>
      </c>
      <c r="D76" s="52"/>
      <c r="E76" s="52">
        <v>5533729</v>
      </c>
      <c r="F76" s="52"/>
      <c r="G76" s="52">
        <v>2123063</v>
      </c>
      <c r="H76" s="52"/>
      <c r="I76" s="52">
        <v>2570712</v>
      </c>
      <c r="J76" s="52"/>
      <c r="K76" s="52">
        <v>283532</v>
      </c>
      <c r="L76" s="52"/>
      <c r="M76" s="52">
        <v>2679485</v>
      </c>
      <c r="N76" s="52"/>
      <c r="O76" s="52">
        <f t="shared" si="2"/>
        <v>2963017</v>
      </c>
      <c r="P76" s="52"/>
      <c r="Q76" s="56">
        <f t="shared" si="3"/>
        <v>0</v>
      </c>
    </row>
    <row r="77" spans="1:17" ht="12.75" hidden="1">
      <c r="A77" s="26" t="s">
        <v>185</v>
      </c>
      <c r="B77" s="26"/>
      <c r="C77" s="52">
        <v>0</v>
      </c>
      <c r="D77" s="52"/>
      <c r="E77" s="52">
        <v>0</v>
      </c>
      <c r="F77" s="52"/>
      <c r="G77" s="52">
        <v>0</v>
      </c>
      <c r="H77" s="52"/>
      <c r="I77" s="52">
        <v>0</v>
      </c>
      <c r="J77" s="52"/>
      <c r="K77" s="52">
        <v>0</v>
      </c>
      <c r="L77" s="52"/>
      <c r="M77" s="52">
        <v>0</v>
      </c>
      <c r="N77" s="52"/>
      <c r="O77" s="52">
        <f t="shared" si="2"/>
        <v>0</v>
      </c>
      <c r="P77" s="52"/>
      <c r="Q77" s="56">
        <f t="shared" si="3"/>
        <v>0</v>
      </c>
    </row>
    <row r="78" spans="1:17" ht="12.75">
      <c r="A78" s="26" t="s">
        <v>190</v>
      </c>
      <c r="B78" s="26"/>
      <c r="C78" s="52">
        <f>1751656+25246</f>
        <v>1776902</v>
      </c>
      <c r="D78" s="52"/>
      <c r="E78" s="52">
        <v>12719703</v>
      </c>
      <c r="F78" s="52"/>
      <c r="G78" s="52">
        <v>8827693</v>
      </c>
      <c r="H78" s="52"/>
      <c r="I78" s="52">
        <v>10316423</v>
      </c>
      <c r="J78" s="52"/>
      <c r="K78" s="52">
        <f>193261+41353+313636</f>
        <v>548250</v>
      </c>
      <c r="L78" s="52"/>
      <c r="M78" s="52">
        <v>1855030</v>
      </c>
      <c r="N78" s="52"/>
      <c r="O78" s="52">
        <f t="shared" si="2"/>
        <v>2403280</v>
      </c>
      <c r="P78" s="52"/>
      <c r="Q78" s="56">
        <f t="shared" si="3"/>
        <v>0</v>
      </c>
    </row>
    <row r="79" spans="1:17" ht="12.75">
      <c r="A79" s="26" t="s">
        <v>70</v>
      </c>
      <c r="B79" s="26"/>
      <c r="C79" s="52">
        <v>1614279</v>
      </c>
      <c r="D79" s="52"/>
      <c r="E79" s="52">
        <v>7664220</v>
      </c>
      <c r="F79" s="52"/>
      <c r="G79" s="52">
        <v>2730028</v>
      </c>
      <c r="H79" s="52"/>
      <c r="I79" s="52">
        <v>3169958</v>
      </c>
      <c r="J79" s="52"/>
      <c r="K79" s="52">
        <v>164390</v>
      </c>
      <c r="L79" s="52"/>
      <c r="M79" s="52">
        <v>4329872</v>
      </c>
      <c r="N79" s="52"/>
      <c r="O79" s="52">
        <f t="shared" si="2"/>
        <v>4494262</v>
      </c>
      <c r="P79" s="52"/>
      <c r="Q79" s="56">
        <f t="shared" si="3"/>
        <v>0</v>
      </c>
    </row>
    <row r="80" spans="1:17" ht="12.75">
      <c r="A80" s="26" t="s">
        <v>99</v>
      </c>
      <c r="B80" s="26"/>
      <c r="C80" s="52">
        <v>3407209</v>
      </c>
      <c r="D80" s="52"/>
      <c r="E80" s="52">
        <v>8576355</v>
      </c>
      <c r="F80" s="52"/>
      <c r="G80" s="52">
        <v>3319731</v>
      </c>
      <c r="H80" s="52"/>
      <c r="I80" s="52">
        <v>3993331</v>
      </c>
      <c r="J80" s="52"/>
      <c r="K80" s="52">
        <f>149822+78501+155802+65000</f>
        <v>449125</v>
      </c>
      <c r="L80" s="52"/>
      <c r="M80" s="52">
        <v>4133899</v>
      </c>
      <c r="N80" s="52"/>
      <c r="O80" s="52">
        <f t="shared" si="2"/>
        <v>4583024</v>
      </c>
      <c r="P80" s="52"/>
      <c r="Q80" s="56">
        <f t="shared" si="3"/>
        <v>0</v>
      </c>
    </row>
    <row r="81" spans="1:17" ht="12.75">
      <c r="A81" s="26" t="s">
        <v>71</v>
      </c>
      <c r="B81" s="26"/>
      <c r="C81" s="52">
        <f>1308601+6873</f>
        <v>1315474</v>
      </c>
      <c r="D81" s="52"/>
      <c r="E81" s="52">
        <v>5294065</v>
      </c>
      <c r="F81" s="52"/>
      <c r="G81" s="52">
        <v>2146603</v>
      </c>
      <c r="H81" s="52"/>
      <c r="I81" s="52">
        <v>2831601</v>
      </c>
      <c r="J81" s="52"/>
      <c r="K81" s="52">
        <f>188281+135077</f>
        <v>323358</v>
      </c>
      <c r="L81" s="52"/>
      <c r="M81" s="52">
        <v>2139106</v>
      </c>
      <c r="N81" s="52"/>
      <c r="O81" s="52">
        <f t="shared" si="2"/>
        <v>2462464</v>
      </c>
      <c r="P81" s="52"/>
      <c r="Q81" s="56">
        <f t="shared" si="3"/>
        <v>0</v>
      </c>
    </row>
    <row r="82" spans="1:17" ht="12.75">
      <c r="A82" s="26" t="s">
        <v>72</v>
      </c>
      <c r="B82" s="26"/>
      <c r="C82" s="52">
        <v>1342242</v>
      </c>
      <c r="D82" s="52"/>
      <c r="E82" s="52">
        <v>5646887</v>
      </c>
      <c r="F82" s="52"/>
      <c r="G82" s="52">
        <v>2411591</v>
      </c>
      <c r="H82" s="52"/>
      <c r="I82" s="52">
        <v>3220291</v>
      </c>
      <c r="J82" s="52"/>
      <c r="K82" s="52">
        <f>169251+67000</f>
        <v>236251</v>
      </c>
      <c r="L82" s="52"/>
      <c r="M82" s="52">
        <v>2190345</v>
      </c>
      <c r="N82" s="52"/>
      <c r="O82" s="52">
        <f t="shared" si="2"/>
        <v>2426596</v>
      </c>
      <c r="P82" s="52"/>
      <c r="Q82" s="56">
        <f t="shared" si="3"/>
        <v>0</v>
      </c>
    </row>
    <row r="83" spans="1:17" ht="12.75">
      <c r="A83" s="26" t="s">
        <v>73</v>
      </c>
      <c r="B83" s="26"/>
      <c r="C83" s="52">
        <f>1469096+1858</f>
        <v>1470954</v>
      </c>
      <c r="D83" s="52"/>
      <c r="E83" s="52">
        <v>6192507</v>
      </c>
      <c r="F83" s="52"/>
      <c r="G83" s="52">
        <v>3199666</v>
      </c>
      <c r="H83" s="52"/>
      <c r="I83" s="52">
        <v>3870376</v>
      </c>
      <c r="J83" s="52"/>
      <c r="K83" s="52">
        <f>75224+22166+22500+14345</f>
        <v>134235</v>
      </c>
      <c r="L83" s="52"/>
      <c r="M83" s="52">
        <v>2187896</v>
      </c>
      <c r="N83" s="52"/>
      <c r="O83" s="52">
        <f t="shared" si="2"/>
        <v>2322131</v>
      </c>
      <c r="P83" s="52"/>
      <c r="Q83" s="56">
        <f t="shared" si="3"/>
        <v>0</v>
      </c>
    </row>
    <row r="84" spans="1:17" ht="12.75">
      <c r="A84" s="26" t="s">
        <v>74</v>
      </c>
      <c r="B84" s="26"/>
      <c r="C84" s="52">
        <f>10298827+958712</f>
        <v>11257539</v>
      </c>
      <c r="D84" s="52"/>
      <c r="E84" s="52">
        <v>34146264</v>
      </c>
      <c r="F84" s="52"/>
      <c r="G84" s="52">
        <v>18358864</v>
      </c>
      <c r="H84" s="52"/>
      <c r="I84" s="52">
        <v>21128082</v>
      </c>
      <c r="J84" s="52"/>
      <c r="K84" s="52">
        <f>3115826+757713</f>
        <v>3873539</v>
      </c>
      <c r="L84" s="52"/>
      <c r="M84" s="52">
        <v>9144643</v>
      </c>
      <c r="N84" s="52"/>
      <c r="O84" s="52">
        <f t="shared" si="2"/>
        <v>13018182</v>
      </c>
      <c r="P84" s="52"/>
      <c r="Q84" s="56">
        <f t="shared" si="3"/>
        <v>0</v>
      </c>
    </row>
    <row r="85" spans="1:17" ht="12.75">
      <c r="A85" s="26" t="s">
        <v>75</v>
      </c>
      <c r="B85" s="26"/>
      <c r="C85" s="52">
        <f>69624764+338889</f>
        <v>69963653</v>
      </c>
      <c r="D85" s="52"/>
      <c r="E85" s="52">
        <v>110279672</v>
      </c>
      <c r="F85" s="52"/>
      <c r="G85" s="52">
        <v>29576103</v>
      </c>
      <c r="H85" s="52"/>
      <c r="I85" s="52">
        <v>35679340</v>
      </c>
      <c r="J85" s="52"/>
      <c r="K85" s="52">
        <f>8769843+112264</f>
        <v>8882107</v>
      </c>
      <c r="L85" s="52"/>
      <c r="M85" s="52">
        <v>65718225</v>
      </c>
      <c r="N85" s="52"/>
      <c r="O85" s="52">
        <f t="shared" si="2"/>
        <v>74600332</v>
      </c>
      <c r="P85" s="52"/>
      <c r="Q85" s="56">
        <f t="shared" si="3"/>
        <v>0</v>
      </c>
    </row>
    <row r="86" spans="1:17" ht="12.75">
      <c r="A86" s="26" t="s">
        <v>76</v>
      </c>
      <c r="B86" s="26"/>
      <c r="C86" s="52">
        <f>3328800+684764</f>
        <v>4013564</v>
      </c>
      <c r="D86" s="52"/>
      <c r="E86" s="52">
        <v>17319245</v>
      </c>
      <c r="F86" s="52"/>
      <c r="G86" s="52">
        <v>9963289</v>
      </c>
      <c r="H86" s="52"/>
      <c r="I86" s="52">
        <v>11658707</v>
      </c>
      <c r="J86" s="52"/>
      <c r="K86" s="52">
        <f>376191+681610</f>
        <v>1057801</v>
      </c>
      <c r="L86" s="52"/>
      <c r="M86" s="52">
        <v>4602737</v>
      </c>
      <c r="N86" s="52"/>
      <c r="O86" s="52">
        <f t="shared" si="2"/>
        <v>5660538</v>
      </c>
      <c r="P86" s="52"/>
      <c r="Q86" s="56">
        <f t="shared" si="3"/>
        <v>0</v>
      </c>
    </row>
    <row r="87" spans="1:17" ht="12.75">
      <c r="A87" s="26" t="s">
        <v>77</v>
      </c>
      <c r="B87" s="26"/>
      <c r="C87" s="52">
        <f>13969149</f>
        <v>13969149</v>
      </c>
      <c r="D87" s="52"/>
      <c r="E87" s="52">
        <v>20462100</v>
      </c>
      <c r="F87" s="52"/>
      <c r="G87" s="52">
        <v>4816238</v>
      </c>
      <c r="H87" s="52"/>
      <c r="I87" s="52">
        <v>5590118</v>
      </c>
      <c r="J87" s="52"/>
      <c r="K87" s="52">
        <f>223314+54517</f>
        <v>277831</v>
      </c>
      <c r="L87" s="52"/>
      <c r="M87" s="52">
        <v>14594151</v>
      </c>
      <c r="N87" s="52"/>
      <c r="O87" s="52">
        <f t="shared" si="2"/>
        <v>14871982</v>
      </c>
      <c r="P87" s="52"/>
      <c r="Q87" s="56">
        <f t="shared" si="3"/>
        <v>0</v>
      </c>
    </row>
    <row r="88" spans="1:17" ht="12.75">
      <c r="A88" s="26" t="s">
        <v>78</v>
      </c>
      <c r="B88" s="26"/>
      <c r="C88" s="52">
        <f>2051649+184528+1357905</f>
        <v>3594082</v>
      </c>
      <c r="D88" s="52"/>
      <c r="E88" s="52">
        <v>9472092</v>
      </c>
      <c r="F88" s="52"/>
      <c r="G88" s="52">
        <v>4358080</v>
      </c>
      <c r="H88" s="52"/>
      <c r="I88" s="52">
        <v>5063076</v>
      </c>
      <c r="J88" s="52"/>
      <c r="K88" s="52">
        <f>138443+219041+72810+313066</f>
        <v>743360</v>
      </c>
      <c r="L88" s="52"/>
      <c r="M88" s="52">
        <v>3665656</v>
      </c>
      <c r="N88" s="52"/>
      <c r="O88" s="52">
        <f t="shared" si="2"/>
        <v>4409016</v>
      </c>
      <c r="P88" s="52"/>
      <c r="Q88" s="56">
        <f t="shared" si="3"/>
        <v>0</v>
      </c>
    </row>
    <row r="89" spans="1:17" ht="12.75">
      <c r="A89" s="26" t="s">
        <v>79</v>
      </c>
      <c r="B89" s="26"/>
      <c r="C89" s="52">
        <f>1957886+42031</f>
        <v>1999917</v>
      </c>
      <c r="D89" s="52"/>
      <c r="E89" s="52">
        <v>4401058</v>
      </c>
      <c r="F89" s="52"/>
      <c r="G89" s="52">
        <v>1905411</v>
      </c>
      <c r="H89" s="52"/>
      <c r="I89" s="52">
        <v>2287989</v>
      </c>
      <c r="J89" s="52"/>
      <c r="K89" s="52">
        <f>41240+7591</f>
        <v>48831</v>
      </c>
      <c r="L89" s="52"/>
      <c r="M89" s="52">
        <v>2064238</v>
      </c>
      <c r="N89" s="52"/>
      <c r="O89" s="52">
        <f t="shared" si="2"/>
        <v>2113069</v>
      </c>
      <c r="P89" s="52"/>
      <c r="Q89" s="56">
        <f t="shared" si="3"/>
        <v>0</v>
      </c>
    </row>
    <row r="90" spans="1:17" ht="12.75">
      <c r="A90" s="26" t="s">
        <v>80</v>
      </c>
      <c r="B90" s="26"/>
      <c r="C90" s="52">
        <v>4234</v>
      </c>
      <c r="D90" s="52"/>
      <c r="E90" s="52">
        <v>1279979</v>
      </c>
      <c r="F90" s="52"/>
      <c r="G90" s="52">
        <v>951383</v>
      </c>
      <c r="H90" s="52"/>
      <c r="I90" s="52">
        <v>1049733</v>
      </c>
      <c r="J90" s="52"/>
      <c r="K90" s="52">
        <f>15663</f>
        <v>15663</v>
      </c>
      <c r="L90" s="52"/>
      <c r="M90" s="52">
        <v>214583</v>
      </c>
      <c r="N90" s="52"/>
      <c r="O90" s="52">
        <f t="shared" si="2"/>
        <v>230246</v>
      </c>
      <c r="P90" s="52"/>
      <c r="Q90" s="56">
        <f t="shared" si="3"/>
        <v>0</v>
      </c>
    </row>
    <row r="91" spans="1:17" ht="12.75">
      <c r="A91" s="26" t="s">
        <v>81</v>
      </c>
      <c r="B91" s="26"/>
      <c r="C91" s="52">
        <v>12995119</v>
      </c>
      <c r="D91" s="52"/>
      <c r="E91" s="52">
        <v>27165158</v>
      </c>
      <c r="F91" s="52"/>
      <c r="G91" s="52">
        <v>8681759</v>
      </c>
      <c r="H91" s="52"/>
      <c r="I91" s="52">
        <v>11147827</v>
      </c>
      <c r="J91" s="52"/>
      <c r="K91" s="52">
        <f>2460147+172118+5448+48000</f>
        <v>2685713</v>
      </c>
      <c r="L91" s="52"/>
      <c r="M91" s="52">
        <f>13331618</f>
        <v>13331618</v>
      </c>
      <c r="N91" s="52"/>
      <c r="O91" s="52">
        <f t="shared" si="2"/>
        <v>16017331</v>
      </c>
      <c r="P91" s="52"/>
      <c r="Q91" s="56">
        <f t="shared" si="3"/>
        <v>0</v>
      </c>
    </row>
    <row r="92" spans="1:17" ht="12.75">
      <c r="A92" s="26" t="s">
        <v>82</v>
      </c>
      <c r="B92" s="26"/>
      <c r="C92" s="52">
        <f>5701137+42840</f>
        <v>5743977</v>
      </c>
      <c r="D92" s="52"/>
      <c r="E92" s="52">
        <v>10025216</v>
      </c>
      <c r="F92" s="52"/>
      <c r="G92" s="52">
        <v>3031052</v>
      </c>
      <c r="H92" s="52"/>
      <c r="I92" s="52">
        <v>3670418</v>
      </c>
      <c r="J92" s="52"/>
      <c r="K92" s="52">
        <f>783436+94127</f>
        <v>877563</v>
      </c>
      <c r="L92" s="52"/>
      <c r="M92" s="52">
        <v>5477235</v>
      </c>
      <c r="N92" s="52"/>
      <c r="O92" s="52">
        <f t="shared" si="2"/>
        <v>6354798</v>
      </c>
      <c r="P92" s="52"/>
      <c r="Q92" s="56">
        <f t="shared" si="3"/>
        <v>0</v>
      </c>
    </row>
    <row r="93" spans="1:17" ht="12.75">
      <c r="A93" s="26" t="s">
        <v>83</v>
      </c>
      <c r="B93" s="26"/>
      <c r="C93" s="52">
        <f>6567932+28597</f>
        <v>6596529</v>
      </c>
      <c r="D93" s="52"/>
      <c r="E93" s="52">
        <v>13876450</v>
      </c>
      <c r="F93" s="52"/>
      <c r="G93" s="52">
        <v>4573413</v>
      </c>
      <c r="H93" s="52"/>
      <c r="I93" s="52">
        <v>5647753</v>
      </c>
      <c r="J93" s="52"/>
      <c r="K93" s="52">
        <f>725532+141036+228276</f>
        <v>1094844</v>
      </c>
      <c r="L93" s="52"/>
      <c r="M93" s="52">
        <f>550000+6583853</f>
        <v>7133853</v>
      </c>
      <c r="N93" s="52"/>
      <c r="O93" s="52">
        <f t="shared" si="2"/>
        <v>8228697</v>
      </c>
      <c r="P93" s="52"/>
      <c r="Q93" s="56">
        <f t="shared" si="3"/>
        <v>0</v>
      </c>
    </row>
    <row r="94" spans="1:17" ht="12.75" hidden="1">
      <c r="A94" s="26" t="s">
        <v>183</v>
      </c>
      <c r="B94" s="26"/>
      <c r="C94" s="52">
        <v>0</v>
      </c>
      <c r="D94" s="52"/>
      <c r="E94" s="52">
        <v>0</v>
      </c>
      <c r="F94" s="52"/>
      <c r="G94" s="52">
        <v>0</v>
      </c>
      <c r="H94" s="52"/>
      <c r="I94" s="52">
        <v>0</v>
      </c>
      <c r="J94" s="52"/>
      <c r="K94" s="52">
        <v>0</v>
      </c>
      <c r="L94" s="52"/>
      <c r="M94" s="52">
        <v>0</v>
      </c>
      <c r="N94" s="52"/>
      <c r="O94" s="52">
        <f t="shared" si="2"/>
        <v>0</v>
      </c>
      <c r="P94" s="52"/>
      <c r="Q94" s="56">
        <f t="shared" si="3"/>
        <v>0</v>
      </c>
    </row>
    <row r="95" spans="1:17" ht="12.75">
      <c r="A95" s="26" t="s">
        <v>84</v>
      </c>
      <c r="B95" s="26"/>
      <c r="C95" s="52">
        <f>7701379+90864</f>
        <v>7792243</v>
      </c>
      <c r="D95" s="52"/>
      <c r="E95" s="52">
        <v>23553359</v>
      </c>
      <c r="F95" s="52"/>
      <c r="G95" s="52">
        <v>13189528</v>
      </c>
      <c r="H95" s="52"/>
      <c r="I95" s="52">
        <v>14747004</v>
      </c>
      <c r="J95" s="52"/>
      <c r="K95" s="52">
        <f>66904+680915</f>
        <v>747819</v>
      </c>
      <c r="L95" s="52"/>
      <c r="M95" s="52">
        <v>8058536</v>
      </c>
      <c r="N95" s="52"/>
      <c r="O95" s="52">
        <f t="shared" si="2"/>
        <v>8806355</v>
      </c>
      <c r="P95" s="52"/>
      <c r="Q95" s="56">
        <f t="shared" si="3"/>
        <v>0</v>
      </c>
    </row>
    <row r="96" spans="1:17" ht="12.75" hidden="1">
      <c r="A96" s="26" t="s">
        <v>184</v>
      </c>
      <c r="B96" s="26"/>
      <c r="C96" s="19">
        <v>0</v>
      </c>
      <c r="D96" s="19"/>
      <c r="E96" s="19">
        <v>0</v>
      </c>
      <c r="F96" s="19"/>
      <c r="G96" s="19">
        <v>0</v>
      </c>
      <c r="H96" s="19"/>
      <c r="I96" s="19">
        <v>0</v>
      </c>
      <c r="J96" s="19"/>
      <c r="K96" s="19">
        <v>0</v>
      </c>
      <c r="L96" s="19"/>
      <c r="M96" s="19">
        <v>0</v>
      </c>
      <c r="N96" s="19"/>
      <c r="O96" s="52">
        <f>+M96+K96</f>
        <v>0</v>
      </c>
      <c r="P96" s="19"/>
      <c r="Q96" s="56">
        <f>+E96-I96-O96</f>
        <v>0</v>
      </c>
    </row>
    <row r="97" spans="1:17" ht="12.75">
      <c r="A97" s="26"/>
      <c r="B97" s="26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56">
        <f>+E97-I97-O97</f>
        <v>0</v>
      </c>
    </row>
    <row r="98" spans="1:16" ht="12.75">
      <c r="A98" s="26"/>
      <c r="B98" s="26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6"/>
    </row>
  </sheetData>
  <printOptions/>
  <pageMargins left="1" right="1" top="0.5" bottom="0.5" header="0" footer="0.25"/>
  <pageSetup firstPageNumber="8" useFirstPageNumber="1" horizontalDpi="600" verticalDpi="600" orientation="portrait" pageOrder="overThenDown" scale="95" r:id="rId1"/>
  <headerFooter alignWithMargins="0">
    <oddFooter>&amp;C&amp;"Times New Roman,Regular"&amp;11&amp;P</oddFooter>
  </headerFooter>
  <rowBreaks count="1" manualBreakCount="1">
    <brk id="7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Q99"/>
  <sheetViews>
    <sheetView workbookViewId="0" topLeftCell="A3">
      <pane xSplit="1" ySplit="7" topLeftCell="B10" activePane="bottomRight" state="frozen"/>
      <selection pane="topLeft" activeCell="A3" sqref="A3"/>
      <selection pane="topRight" activeCell="B3" sqref="B3"/>
      <selection pane="bottomLeft" activeCell="A9" sqref="A9"/>
      <selection pane="bottomRight" activeCell="E6" sqref="E6"/>
    </sheetView>
  </sheetViews>
  <sheetFormatPr defaultColWidth="9.140625" defaultRowHeight="12.75"/>
  <cols>
    <col min="1" max="1" width="15.7109375" style="66" customWidth="1"/>
    <col min="2" max="2" width="1.7109375" style="66" customWidth="1"/>
    <col min="3" max="3" width="12.7109375" style="56" customWidth="1"/>
    <col min="4" max="4" width="1.7109375" style="56" customWidth="1"/>
    <col min="5" max="5" width="12.7109375" style="56" customWidth="1"/>
    <col min="6" max="6" width="1.7109375" style="56" customWidth="1"/>
    <col min="7" max="7" width="12.7109375" style="56" customWidth="1"/>
    <col min="8" max="8" width="1.7109375" style="56" customWidth="1"/>
    <col min="9" max="9" width="12.7109375" style="56" customWidth="1"/>
    <col min="10" max="10" width="1.7109375" style="56" customWidth="1"/>
    <col min="11" max="11" width="12.7109375" style="56" customWidth="1"/>
    <col min="12" max="12" width="1.7109375" style="56" customWidth="1"/>
    <col min="13" max="13" width="12.7109375" style="56" customWidth="1"/>
    <col min="14" max="14" width="1.7109375" style="56" customWidth="1"/>
    <col min="15" max="15" width="12.7109375" style="56" customWidth="1"/>
    <col min="16" max="16" width="9.28125" style="66" bestFit="1" customWidth="1"/>
    <col min="17" max="17" width="12.7109375" style="66" customWidth="1"/>
    <col min="18" max="16384" width="9.140625" style="66" customWidth="1"/>
  </cols>
  <sheetData>
    <row r="1" spans="1:16" ht="12.75">
      <c r="A1" s="20" t="s">
        <v>215</v>
      </c>
      <c r="B1" s="20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0"/>
    </row>
    <row r="2" spans="1:16" ht="12.75">
      <c r="A2" s="20" t="s">
        <v>225</v>
      </c>
      <c r="B2" s="20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0"/>
    </row>
    <row r="3" spans="1:16" ht="12.75">
      <c r="A3" s="20" t="s">
        <v>251</v>
      </c>
      <c r="B3" s="20"/>
      <c r="C3" s="20"/>
      <c r="D3" s="20"/>
      <c r="E3" s="20"/>
      <c r="F3" s="20"/>
      <c r="G3" s="20"/>
      <c r="H3" s="58"/>
      <c r="I3" s="58"/>
      <c r="J3" s="58"/>
      <c r="K3" s="58"/>
      <c r="L3" s="58"/>
      <c r="M3" s="58"/>
      <c r="N3" s="58"/>
      <c r="O3" s="58"/>
      <c r="P3" s="21"/>
    </row>
    <row r="4" spans="1:16" ht="12.75">
      <c r="A4" s="20" t="s">
        <v>225</v>
      </c>
      <c r="B4" s="17"/>
      <c r="C4" s="44"/>
      <c r="D4" s="44"/>
      <c r="E4" s="44"/>
      <c r="F4" s="44"/>
      <c r="G4" s="44"/>
      <c r="H4" s="44"/>
      <c r="I4" s="44"/>
      <c r="J4" s="44"/>
      <c r="P4" s="22"/>
    </row>
    <row r="5" spans="2:16" ht="12.75">
      <c r="B5" s="17"/>
      <c r="C5" s="44"/>
      <c r="D5" s="44"/>
      <c r="E5" s="44"/>
      <c r="F5" s="44"/>
      <c r="G5" s="44"/>
      <c r="H5" s="44"/>
      <c r="I5" s="44"/>
      <c r="J5" s="44"/>
      <c r="P5" s="22"/>
    </row>
    <row r="6" spans="1:16" ht="12.75">
      <c r="A6" s="15" t="s">
        <v>196</v>
      </c>
      <c r="B6" s="17"/>
      <c r="C6" s="44"/>
      <c r="D6" s="44"/>
      <c r="E6" s="44"/>
      <c r="F6" s="44"/>
      <c r="G6" s="44"/>
      <c r="H6" s="44"/>
      <c r="I6" s="44"/>
      <c r="J6" s="44"/>
      <c r="P6" s="22"/>
    </row>
    <row r="7" spans="2:16" ht="12.75">
      <c r="B7" s="17"/>
      <c r="C7" s="44"/>
      <c r="D7" s="44"/>
      <c r="E7" s="44"/>
      <c r="F7" s="44"/>
      <c r="G7" s="44"/>
      <c r="H7" s="44"/>
      <c r="I7" s="44"/>
      <c r="J7" s="44"/>
      <c r="K7" s="44" t="s">
        <v>119</v>
      </c>
      <c r="L7" s="44"/>
      <c r="M7" s="44" t="s">
        <v>120</v>
      </c>
      <c r="N7" s="44"/>
      <c r="O7" s="44" t="s">
        <v>4</v>
      </c>
      <c r="P7" s="22"/>
    </row>
    <row r="8" spans="1:17" ht="12.75">
      <c r="A8" s="17"/>
      <c r="B8" s="17"/>
      <c r="C8" s="44" t="s">
        <v>121</v>
      </c>
      <c r="D8" s="44"/>
      <c r="E8" s="44" t="s">
        <v>4</v>
      </c>
      <c r="F8" s="44"/>
      <c r="G8" s="44" t="s">
        <v>122</v>
      </c>
      <c r="H8" s="44"/>
      <c r="I8" s="44" t="s">
        <v>4</v>
      </c>
      <c r="J8" s="44"/>
      <c r="K8" s="44" t="s">
        <v>123</v>
      </c>
      <c r="L8" s="44"/>
      <c r="M8" s="44" t="s">
        <v>124</v>
      </c>
      <c r="N8" s="44"/>
      <c r="O8" s="44" t="s">
        <v>123</v>
      </c>
      <c r="P8" s="22"/>
      <c r="Q8" s="109" t="s">
        <v>241</v>
      </c>
    </row>
    <row r="9" spans="1:17" s="121" customFormat="1" ht="12.75">
      <c r="A9" s="74" t="s">
        <v>5</v>
      </c>
      <c r="B9" s="68"/>
      <c r="C9" s="53" t="s">
        <v>125</v>
      </c>
      <c r="D9" s="73"/>
      <c r="E9" s="53" t="s">
        <v>117</v>
      </c>
      <c r="F9" s="73"/>
      <c r="G9" s="53" t="s">
        <v>11</v>
      </c>
      <c r="H9" s="73"/>
      <c r="I9" s="53" t="s">
        <v>126</v>
      </c>
      <c r="J9" s="73"/>
      <c r="K9" s="53" t="s">
        <v>127</v>
      </c>
      <c r="L9" s="73"/>
      <c r="M9" s="53" t="s">
        <v>128</v>
      </c>
      <c r="N9" s="73"/>
      <c r="O9" s="53" t="s">
        <v>118</v>
      </c>
      <c r="P9" s="22"/>
      <c r="Q9" s="122" t="s">
        <v>250</v>
      </c>
    </row>
    <row r="10" spans="1:16" ht="12.75">
      <c r="A10" s="68"/>
      <c r="B10" s="68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22"/>
    </row>
    <row r="11" spans="1:17" ht="12.75">
      <c r="A11" s="26" t="s">
        <v>13</v>
      </c>
      <c r="B11" s="26"/>
      <c r="C11" s="52">
        <f>30339735+560271</f>
        <v>30900006</v>
      </c>
      <c r="D11" s="52"/>
      <c r="E11" s="52">
        <v>67602893</v>
      </c>
      <c r="F11" s="52"/>
      <c r="G11" s="52">
        <v>28468667</v>
      </c>
      <c r="H11" s="52"/>
      <c r="I11" s="52">
        <v>35970896</v>
      </c>
      <c r="J11" s="52"/>
      <c r="K11" s="52">
        <f>855155+4609336+164491</f>
        <v>5628982</v>
      </c>
      <c r="L11" s="52"/>
      <c r="M11" s="52">
        <f>4882024+15328748+2525534+3266709</f>
        <v>26003015</v>
      </c>
      <c r="N11" s="52"/>
      <c r="O11" s="52">
        <f aca="true" t="shared" si="0" ref="O11:O74">+M11+K11</f>
        <v>31631997</v>
      </c>
      <c r="P11" s="52"/>
      <c r="Q11" s="56">
        <f>+E11-I11-O11</f>
        <v>0</v>
      </c>
    </row>
    <row r="12" spans="1:17" ht="12.75">
      <c r="A12" s="26" t="s">
        <v>14</v>
      </c>
      <c r="B12" s="26"/>
      <c r="C12" s="52">
        <v>11495347</v>
      </c>
      <c r="D12" s="52"/>
      <c r="E12" s="52">
        <v>22209442</v>
      </c>
      <c r="F12" s="52"/>
      <c r="G12" s="52">
        <v>8722162</v>
      </c>
      <c r="H12" s="52"/>
      <c r="I12" s="52">
        <v>10214287</v>
      </c>
      <c r="J12" s="52"/>
      <c r="K12" s="52">
        <f>25633+52282+64091</f>
        <v>142006</v>
      </c>
      <c r="L12" s="52"/>
      <c r="M12" s="52">
        <f>4678128+6286612+888409</f>
        <v>11853149</v>
      </c>
      <c r="N12" s="52"/>
      <c r="O12" s="52">
        <f t="shared" si="0"/>
        <v>11995155</v>
      </c>
      <c r="P12" s="52"/>
      <c r="Q12" s="56">
        <f aca="true" t="shared" si="1" ref="Q12:Q75">+E12-I12-O12</f>
        <v>0</v>
      </c>
    </row>
    <row r="13" spans="1:17" ht="12.75">
      <c r="A13" s="26" t="s">
        <v>15</v>
      </c>
      <c r="B13" s="26"/>
      <c r="C13" s="52">
        <f>26333733+2693716</f>
        <v>29027449</v>
      </c>
      <c r="D13" s="52"/>
      <c r="E13" s="52">
        <v>55950438</v>
      </c>
      <c r="F13" s="52"/>
      <c r="G13" s="52">
        <v>21785318</v>
      </c>
      <c r="H13" s="52"/>
      <c r="I13" s="52">
        <v>27653385</v>
      </c>
      <c r="J13" s="52"/>
      <c r="K13" s="52">
        <f>4138393+138926+90000+2609399</f>
        <v>6976718</v>
      </c>
      <c r="L13" s="52"/>
      <c r="M13" s="52">
        <f>3940564+16365196+418185+596390</f>
        <v>21320335</v>
      </c>
      <c r="N13" s="52"/>
      <c r="O13" s="52">
        <f t="shared" si="0"/>
        <v>28297053</v>
      </c>
      <c r="P13" s="52"/>
      <c r="Q13" s="56">
        <f t="shared" si="1"/>
        <v>0</v>
      </c>
    </row>
    <row r="14" spans="1:17" ht="12.75">
      <c r="A14" s="26" t="s">
        <v>16</v>
      </c>
      <c r="B14" s="26"/>
      <c r="C14" s="52">
        <f>14440416+42752</f>
        <v>14483168</v>
      </c>
      <c r="D14" s="52"/>
      <c r="E14" s="52">
        <v>29266005</v>
      </c>
      <c r="F14" s="52"/>
      <c r="G14" s="52">
        <v>10452565</v>
      </c>
      <c r="H14" s="52"/>
      <c r="I14" s="52">
        <v>14658532</v>
      </c>
      <c r="J14" s="52"/>
      <c r="K14" s="52">
        <f>716821+426972</f>
        <v>1143793</v>
      </c>
      <c r="L14" s="52"/>
      <c r="M14" s="52">
        <f>2174591+11274649+17688-3248</f>
        <v>13463680</v>
      </c>
      <c r="N14" s="52"/>
      <c r="O14" s="52">
        <f t="shared" si="0"/>
        <v>14607473</v>
      </c>
      <c r="P14" s="52"/>
      <c r="Q14" s="56">
        <f t="shared" si="1"/>
        <v>0</v>
      </c>
    </row>
    <row r="15" spans="1:17" ht="12.75">
      <c r="A15" s="26" t="s">
        <v>17</v>
      </c>
      <c r="B15" s="26"/>
      <c r="C15" s="52">
        <v>13052569</v>
      </c>
      <c r="D15" s="52"/>
      <c r="E15" s="52">
        <v>26361377</v>
      </c>
      <c r="F15" s="52"/>
      <c r="G15" s="52">
        <v>10561239</v>
      </c>
      <c r="H15" s="52"/>
      <c r="I15" s="52">
        <v>12040211</v>
      </c>
      <c r="J15" s="52"/>
      <c r="K15" s="52">
        <f>1225207+57600</f>
        <v>1282807</v>
      </c>
      <c r="L15" s="52"/>
      <c r="M15" s="52">
        <f>4076214+4682505+2846844+1432796</f>
        <v>13038359</v>
      </c>
      <c r="N15" s="52"/>
      <c r="O15" s="52">
        <f t="shared" si="0"/>
        <v>14321166</v>
      </c>
      <c r="P15" s="52"/>
      <c r="Q15" s="56">
        <f t="shared" si="1"/>
        <v>0</v>
      </c>
    </row>
    <row r="16" spans="1:17" ht="12.75">
      <c r="A16" s="26" t="s">
        <v>18</v>
      </c>
      <c r="B16" s="26"/>
      <c r="C16" s="52">
        <f>25154441+16120+1200600</f>
        <v>26371161</v>
      </c>
      <c r="D16" s="52"/>
      <c r="E16" s="52">
        <v>45515930</v>
      </c>
      <c r="F16" s="52"/>
      <c r="G16" s="52">
        <v>15014344</v>
      </c>
      <c r="H16" s="52"/>
      <c r="I16" s="52">
        <v>19787196</v>
      </c>
      <c r="J16" s="52"/>
      <c r="K16" s="52">
        <f>2424144+119797+280051</f>
        <v>2823992</v>
      </c>
      <c r="L16" s="52"/>
      <c r="M16" s="52">
        <f>1160000+3074915+12504950+25733+6139144</f>
        <v>22904742</v>
      </c>
      <c r="N16" s="52"/>
      <c r="O16" s="52">
        <f t="shared" si="0"/>
        <v>25728734</v>
      </c>
      <c r="P16" s="52"/>
      <c r="Q16" s="56">
        <f t="shared" si="1"/>
        <v>0</v>
      </c>
    </row>
    <row r="17" spans="1:17" ht="12.75" hidden="1">
      <c r="A17" s="26" t="s">
        <v>138</v>
      </c>
      <c r="B17" s="26"/>
      <c r="P17" s="52"/>
      <c r="Q17" s="56">
        <f>+E18-I18-O18</f>
        <v>0</v>
      </c>
    </row>
    <row r="18" spans="1:17" ht="12.75">
      <c r="A18" s="26" t="s">
        <v>187</v>
      </c>
      <c r="B18" s="26"/>
      <c r="C18" s="52">
        <f>53432841+4402208+2518617</f>
        <v>60353666</v>
      </c>
      <c r="D18" s="52"/>
      <c r="E18" s="52">
        <v>176844437</v>
      </c>
      <c r="F18" s="52"/>
      <c r="G18" s="52">
        <v>93232013</v>
      </c>
      <c r="H18" s="52"/>
      <c r="I18" s="52">
        <v>132609677</v>
      </c>
      <c r="J18" s="52"/>
      <c r="K18" s="52">
        <f>5187452+631697+445059+2691699+551802</f>
        <v>9507709</v>
      </c>
      <c r="L18" s="52"/>
      <c r="M18" s="52">
        <f>10013728+28827510+867108-4981295</f>
        <v>34727051</v>
      </c>
      <c r="N18" s="52"/>
      <c r="O18" s="52">
        <f>+M18+K18</f>
        <v>44234760</v>
      </c>
      <c r="P18" s="52"/>
      <c r="Q18" s="56">
        <v>0</v>
      </c>
    </row>
    <row r="19" spans="1:17" ht="12.75">
      <c r="A19" s="26" t="s">
        <v>20</v>
      </c>
      <c r="B19" s="26"/>
      <c r="C19" s="52">
        <f>3515231+58775</f>
        <v>3574006</v>
      </c>
      <c r="D19" s="52"/>
      <c r="E19" s="52">
        <v>10789512</v>
      </c>
      <c r="F19" s="52"/>
      <c r="G19" s="52">
        <v>5697452</v>
      </c>
      <c r="H19" s="52"/>
      <c r="I19" s="52">
        <v>6555399</v>
      </c>
      <c r="J19" s="52"/>
      <c r="K19" s="52">
        <f>472500+60447+329996+6000+21745</f>
        <v>890688</v>
      </c>
      <c r="L19" s="52"/>
      <c r="M19" s="52">
        <f>604869+2557004+26969+154583</f>
        <v>3343425</v>
      </c>
      <c r="N19" s="52"/>
      <c r="O19" s="52">
        <f t="shared" si="0"/>
        <v>4234113</v>
      </c>
      <c r="P19" s="52"/>
      <c r="Q19" s="56">
        <f t="shared" si="1"/>
        <v>0</v>
      </c>
    </row>
    <row r="20" spans="1:17" ht="12.75" hidden="1">
      <c r="A20" s="26" t="s">
        <v>181</v>
      </c>
      <c r="B20" s="26"/>
      <c r="C20" s="52">
        <v>0</v>
      </c>
      <c r="D20" s="52"/>
      <c r="E20" s="52">
        <v>0</v>
      </c>
      <c r="F20" s="52"/>
      <c r="G20" s="52">
        <v>0</v>
      </c>
      <c r="H20" s="52"/>
      <c r="I20" s="52">
        <v>0</v>
      </c>
      <c r="J20" s="52"/>
      <c r="K20" s="52">
        <v>0</v>
      </c>
      <c r="L20" s="52"/>
      <c r="M20" s="52">
        <v>0</v>
      </c>
      <c r="N20" s="52"/>
      <c r="O20" s="52">
        <f t="shared" si="0"/>
        <v>0</v>
      </c>
      <c r="P20" s="52"/>
      <c r="Q20" s="56">
        <f t="shared" si="1"/>
        <v>0</v>
      </c>
    </row>
    <row r="21" spans="1:17" ht="12.75">
      <c r="A21" s="26" t="s">
        <v>21</v>
      </c>
      <c r="B21" s="26"/>
      <c r="C21" s="52">
        <f>23844445+560520+164083</f>
        <v>24569048</v>
      </c>
      <c r="D21" s="52"/>
      <c r="E21" s="52">
        <v>66626481</v>
      </c>
      <c r="F21" s="52"/>
      <c r="G21" s="52">
        <v>39546419</v>
      </c>
      <c r="H21" s="52"/>
      <c r="I21" s="52">
        <v>50674093</v>
      </c>
      <c r="J21" s="52"/>
      <c r="K21" s="52">
        <f>6326573+198448+101525+74787</f>
        <v>6701333</v>
      </c>
      <c r="L21" s="52"/>
      <c r="M21" s="52">
        <v>9251055</v>
      </c>
      <c r="N21" s="52"/>
      <c r="O21" s="52">
        <f t="shared" si="0"/>
        <v>15952388</v>
      </c>
      <c r="P21" s="52"/>
      <c r="Q21" s="56">
        <f t="shared" si="1"/>
        <v>0</v>
      </c>
    </row>
    <row r="22" spans="1:17" ht="12.75">
      <c r="A22" s="26" t="s">
        <v>193</v>
      </c>
      <c r="B22" s="26"/>
      <c r="C22" s="52">
        <f>65862948+43980</f>
        <v>65906928</v>
      </c>
      <c r="D22" s="52"/>
      <c r="E22" s="52">
        <v>104559309</v>
      </c>
      <c r="F22" s="52"/>
      <c r="G22" s="52">
        <v>33166346</v>
      </c>
      <c r="H22" s="52"/>
      <c r="I22" s="52">
        <v>42982608</v>
      </c>
      <c r="J22" s="52"/>
      <c r="K22" s="52">
        <f>9564555+172377</f>
        <v>9736932</v>
      </c>
      <c r="L22" s="52"/>
      <c r="M22" s="52">
        <f>2300000+25372491+12279949+325337+11561992</f>
        <v>51839769</v>
      </c>
      <c r="N22" s="52"/>
      <c r="O22" s="52">
        <f t="shared" si="0"/>
        <v>61576701</v>
      </c>
      <c r="P22" s="52"/>
      <c r="Q22" s="56">
        <f t="shared" si="1"/>
        <v>0</v>
      </c>
    </row>
    <row r="23" spans="1:17" ht="12.75">
      <c r="A23" s="26" t="s">
        <v>22</v>
      </c>
      <c r="B23" s="26"/>
      <c r="C23" s="52">
        <v>8934336</v>
      </c>
      <c r="D23" s="52"/>
      <c r="E23" s="52">
        <v>18338823</v>
      </c>
      <c r="F23" s="52"/>
      <c r="G23" s="52">
        <v>7220692</v>
      </c>
      <c r="H23" s="52"/>
      <c r="I23" s="52">
        <v>14217150</v>
      </c>
      <c r="J23" s="52"/>
      <c r="K23" s="52">
        <f>909230+87380+82429+84225</f>
        <v>1163264</v>
      </c>
      <c r="L23" s="52"/>
      <c r="M23" s="52">
        <f>79480+6544224+319203-3984498</f>
        <v>2958409</v>
      </c>
      <c r="N23" s="52"/>
      <c r="O23" s="52">
        <f t="shared" si="0"/>
        <v>4121673</v>
      </c>
      <c r="P23" s="52"/>
      <c r="Q23" s="56">
        <f t="shared" si="1"/>
        <v>0</v>
      </c>
    </row>
    <row r="24" spans="1:17" ht="12.75" hidden="1">
      <c r="A24" s="26" t="s">
        <v>23</v>
      </c>
      <c r="B24" s="26"/>
      <c r="C24" s="52">
        <v>0</v>
      </c>
      <c r="D24" s="52"/>
      <c r="E24" s="52">
        <v>0</v>
      </c>
      <c r="F24" s="52"/>
      <c r="G24" s="52">
        <v>0</v>
      </c>
      <c r="H24" s="52"/>
      <c r="I24" s="52">
        <v>0</v>
      </c>
      <c r="J24" s="52"/>
      <c r="K24" s="52">
        <v>0</v>
      </c>
      <c r="L24" s="52"/>
      <c r="M24" s="52">
        <v>0</v>
      </c>
      <c r="N24" s="52"/>
      <c r="O24" s="52">
        <f t="shared" si="0"/>
        <v>0</v>
      </c>
      <c r="P24" s="52"/>
      <c r="Q24" s="56">
        <f t="shared" si="1"/>
        <v>0</v>
      </c>
    </row>
    <row r="25" spans="1:17" ht="12.75" hidden="1">
      <c r="A25" s="26" t="s">
        <v>24</v>
      </c>
      <c r="B25" s="26"/>
      <c r="C25" s="52">
        <v>0</v>
      </c>
      <c r="D25" s="52"/>
      <c r="E25" s="52">
        <v>0</v>
      </c>
      <c r="F25" s="52"/>
      <c r="G25" s="52">
        <v>0</v>
      </c>
      <c r="H25" s="52"/>
      <c r="I25" s="52">
        <v>0</v>
      </c>
      <c r="J25" s="52"/>
      <c r="K25" s="52">
        <v>0</v>
      </c>
      <c r="L25" s="52"/>
      <c r="M25" s="52">
        <v>0</v>
      </c>
      <c r="N25" s="52"/>
      <c r="O25" s="52">
        <f t="shared" si="0"/>
        <v>0</v>
      </c>
      <c r="P25" s="52"/>
      <c r="Q25" s="56">
        <f t="shared" si="1"/>
        <v>0</v>
      </c>
    </row>
    <row r="26" spans="1:17" ht="12.75">
      <c r="A26" s="26" t="s">
        <v>191</v>
      </c>
      <c r="B26" s="26"/>
      <c r="C26" s="52">
        <f>10875240+8033+103896</f>
        <v>10987169</v>
      </c>
      <c r="D26" s="52"/>
      <c r="E26" s="52">
        <v>20804232</v>
      </c>
      <c r="F26" s="52"/>
      <c r="G26" s="52">
        <v>7053773</v>
      </c>
      <c r="H26" s="52"/>
      <c r="I26" s="52">
        <v>10324215</v>
      </c>
      <c r="J26" s="52"/>
      <c r="K26" s="52">
        <f>1183536+683818+110457</f>
        <v>1977811</v>
      </c>
      <c r="L26" s="52"/>
      <c r="M26" s="52">
        <f>2884065+5720469+159710-262038</f>
        <v>8502206</v>
      </c>
      <c r="N26" s="52"/>
      <c r="O26" s="52">
        <f t="shared" si="0"/>
        <v>10480017</v>
      </c>
      <c r="P26" s="52"/>
      <c r="Q26" s="56">
        <f t="shared" si="1"/>
        <v>0</v>
      </c>
    </row>
    <row r="27" spans="1:17" ht="12.75">
      <c r="A27" s="26" t="s">
        <v>25</v>
      </c>
      <c r="B27" s="26"/>
      <c r="C27" s="52">
        <v>113844</v>
      </c>
      <c r="D27" s="52"/>
      <c r="E27" s="52">
        <v>812381</v>
      </c>
      <c r="F27" s="52"/>
      <c r="G27" s="52">
        <v>388674</v>
      </c>
      <c r="H27" s="52"/>
      <c r="I27" s="52">
        <v>585893</v>
      </c>
      <c r="J27" s="52"/>
      <c r="K27" s="52">
        <f>33654+17974+10983</f>
        <v>62611</v>
      </c>
      <c r="L27" s="52"/>
      <c r="M27" s="52">
        <f>1978+7020+132712+75856-53689</f>
        <v>163877</v>
      </c>
      <c r="N27" s="52"/>
      <c r="O27" s="52">
        <f t="shared" si="0"/>
        <v>226488</v>
      </c>
      <c r="P27" s="52"/>
      <c r="Q27" s="56">
        <f t="shared" si="1"/>
        <v>0</v>
      </c>
    </row>
    <row r="28" spans="1:17" ht="12.75">
      <c r="A28" s="26" t="s">
        <v>26</v>
      </c>
      <c r="B28" s="26"/>
      <c r="C28" s="52">
        <f>11795039+226479+56707+5919260+590094+4955680+90538+3372+640138</f>
        <v>24277307</v>
      </c>
      <c r="D28" s="52"/>
      <c r="E28" s="52">
        <v>24498223</v>
      </c>
      <c r="F28" s="52"/>
      <c r="G28" s="52">
        <v>9064925</v>
      </c>
      <c r="H28" s="52"/>
      <c r="I28" s="52">
        <v>15486129</v>
      </c>
      <c r="J28" s="52"/>
      <c r="K28" s="52">
        <f>222240+23838+197078+786+640138+125738</f>
        <v>1209818</v>
      </c>
      <c r="L28" s="52"/>
      <c r="M28" s="52">
        <f>2221570+10030271-4449565</f>
        <v>7802276</v>
      </c>
      <c r="N28" s="52"/>
      <c r="O28" s="52">
        <f t="shared" si="0"/>
        <v>9012094</v>
      </c>
      <c r="P28" s="52"/>
      <c r="Q28" s="56">
        <f t="shared" si="1"/>
        <v>0</v>
      </c>
    </row>
    <row r="29" spans="1:17" ht="12.75">
      <c r="A29" s="26" t="s">
        <v>27</v>
      </c>
      <c r="B29" s="26"/>
      <c r="C29" s="52">
        <f>23255792+85837+2161</f>
        <v>23343790</v>
      </c>
      <c r="D29" s="52"/>
      <c r="E29" s="52">
        <v>36265320</v>
      </c>
      <c r="F29" s="52"/>
      <c r="G29" s="52">
        <v>9272416</v>
      </c>
      <c r="H29" s="52"/>
      <c r="I29" s="52">
        <v>12149829</v>
      </c>
      <c r="J29" s="52"/>
      <c r="K29" s="52">
        <f>1137388+80567+1681596+336466</f>
        <v>3236017</v>
      </c>
      <c r="L29" s="52"/>
      <c r="M29" s="52">
        <f>59685+6618927+8375524+487264+5338074</f>
        <v>20879474</v>
      </c>
      <c r="N29" s="52"/>
      <c r="O29" s="52">
        <f t="shared" si="0"/>
        <v>24115491</v>
      </c>
      <c r="P29" s="52"/>
      <c r="Q29" s="56">
        <f t="shared" si="1"/>
        <v>0</v>
      </c>
    </row>
    <row r="30" spans="1:17" ht="12.75">
      <c r="A30" s="26" t="s">
        <v>28</v>
      </c>
      <c r="B30" s="26"/>
      <c r="C30" s="52">
        <f>67651974+16455</f>
        <v>67668429</v>
      </c>
      <c r="D30" s="52"/>
      <c r="E30" s="52">
        <v>95026637</v>
      </c>
      <c r="F30" s="52"/>
      <c r="G30" s="52">
        <v>19773560</v>
      </c>
      <c r="H30" s="52"/>
      <c r="I30" s="52">
        <v>24972459</v>
      </c>
      <c r="J30" s="52"/>
      <c r="K30" s="52">
        <f>1673729+928517</f>
        <v>2602246</v>
      </c>
      <c r="L30" s="52"/>
      <c r="M30" s="52">
        <f>15272705+32941370+19237857</f>
        <v>67451932</v>
      </c>
      <c r="N30" s="52"/>
      <c r="O30" s="52">
        <f t="shared" si="0"/>
        <v>70054178</v>
      </c>
      <c r="P30" s="52"/>
      <c r="Q30" s="56">
        <f t="shared" si="1"/>
        <v>0</v>
      </c>
    </row>
    <row r="31" spans="1:17" ht="12.75">
      <c r="A31" s="26" t="s">
        <v>29</v>
      </c>
      <c r="B31" s="26"/>
      <c r="C31" s="52">
        <v>20791530</v>
      </c>
      <c r="D31" s="52"/>
      <c r="E31" s="52">
        <v>42188126</v>
      </c>
      <c r="F31" s="52"/>
      <c r="G31" s="52">
        <v>16877386</v>
      </c>
      <c r="H31" s="52"/>
      <c r="I31" s="52">
        <v>20444730</v>
      </c>
      <c r="J31" s="52"/>
      <c r="K31" s="52">
        <f>5858137+64249+387245+6401</f>
        <v>6316032</v>
      </c>
      <c r="L31" s="52"/>
      <c r="M31" s="52">
        <f>2000000+5078348+8231651+288966-171601</f>
        <v>15427364</v>
      </c>
      <c r="N31" s="52"/>
      <c r="O31" s="52">
        <f t="shared" si="0"/>
        <v>21743396</v>
      </c>
      <c r="P31" s="52"/>
      <c r="Q31" s="56">
        <f t="shared" si="1"/>
        <v>0</v>
      </c>
    </row>
    <row r="32" spans="1:17" ht="12.75">
      <c r="A32" s="26" t="s">
        <v>30</v>
      </c>
      <c r="B32" s="26"/>
      <c r="C32" s="52">
        <f>32067017+497864+22415</f>
        <v>32587296</v>
      </c>
      <c r="D32" s="52"/>
      <c r="E32" s="52">
        <v>64416134</v>
      </c>
      <c r="F32" s="52"/>
      <c r="G32" s="52">
        <v>24902282</v>
      </c>
      <c r="H32" s="52"/>
      <c r="I32" s="52">
        <v>31722927</v>
      </c>
      <c r="J32" s="52"/>
      <c r="K32" s="52">
        <f>4597275+99726+758491</f>
        <v>5455492</v>
      </c>
      <c r="L32" s="52"/>
      <c r="M32" s="52">
        <f>9574256+16659055+403015+601389</f>
        <v>27237715</v>
      </c>
      <c r="N32" s="52"/>
      <c r="O32" s="52">
        <f t="shared" si="0"/>
        <v>32693207</v>
      </c>
      <c r="P32" s="52"/>
      <c r="Q32" s="56">
        <f t="shared" si="1"/>
        <v>0</v>
      </c>
    </row>
    <row r="33" spans="1:17" ht="12.75" hidden="1">
      <c r="A33" s="26" t="s">
        <v>31</v>
      </c>
      <c r="B33" s="26"/>
      <c r="C33" s="52">
        <v>0</v>
      </c>
      <c r="D33" s="52"/>
      <c r="E33" s="52">
        <v>0</v>
      </c>
      <c r="F33" s="52"/>
      <c r="G33" s="52">
        <v>0</v>
      </c>
      <c r="H33" s="52"/>
      <c r="I33" s="52">
        <v>0</v>
      </c>
      <c r="J33" s="52"/>
      <c r="K33" s="52">
        <v>0</v>
      </c>
      <c r="L33" s="52"/>
      <c r="M33" s="52">
        <v>0</v>
      </c>
      <c r="N33" s="52"/>
      <c r="O33" s="52">
        <f t="shared" si="0"/>
        <v>0</v>
      </c>
      <c r="P33" s="52"/>
      <c r="Q33" s="56">
        <f t="shared" si="1"/>
        <v>0</v>
      </c>
    </row>
    <row r="34" spans="1:17" ht="12.75">
      <c r="A34" s="26" t="s">
        <v>32</v>
      </c>
      <c r="B34" s="26"/>
      <c r="C34" s="52">
        <v>1408</v>
      </c>
      <c r="D34" s="52"/>
      <c r="E34" s="52">
        <v>923924</v>
      </c>
      <c r="F34" s="52"/>
      <c r="G34" s="52">
        <v>112229</v>
      </c>
      <c r="H34" s="52"/>
      <c r="I34" s="52">
        <v>523197</v>
      </c>
      <c r="J34" s="52"/>
      <c r="K34" s="52">
        <f>19324+4252</f>
        <v>23576</v>
      </c>
      <c r="L34" s="52"/>
      <c r="M34" s="52">
        <f>15700+18404+84465+249722+30+8830</f>
        <v>377151</v>
      </c>
      <c r="N34" s="52"/>
      <c r="O34" s="52">
        <f t="shared" si="0"/>
        <v>400727</v>
      </c>
      <c r="P34" s="52"/>
      <c r="Q34" s="56">
        <f t="shared" si="1"/>
        <v>0</v>
      </c>
    </row>
    <row r="35" spans="1:17" ht="12.75">
      <c r="A35" s="26" t="s">
        <v>33</v>
      </c>
      <c r="B35" s="26"/>
      <c r="C35" s="52">
        <f>14821247+385320</f>
        <v>15206567</v>
      </c>
      <c r="D35" s="52"/>
      <c r="E35" s="52">
        <v>31432669</v>
      </c>
      <c r="F35" s="52"/>
      <c r="G35" s="52">
        <v>12233821</v>
      </c>
      <c r="H35" s="52"/>
      <c r="I35" s="52">
        <v>14681556</v>
      </c>
      <c r="J35" s="52"/>
      <c r="K35" s="52">
        <f>2194479+78013+227430+373665+425251+64297</f>
        <v>3363135</v>
      </c>
      <c r="L35" s="52"/>
      <c r="M35" s="52">
        <f>505260+3305595+9119353+331022+126748</f>
        <v>13387978</v>
      </c>
      <c r="N35" s="52"/>
      <c r="O35" s="52">
        <f t="shared" si="0"/>
        <v>16751113</v>
      </c>
      <c r="P35" s="52"/>
      <c r="Q35" s="56">
        <f t="shared" si="1"/>
        <v>0</v>
      </c>
    </row>
    <row r="36" spans="1:17" ht="12.75">
      <c r="A36" s="26" t="s">
        <v>34</v>
      </c>
      <c r="B36" s="26"/>
      <c r="C36" s="52">
        <f>4992017+35493</f>
        <v>5027510</v>
      </c>
      <c r="D36" s="52"/>
      <c r="E36" s="52">
        <v>14430941</v>
      </c>
      <c r="F36" s="52"/>
      <c r="G36" s="52">
        <v>6767477</v>
      </c>
      <c r="H36" s="52"/>
      <c r="I36" s="52">
        <v>8533888</v>
      </c>
      <c r="J36" s="52"/>
      <c r="K36" s="52">
        <f>77805+333565+49827+69472</f>
        <v>530669</v>
      </c>
      <c r="L36" s="52"/>
      <c r="M36" s="52">
        <f>1050238+4307447+8699</f>
        <v>5366384</v>
      </c>
      <c r="N36" s="52"/>
      <c r="O36" s="52">
        <f t="shared" si="0"/>
        <v>5897053</v>
      </c>
      <c r="P36" s="52"/>
      <c r="Q36" s="56">
        <f t="shared" si="1"/>
        <v>0</v>
      </c>
    </row>
    <row r="37" spans="1:17" ht="12.75">
      <c r="A37" s="26" t="s">
        <v>35</v>
      </c>
      <c r="B37" s="26"/>
      <c r="C37" s="52">
        <f>23724319+215246+12628</f>
        <v>23952193</v>
      </c>
      <c r="D37" s="52"/>
      <c r="E37" s="52">
        <v>63274814</v>
      </c>
      <c r="F37" s="52"/>
      <c r="G37" s="52">
        <v>32983771</v>
      </c>
      <c r="H37" s="52"/>
      <c r="I37" s="52">
        <v>41627281</v>
      </c>
      <c r="J37" s="52"/>
      <c r="K37" s="52">
        <f>2424641+3262161+148123</f>
        <v>5834925</v>
      </c>
      <c r="L37" s="52"/>
      <c r="M37" s="52">
        <f>3911303+9807862+3475154-1381711</f>
        <v>15812608</v>
      </c>
      <c r="N37" s="52"/>
      <c r="O37" s="52">
        <f t="shared" si="0"/>
        <v>21647533</v>
      </c>
      <c r="P37" s="52"/>
      <c r="Q37" s="56">
        <f t="shared" si="1"/>
        <v>0</v>
      </c>
    </row>
    <row r="38" spans="1:17" ht="12.75">
      <c r="A38" s="26" t="s">
        <v>140</v>
      </c>
      <c r="B38" s="26"/>
      <c r="C38" s="52">
        <v>33105997</v>
      </c>
      <c r="D38" s="52"/>
      <c r="E38" s="52">
        <v>69689129</v>
      </c>
      <c r="F38" s="52"/>
      <c r="G38" s="52">
        <v>29630038</v>
      </c>
      <c r="H38" s="52"/>
      <c r="I38" s="52">
        <v>38299901</v>
      </c>
      <c r="J38" s="52"/>
      <c r="K38" s="52">
        <f>3272635+410126+103585</f>
        <v>3786346</v>
      </c>
      <c r="L38" s="52"/>
      <c r="M38" s="52">
        <f>1000000+8689772+17415732+497378</f>
        <v>27602882</v>
      </c>
      <c r="N38" s="52"/>
      <c r="O38" s="52">
        <f t="shared" si="0"/>
        <v>31389228</v>
      </c>
      <c r="P38" s="52"/>
      <c r="Q38" s="56">
        <f t="shared" si="1"/>
        <v>0</v>
      </c>
    </row>
    <row r="39" spans="1:17" ht="12.75">
      <c r="A39" s="26" t="s">
        <v>36</v>
      </c>
      <c r="B39" s="26"/>
      <c r="C39" s="52">
        <f>14220873+728925+89064</f>
        <v>15038862</v>
      </c>
      <c r="D39" s="52"/>
      <c r="E39" s="52">
        <v>28517938</v>
      </c>
      <c r="F39" s="52"/>
      <c r="G39" s="52">
        <v>12067078</v>
      </c>
      <c r="H39" s="52"/>
      <c r="I39" s="52">
        <v>13936581</v>
      </c>
      <c r="J39" s="52"/>
      <c r="K39" s="52">
        <f>48355+52977</f>
        <v>101332</v>
      </c>
      <c r="L39" s="52"/>
      <c r="M39" s="52">
        <f>1944121+9178106+402828+2954970</f>
        <v>14480025</v>
      </c>
      <c r="N39" s="52"/>
      <c r="O39" s="52">
        <f t="shared" si="0"/>
        <v>14581357</v>
      </c>
      <c r="P39" s="52"/>
      <c r="Q39" s="56">
        <f t="shared" si="1"/>
        <v>0</v>
      </c>
    </row>
    <row r="40" spans="1:17" ht="12.75">
      <c r="A40" s="26" t="s">
        <v>37</v>
      </c>
      <c r="B40" s="26"/>
      <c r="C40" s="52">
        <f>278407+230</f>
        <v>278637</v>
      </c>
      <c r="D40" s="52"/>
      <c r="E40" s="52">
        <v>615975</v>
      </c>
      <c r="F40" s="52"/>
      <c r="G40" s="52">
        <v>265392</v>
      </c>
      <c r="H40" s="52"/>
      <c r="I40" s="52">
        <v>333956</v>
      </c>
      <c r="J40" s="52"/>
      <c r="K40" s="52">
        <f>31449+6202+40546+1881+1999</f>
        <v>82077</v>
      </c>
      <c r="L40" s="52"/>
      <c r="M40" s="52">
        <f>49020+147306+7502-3886</f>
        <v>199942</v>
      </c>
      <c r="N40" s="52"/>
      <c r="O40" s="52">
        <f t="shared" si="0"/>
        <v>282019</v>
      </c>
      <c r="P40" s="52"/>
      <c r="Q40" s="56">
        <f t="shared" si="1"/>
        <v>0</v>
      </c>
    </row>
    <row r="41" spans="1:17" ht="12.75">
      <c r="A41" s="26" t="s">
        <v>38</v>
      </c>
      <c r="B41" s="26"/>
      <c r="C41" s="52">
        <f>14422871+356173</f>
        <v>14779044</v>
      </c>
      <c r="D41" s="52"/>
      <c r="E41" s="52">
        <v>35484624</v>
      </c>
      <c r="F41" s="52"/>
      <c r="G41" s="52">
        <v>17461846</v>
      </c>
      <c r="H41" s="52"/>
      <c r="I41" s="52">
        <v>22721270</v>
      </c>
      <c r="J41" s="52"/>
      <c r="K41" s="52">
        <f>2746749+276321+247000</f>
        <v>3270070</v>
      </c>
      <c r="L41" s="52"/>
      <c r="M41" s="52">
        <f>3285030+5433771+1713193+99481-1038191</f>
        <v>9493284</v>
      </c>
      <c r="N41" s="52"/>
      <c r="O41" s="52">
        <f t="shared" si="0"/>
        <v>12763354</v>
      </c>
      <c r="P41" s="52"/>
      <c r="Q41" s="56">
        <f t="shared" si="1"/>
        <v>0</v>
      </c>
    </row>
    <row r="42" spans="1:17" ht="12.75" hidden="1">
      <c r="A42" s="26" t="s">
        <v>177</v>
      </c>
      <c r="B42" s="26"/>
      <c r="C42" s="52">
        <v>0</v>
      </c>
      <c r="D42" s="52"/>
      <c r="E42" s="52">
        <v>0</v>
      </c>
      <c r="F42" s="52"/>
      <c r="G42" s="52">
        <v>0</v>
      </c>
      <c r="H42" s="52"/>
      <c r="I42" s="52">
        <v>0</v>
      </c>
      <c r="J42" s="52"/>
      <c r="K42" s="52">
        <v>0</v>
      </c>
      <c r="L42" s="52"/>
      <c r="M42" s="52">
        <v>0</v>
      </c>
      <c r="N42" s="52"/>
      <c r="O42" s="52">
        <f t="shared" si="0"/>
        <v>0</v>
      </c>
      <c r="P42" s="52"/>
      <c r="Q42" s="56">
        <f t="shared" si="1"/>
        <v>0</v>
      </c>
    </row>
    <row r="43" spans="1:17" ht="12.75" hidden="1">
      <c r="A43" s="26" t="s">
        <v>39</v>
      </c>
      <c r="B43" s="26"/>
      <c r="C43" s="52">
        <v>0</v>
      </c>
      <c r="D43" s="52"/>
      <c r="E43" s="52">
        <v>0</v>
      </c>
      <c r="F43" s="52"/>
      <c r="G43" s="52">
        <v>0</v>
      </c>
      <c r="H43" s="52"/>
      <c r="I43" s="52">
        <v>0</v>
      </c>
      <c r="J43" s="52"/>
      <c r="K43" s="52">
        <v>0</v>
      </c>
      <c r="L43" s="52"/>
      <c r="M43" s="52">
        <v>0</v>
      </c>
      <c r="N43" s="52"/>
      <c r="O43" s="52">
        <f t="shared" si="0"/>
        <v>0</v>
      </c>
      <c r="P43" s="52"/>
      <c r="Q43" s="56">
        <f t="shared" si="1"/>
        <v>0</v>
      </c>
    </row>
    <row r="44" spans="1:17" ht="12.75">
      <c r="A44" s="26" t="s">
        <v>40</v>
      </c>
      <c r="B44" s="26"/>
      <c r="C44" s="52">
        <f>12511855+44380+290000</f>
        <v>12846235</v>
      </c>
      <c r="D44" s="52"/>
      <c r="E44" s="52">
        <v>26588728</v>
      </c>
      <c r="F44" s="52"/>
      <c r="G44" s="52">
        <v>10478578</v>
      </c>
      <c r="H44" s="52"/>
      <c r="I44" s="52">
        <v>12703740</v>
      </c>
      <c r="J44" s="52"/>
      <c r="K44" s="52">
        <f>226563+51467+143035+1584974</f>
        <v>2006039</v>
      </c>
      <c r="L44" s="52"/>
      <c r="M44" s="52">
        <f>2585689+6164390+1820564+1308306</f>
        <v>11878949</v>
      </c>
      <c r="N44" s="52"/>
      <c r="O44" s="52">
        <f t="shared" si="0"/>
        <v>13884988</v>
      </c>
      <c r="P44" s="52"/>
      <c r="Q44" s="56">
        <f t="shared" si="1"/>
        <v>0</v>
      </c>
    </row>
    <row r="45" spans="1:17" ht="12.75" hidden="1">
      <c r="A45" s="26" t="s">
        <v>41</v>
      </c>
      <c r="B45" s="26"/>
      <c r="C45" s="52">
        <v>0</v>
      </c>
      <c r="D45" s="52"/>
      <c r="E45" s="52">
        <v>0</v>
      </c>
      <c r="F45" s="52"/>
      <c r="G45" s="52">
        <v>0</v>
      </c>
      <c r="H45" s="52"/>
      <c r="I45" s="52">
        <v>0</v>
      </c>
      <c r="J45" s="52"/>
      <c r="K45" s="52">
        <v>0</v>
      </c>
      <c r="L45" s="52"/>
      <c r="M45" s="52">
        <v>0</v>
      </c>
      <c r="N45" s="52"/>
      <c r="O45" s="52">
        <f t="shared" si="0"/>
        <v>0</v>
      </c>
      <c r="P45" s="52"/>
      <c r="Q45" s="56">
        <f t="shared" si="1"/>
        <v>0</v>
      </c>
    </row>
    <row r="46" spans="1:17" ht="12.75">
      <c r="A46" s="26" t="s">
        <v>42</v>
      </c>
      <c r="B46" s="26"/>
      <c r="C46" s="52">
        <v>0</v>
      </c>
      <c r="D46" s="52"/>
      <c r="E46" s="52">
        <v>16597713</v>
      </c>
      <c r="F46" s="52"/>
      <c r="G46" s="52">
        <v>6388498</v>
      </c>
      <c r="H46" s="52"/>
      <c r="I46" s="52">
        <v>7480999</v>
      </c>
      <c r="J46" s="52"/>
      <c r="K46" s="52">
        <v>272849</v>
      </c>
      <c r="L46" s="52"/>
      <c r="M46" s="52">
        <f>1724076+6522282+107905+489602</f>
        <v>8843865</v>
      </c>
      <c r="N46" s="52"/>
      <c r="O46" s="52">
        <f t="shared" si="0"/>
        <v>9116714</v>
      </c>
      <c r="P46" s="52"/>
      <c r="Q46" s="56">
        <f t="shared" si="1"/>
        <v>0</v>
      </c>
    </row>
    <row r="47" spans="1:17" ht="12.75">
      <c r="A47" s="26" t="s">
        <v>43</v>
      </c>
      <c r="B47" s="26"/>
      <c r="C47" s="52">
        <f>10157225+55309</f>
        <v>10212534</v>
      </c>
      <c r="D47" s="52"/>
      <c r="E47" s="52">
        <v>20789587</v>
      </c>
      <c r="F47" s="52"/>
      <c r="G47" s="52">
        <v>7747532</v>
      </c>
      <c r="H47" s="52"/>
      <c r="I47" s="52">
        <v>9617576</v>
      </c>
      <c r="J47" s="52"/>
      <c r="K47" s="52">
        <f>165508+55001+311385+433213+133282</f>
        <v>1098389</v>
      </c>
      <c r="L47" s="52"/>
      <c r="M47" s="52">
        <f>362149+1211023+8000600+499850</f>
        <v>10073622</v>
      </c>
      <c r="N47" s="52"/>
      <c r="O47" s="52">
        <f t="shared" si="0"/>
        <v>11172011</v>
      </c>
      <c r="P47" s="52"/>
      <c r="Q47" s="56">
        <f t="shared" si="1"/>
        <v>0</v>
      </c>
    </row>
    <row r="48" spans="1:17" ht="12.75">
      <c r="A48" s="26" t="s">
        <v>44</v>
      </c>
      <c r="B48" s="26"/>
      <c r="C48" s="52">
        <v>11288196</v>
      </c>
      <c r="D48" s="52"/>
      <c r="E48" s="52">
        <v>19893903</v>
      </c>
      <c r="F48" s="52"/>
      <c r="G48" s="52">
        <v>3903846</v>
      </c>
      <c r="H48" s="52"/>
      <c r="I48" s="52">
        <v>6055205</v>
      </c>
      <c r="J48" s="52"/>
      <c r="K48" s="52">
        <f>916422+382607+105590+157527</f>
        <v>1562146</v>
      </c>
      <c r="L48" s="52"/>
      <c r="M48" s="52">
        <f>3368621+8311622+596309</f>
        <v>12276552</v>
      </c>
      <c r="N48" s="52"/>
      <c r="O48" s="52">
        <f t="shared" si="0"/>
        <v>13838698</v>
      </c>
      <c r="P48" s="52"/>
      <c r="Q48" s="56">
        <f t="shared" si="1"/>
        <v>0</v>
      </c>
    </row>
    <row r="49" spans="1:17" ht="12.75" hidden="1">
      <c r="A49" s="26" t="s">
        <v>45</v>
      </c>
      <c r="B49" s="26"/>
      <c r="C49" s="52">
        <v>0</v>
      </c>
      <c r="D49" s="52"/>
      <c r="E49" s="52">
        <v>0</v>
      </c>
      <c r="F49" s="52"/>
      <c r="G49" s="52">
        <v>0</v>
      </c>
      <c r="H49" s="52"/>
      <c r="I49" s="52">
        <v>0</v>
      </c>
      <c r="J49" s="52"/>
      <c r="K49" s="52">
        <v>0</v>
      </c>
      <c r="L49" s="52"/>
      <c r="M49" s="52">
        <v>0</v>
      </c>
      <c r="N49" s="52"/>
      <c r="O49" s="52">
        <f t="shared" si="0"/>
        <v>0</v>
      </c>
      <c r="P49" s="52"/>
      <c r="Q49" s="56">
        <f t="shared" si="1"/>
        <v>0</v>
      </c>
    </row>
    <row r="50" spans="1:17" ht="12.75">
      <c r="A50" s="26" t="s">
        <v>46</v>
      </c>
      <c r="B50" s="26"/>
      <c r="C50" s="52">
        <f>5603174+235964+688940+221892</f>
        <v>6749970</v>
      </c>
      <c r="D50" s="52"/>
      <c r="E50" s="52">
        <v>41300759</v>
      </c>
      <c r="F50" s="52"/>
      <c r="G50" s="52">
        <v>18134164</v>
      </c>
      <c r="H50" s="52"/>
      <c r="I50" s="52">
        <v>31396689</v>
      </c>
      <c r="J50" s="52"/>
      <c r="K50" s="52">
        <f>132513+282455</f>
        <v>414968</v>
      </c>
      <c r="L50" s="52"/>
      <c r="M50" s="52">
        <f>41980+2287062+9306996+2017073-4164009</f>
        <v>9489102</v>
      </c>
      <c r="N50" s="52"/>
      <c r="O50" s="52">
        <f t="shared" si="0"/>
        <v>9904070</v>
      </c>
      <c r="P50" s="52"/>
      <c r="Q50" s="56">
        <f t="shared" si="1"/>
        <v>0</v>
      </c>
    </row>
    <row r="51" spans="1:17" ht="12.75">
      <c r="A51" s="26" t="s">
        <v>47</v>
      </c>
      <c r="B51" s="26"/>
      <c r="C51" s="52">
        <f>15150393+73643+11588</f>
        <v>15235624</v>
      </c>
      <c r="D51" s="52"/>
      <c r="E51" s="52">
        <v>29498020</v>
      </c>
      <c r="F51" s="52"/>
      <c r="G51" s="52">
        <v>12441889</v>
      </c>
      <c r="H51" s="52"/>
      <c r="I51" s="52">
        <v>14227795</v>
      </c>
      <c r="J51" s="52"/>
      <c r="K51" s="52">
        <f>1083978+414491+654229+104259+33803+267676</f>
        <v>2558436</v>
      </c>
      <c r="L51" s="52"/>
      <c r="M51" s="52">
        <f>8049545+2554864+2107380</f>
        <v>12711789</v>
      </c>
      <c r="N51" s="52"/>
      <c r="O51" s="52">
        <f t="shared" si="0"/>
        <v>15270225</v>
      </c>
      <c r="P51" s="52"/>
      <c r="Q51" s="56">
        <f t="shared" si="1"/>
        <v>0</v>
      </c>
    </row>
    <row r="52" spans="1:17" ht="12.75">
      <c r="A52" s="26" t="s">
        <v>48</v>
      </c>
      <c r="B52" s="26"/>
      <c r="C52" s="52">
        <f>71597631+21000</f>
        <v>71618631</v>
      </c>
      <c r="D52" s="52"/>
      <c r="E52" s="52">
        <v>163497511</v>
      </c>
      <c r="F52" s="52"/>
      <c r="G52" s="52">
        <v>60091295</v>
      </c>
      <c r="H52" s="52"/>
      <c r="I52" s="52">
        <v>84520165</v>
      </c>
      <c r="J52" s="52"/>
      <c r="K52" s="52">
        <f>3980877+363820+213463+1784645+3937071+51689+4160104</f>
        <v>14491669</v>
      </c>
      <c r="L52" s="52"/>
      <c r="M52" s="52">
        <f>177783+18134190+50443374-4269670</f>
        <v>64485677</v>
      </c>
      <c r="N52" s="52"/>
      <c r="O52" s="52">
        <f t="shared" si="0"/>
        <v>78977346</v>
      </c>
      <c r="P52" s="52"/>
      <c r="Q52" s="56">
        <f t="shared" si="1"/>
        <v>0</v>
      </c>
    </row>
    <row r="53" spans="1:17" ht="12.75" hidden="1">
      <c r="A53" s="26" t="s">
        <v>247</v>
      </c>
      <c r="B53" s="26"/>
      <c r="C53" s="52">
        <v>0</v>
      </c>
      <c r="D53" s="52"/>
      <c r="E53" s="52">
        <v>0</v>
      </c>
      <c r="F53" s="52"/>
      <c r="G53" s="52">
        <v>0</v>
      </c>
      <c r="H53" s="52"/>
      <c r="I53" s="52">
        <v>0</v>
      </c>
      <c r="J53" s="52"/>
      <c r="K53" s="52">
        <v>0</v>
      </c>
      <c r="L53" s="52"/>
      <c r="M53" s="52">
        <v>0</v>
      </c>
      <c r="N53" s="52"/>
      <c r="O53" s="52">
        <f t="shared" si="0"/>
        <v>0</v>
      </c>
      <c r="P53" s="52"/>
      <c r="Q53" s="56">
        <f t="shared" si="1"/>
        <v>0</v>
      </c>
    </row>
    <row r="54" spans="1:17" ht="12.75">
      <c r="A54" s="26" t="s">
        <v>49</v>
      </c>
      <c r="B54" s="26"/>
      <c r="C54" s="52">
        <f>23167349+99431+8987714</f>
        <v>32254494</v>
      </c>
      <c r="D54" s="52"/>
      <c r="E54" s="52">
        <v>63498003</v>
      </c>
      <c r="F54" s="52"/>
      <c r="G54" s="52">
        <v>23713348</v>
      </c>
      <c r="H54" s="52"/>
      <c r="I54" s="52">
        <v>30027121</v>
      </c>
      <c r="J54" s="52"/>
      <c r="K54" s="52">
        <f>1552795+139489+216125+2790589+2738507</f>
        <v>7437505</v>
      </c>
      <c r="L54" s="52"/>
      <c r="M54" s="52">
        <f>9445257+15459501+1128619</f>
        <v>26033377</v>
      </c>
      <c r="N54" s="52"/>
      <c r="O54" s="52">
        <f t="shared" si="0"/>
        <v>33470882</v>
      </c>
      <c r="P54" s="52"/>
      <c r="Q54" s="56">
        <f t="shared" si="1"/>
        <v>0</v>
      </c>
    </row>
    <row r="55" spans="1:17" ht="12.75">
      <c r="A55" s="26" t="s">
        <v>50</v>
      </c>
      <c r="B55" s="26"/>
      <c r="C55" s="52">
        <v>0</v>
      </c>
      <c r="D55" s="52"/>
      <c r="E55" s="52">
        <v>29898229</v>
      </c>
      <c r="F55" s="52"/>
      <c r="G55" s="52">
        <v>9304308</v>
      </c>
      <c r="H55" s="52"/>
      <c r="I55" s="52">
        <v>11682288</v>
      </c>
      <c r="J55" s="52"/>
      <c r="K55" s="52">
        <f>1055802+454645+656825</f>
        <v>2167272</v>
      </c>
      <c r="L55" s="52"/>
      <c r="M55" s="52">
        <f>5409959+8760865+1877845</f>
        <v>16048669</v>
      </c>
      <c r="N55" s="52"/>
      <c r="O55" s="52">
        <f t="shared" si="0"/>
        <v>18215941</v>
      </c>
      <c r="P55" s="52"/>
      <c r="Q55" s="56">
        <f t="shared" si="1"/>
        <v>0</v>
      </c>
    </row>
    <row r="56" spans="1:17" ht="12.75">
      <c r="A56" s="26" t="s">
        <v>51</v>
      </c>
      <c r="B56" s="26"/>
      <c r="C56" s="52">
        <f>110797443+398897</f>
        <v>111196340</v>
      </c>
      <c r="D56" s="52"/>
      <c r="E56" s="52">
        <v>209746903</v>
      </c>
      <c r="F56" s="52"/>
      <c r="G56" s="52">
        <v>68122550</v>
      </c>
      <c r="H56" s="52"/>
      <c r="I56" s="52">
        <v>96759407</v>
      </c>
      <c r="J56" s="52"/>
      <c r="K56" s="52">
        <f>12227720+986357+12114766+220220+606957+2737141</f>
        <v>28893161</v>
      </c>
      <c r="L56" s="52"/>
      <c r="M56" s="52">
        <f>26857666+57437796-201127</f>
        <v>84094335</v>
      </c>
      <c r="N56" s="52"/>
      <c r="O56" s="52">
        <f t="shared" si="0"/>
        <v>112987496</v>
      </c>
      <c r="P56" s="52"/>
      <c r="Q56" s="56">
        <f t="shared" si="1"/>
        <v>0</v>
      </c>
    </row>
    <row r="57" spans="1:17" ht="12.75">
      <c r="A57" s="26" t="s">
        <v>195</v>
      </c>
      <c r="B57" s="26"/>
      <c r="C57" s="52">
        <f>15601+149603</f>
        <v>165204</v>
      </c>
      <c r="D57" s="52"/>
      <c r="E57" s="52">
        <v>331491</v>
      </c>
      <c r="F57" s="52"/>
      <c r="G57" s="52">
        <v>140937</v>
      </c>
      <c r="H57" s="52"/>
      <c r="I57" s="52">
        <v>170326</v>
      </c>
      <c r="J57" s="52"/>
      <c r="K57" s="52">
        <f>26595+466+77+16542</f>
        <v>43680</v>
      </c>
      <c r="L57" s="52"/>
      <c r="M57" s="52">
        <f>35678+79750+2057</f>
        <v>117485</v>
      </c>
      <c r="N57" s="52"/>
      <c r="O57" s="52">
        <f t="shared" si="0"/>
        <v>161165</v>
      </c>
      <c r="P57" s="52"/>
      <c r="Q57" s="56">
        <f t="shared" si="1"/>
        <v>0</v>
      </c>
    </row>
    <row r="58" spans="1:17" ht="12.75" hidden="1">
      <c r="A58" s="26" t="s">
        <v>52</v>
      </c>
      <c r="B58" s="26"/>
      <c r="C58" s="52">
        <v>0</v>
      </c>
      <c r="D58" s="52"/>
      <c r="E58" s="52">
        <v>0</v>
      </c>
      <c r="F58" s="52"/>
      <c r="G58" s="52">
        <v>0</v>
      </c>
      <c r="H58" s="52"/>
      <c r="I58" s="52">
        <v>0</v>
      </c>
      <c r="J58" s="52"/>
      <c r="K58" s="52">
        <v>0</v>
      </c>
      <c r="L58" s="52"/>
      <c r="M58" s="52">
        <v>0</v>
      </c>
      <c r="N58" s="52"/>
      <c r="O58" s="52">
        <f t="shared" si="0"/>
        <v>0</v>
      </c>
      <c r="P58" s="52"/>
      <c r="Q58" s="56">
        <f t="shared" si="1"/>
        <v>0</v>
      </c>
    </row>
    <row r="59" spans="1:17" ht="12.75">
      <c r="A59" s="26" t="s">
        <v>53</v>
      </c>
      <c r="B59" s="26"/>
      <c r="C59" s="52">
        <f>56482698+383234+14717500</f>
        <v>71583432</v>
      </c>
      <c r="D59" s="52"/>
      <c r="E59" s="52">
        <v>140262337</v>
      </c>
      <c r="F59" s="52"/>
      <c r="G59" s="52">
        <v>53788101</v>
      </c>
      <c r="H59" s="52"/>
      <c r="I59" s="52">
        <v>76611766</v>
      </c>
      <c r="J59" s="52"/>
      <c r="K59" s="52">
        <f>12745233+442604</f>
        <v>13187837</v>
      </c>
      <c r="L59" s="52"/>
      <c r="M59" s="52">
        <f>8076646+32483948+2295919+7606221</f>
        <v>50462734</v>
      </c>
      <c r="N59" s="52"/>
      <c r="O59" s="52">
        <f t="shared" si="0"/>
        <v>63650571</v>
      </c>
      <c r="P59" s="52"/>
      <c r="Q59" s="56">
        <f t="shared" si="1"/>
        <v>0</v>
      </c>
    </row>
    <row r="60" spans="1:17" ht="12.75">
      <c r="A60" s="26" t="s">
        <v>54</v>
      </c>
      <c r="B60" s="26"/>
      <c r="C60" s="52">
        <f>20245175+23796</f>
        <v>20268971</v>
      </c>
      <c r="D60" s="52"/>
      <c r="E60" s="52">
        <v>34989407</v>
      </c>
      <c r="F60" s="52"/>
      <c r="G60" s="52">
        <v>12892648</v>
      </c>
      <c r="H60" s="52"/>
      <c r="I60" s="52">
        <v>15720409</v>
      </c>
      <c r="J60" s="52"/>
      <c r="K60" s="52">
        <f>2030770+107019</f>
        <v>2137789</v>
      </c>
      <c r="L60" s="52"/>
      <c r="M60" s="52">
        <f>4073678+11075880+385989+1595662</f>
        <v>17131209</v>
      </c>
      <c r="N60" s="52"/>
      <c r="O60" s="52">
        <f t="shared" si="0"/>
        <v>19268998</v>
      </c>
      <c r="P60" s="52"/>
      <c r="Q60" s="56">
        <f t="shared" si="1"/>
        <v>0</v>
      </c>
    </row>
    <row r="61" spans="1:17" ht="12.75">
      <c r="A61" s="26" t="s">
        <v>55</v>
      </c>
      <c r="B61" s="26"/>
      <c r="C61" s="52">
        <f>38042026+2153+676+5600</f>
        <v>38050455</v>
      </c>
      <c r="D61" s="52"/>
      <c r="E61" s="52">
        <v>76673128</v>
      </c>
      <c r="F61" s="52"/>
      <c r="G61" s="52">
        <v>31474905</v>
      </c>
      <c r="H61" s="52"/>
      <c r="I61" s="52">
        <v>38546895</v>
      </c>
      <c r="J61" s="52"/>
      <c r="K61" s="52">
        <f>223956+86788+18532</f>
        <v>329276</v>
      </c>
      <c r="L61" s="52"/>
      <c r="M61" s="52">
        <f>11555553+23103176+2121108+1017120</f>
        <v>37796957</v>
      </c>
      <c r="N61" s="52"/>
      <c r="O61" s="52">
        <f t="shared" si="0"/>
        <v>38126233</v>
      </c>
      <c r="P61" s="52"/>
      <c r="Q61" s="56">
        <f t="shared" si="1"/>
        <v>0</v>
      </c>
    </row>
    <row r="62" spans="1:17" ht="12.75" hidden="1">
      <c r="A62" s="26" t="s">
        <v>180</v>
      </c>
      <c r="B62" s="26"/>
      <c r="C62" s="52">
        <v>0</v>
      </c>
      <c r="D62" s="52"/>
      <c r="E62" s="52">
        <v>0</v>
      </c>
      <c r="F62" s="52"/>
      <c r="G62" s="52">
        <v>0</v>
      </c>
      <c r="H62" s="52"/>
      <c r="I62" s="52">
        <v>0</v>
      </c>
      <c r="J62" s="52"/>
      <c r="K62" s="52">
        <v>0</v>
      </c>
      <c r="L62" s="52"/>
      <c r="M62" s="52">
        <v>0</v>
      </c>
      <c r="N62" s="52"/>
      <c r="O62" s="52">
        <f t="shared" si="0"/>
        <v>0</v>
      </c>
      <c r="P62" s="52"/>
      <c r="Q62" s="56">
        <f t="shared" si="1"/>
        <v>0</v>
      </c>
    </row>
    <row r="63" spans="1:17" ht="12.75" hidden="1">
      <c r="A63" s="26" t="s">
        <v>56</v>
      </c>
      <c r="B63" s="26"/>
      <c r="C63" s="52">
        <v>0</v>
      </c>
      <c r="D63" s="52"/>
      <c r="E63" s="52">
        <v>0</v>
      </c>
      <c r="F63" s="52"/>
      <c r="G63" s="52">
        <v>0</v>
      </c>
      <c r="H63" s="52"/>
      <c r="I63" s="52">
        <v>0</v>
      </c>
      <c r="J63" s="52"/>
      <c r="K63" s="52">
        <v>0</v>
      </c>
      <c r="L63" s="52"/>
      <c r="M63" s="52">
        <v>0</v>
      </c>
      <c r="N63" s="52"/>
      <c r="O63" s="52">
        <f t="shared" si="0"/>
        <v>0</v>
      </c>
      <c r="P63" s="52"/>
      <c r="Q63" s="56">
        <f t="shared" si="1"/>
        <v>0</v>
      </c>
    </row>
    <row r="64" spans="1:17" ht="12.75">
      <c r="A64" s="26" t="s">
        <v>57</v>
      </c>
      <c r="B64" s="26"/>
      <c r="C64" s="52">
        <f>13563915+24985249</f>
        <v>38549164</v>
      </c>
      <c r="D64" s="52"/>
      <c r="E64" s="52">
        <v>67605380</v>
      </c>
      <c r="F64" s="52"/>
      <c r="G64" s="52">
        <v>23314693</v>
      </c>
      <c r="H64" s="52"/>
      <c r="I64" s="52">
        <v>25927965</v>
      </c>
      <c r="J64" s="52"/>
      <c r="K64" s="52">
        <f>2138402+169774+164996+80883+448237</f>
        <v>3002292</v>
      </c>
      <c r="L64" s="52"/>
      <c r="M64" s="52">
        <f>17039733+17257758+4377632</f>
        <v>38675123</v>
      </c>
      <c r="N64" s="52"/>
      <c r="O64" s="52">
        <f t="shared" si="0"/>
        <v>41677415</v>
      </c>
      <c r="P64" s="52"/>
      <c r="Q64" s="56">
        <f t="shared" si="1"/>
        <v>0</v>
      </c>
    </row>
    <row r="65" spans="1:17" ht="12.75">
      <c r="A65" s="26" t="s">
        <v>58</v>
      </c>
      <c r="B65" s="26"/>
      <c r="C65" s="52">
        <v>4059238</v>
      </c>
      <c r="D65" s="52"/>
      <c r="E65" s="52">
        <v>8347576</v>
      </c>
      <c r="F65" s="52"/>
      <c r="G65" s="52">
        <v>2578395</v>
      </c>
      <c r="H65" s="52"/>
      <c r="I65" s="52">
        <v>3554944</v>
      </c>
      <c r="J65" s="52"/>
      <c r="K65" s="52">
        <f>19588+34000+346762</f>
        <v>400350</v>
      </c>
      <c r="L65" s="52"/>
      <c r="M65" s="52">
        <f>209910+4067822+3+114547</f>
        <v>4392282</v>
      </c>
      <c r="N65" s="52"/>
      <c r="O65" s="52">
        <f t="shared" si="0"/>
        <v>4792632</v>
      </c>
      <c r="P65" s="52"/>
      <c r="Q65" s="56">
        <f t="shared" si="1"/>
        <v>0</v>
      </c>
    </row>
    <row r="66" spans="1:17" ht="12.75">
      <c r="A66" s="26" t="s">
        <v>59</v>
      </c>
      <c r="B66" s="26"/>
      <c r="C66" s="52">
        <v>238612672</v>
      </c>
      <c r="D66" s="52"/>
      <c r="E66" s="52">
        <v>443111476</v>
      </c>
      <c r="F66" s="52"/>
      <c r="G66" s="52">
        <v>168585230</v>
      </c>
      <c r="H66" s="52"/>
      <c r="I66" s="52">
        <v>205572364</v>
      </c>
      <c r="J66" s="52"/>
      <c r="K66" s="52">
        <f>65295226+2829765</f>
        <v>68124991</v>
      </c>
      <c r="L66" s="52"/>
      <c r="M66" s="52">
        <f>58192815+72888119+38333187</f>
        <v>169414121</v>
      </c>
      <c r="N66" s="52"/>
      <c r="O66" s="52">
        <f t="shared" si="0"/>
        <v>237539112</v>
      </c>
      <c r="P66" s="52"/>
      <c r="Q66" s="56">
        <f t="shared" si="1"/>
        <v>0</v>
      </c>
    </row>
    <row r="67" spans="1:17" ht="12.75" hidden="1">
      <c r="A67" s="26" t="s">
        <v>60</v>
      </c>
      <c r="B67" s="26"/>
      <c r="C67" s="52">
        <v>0</v>
      </c>
      <c r="D67" s="52"/>
      <c r="E67" s="52">
        <v>0</v>
      </c>
      <c r="F67" s="52"/>
      <c r="G67" s="52">
        <v>0</v>
      </c>
      <c r="H67" s="52"/>
      <c r="I67" s="52">
        <v>0</v>
      </c>
      <c r="J67" s="52"/>
      <c r="K67" s="52">
        <v>0</v>
      </c>
      <c r="L67" s="52"/>
      <c r="M67" s="52">
        <v>0</v>
      </c>
      <c r="N67" s="52"/>
      <c r="O67" s="52">
        <f t="shared" si="0"/>
        <v>0</v>
      </c>
      <c r="P67" s="52"/>
      <c r="Q67" s="56">
        <f t="shared" si="1"/>
        <v>0</v>
      </c>
    </row>
    <row r="68" spans="1:17" ht="12.75">
      <c r="A68" s="26" t="s">
        <v>98</v>
      </c>
      <c r="B68" s="26"/>
      <c r="C68" s="52">
        <v>6502933</v>
      </c>
      <c r="D68" s="52"/>
      <c r="E68" s="52">
        <v>15470042</v>
      </c>
      <c r="F68" s="52"/>
      <c r="G68" s="52">
        <v>5122194</v>
      </c>
      <c r="H68" s="52"/>
      <c r="I68" s="52">
        <v>6949473</v>
      </c>
      <c r="J68" s="52"/>
      <c r="K68" s="52">
        <f>698926+115325+387278+139090+901457+29115</f>
        <v>2271191</v>
      </c>
      <c r="L68" s="52"/>
      <c r="M68" s="52">
        <f>1227350+4174847+847181</f>
        <v>6249378</v>
      </c>
      <c r="N68" s="52"/>
      <c r="O68" s="52">
        <f t="shared" si="0"/>
        <v>8520569</v>
      </c>
      <c r="P68" s="52"/>
      <c r="Q68" s="56">
        <f t="shared" si="1"/>
        <v>0</v>
      </c>
    </row>
    <row r="69" spans="1:17" ht="12.75">
      <c r="A69" s="26" t="s">
        <v>62</v>
      </c>
      <c r="B69" s="26"/>
      <c r="C69" s="52">
        <f>34268390+71627+1018251+925000</f>
        <v>36283268</v>
      </c>
      <c r="D69" s="52"/>
      <c r="E69" s="52">
        <v>63244643</v>
      </c>
      <c r="F69" s="52"/>
      <c r="G69" s="52">
        <v>23327081</v>
      </c>
      <c r="H69" s="52"/>
      <c r="I69" s="52">
        <v>28656676</v>
      </c>
      <c r="J69" s="52"/>
      <c r="K69" s="52">
        <v>4282247</v>
      </c>
      <c r="L69" s="52"/>
      <c r="M69" s="52">
        <f>8154432+19093502+501079+2556707</f>
        <v>30305720</v>
      </c>
      <c r="N69" s="52"/>
      <c r="O69" s="52">
        <f t="shared" si="0"/>
        <v>34587967</v>
      </c>
      <c r="P69" s="52"/>
      <c r="Q69" s="56">
        <f t="shared" si="1"/>
        <v>0</v>
      </c>
    </row>
    <row r="70" spans="1:17" ht="12.75">
      <c r="A70" s="26" t="s">
        <v>63</v>
      </c>
      <c r="B70" s="26"/>
      <c r="C70" s="52">
        <f>3498156+166269</f>
        <v>3664425</v>
      </c>
      <c r="D70" s="52"/>
      <c r="E70" s="52">
        <v>8046689</v>
      </c>
      <c r="F70" s="52"/>
      <c r="G70" s="52">
        <v>3455095</v>
      </c>
      <c r="H70" s="52"/>
      <c r="I70" s="52">
        <v>4037052</v>
      </c>
      <c r="J70" s="52"/>
      <c r="K70" s="52">
        <f>177715+16347</f>
        <v>194062</v>
      </c>
      <c r="L70" s="52"/>
      <c r="M70" s="52">
        <f>2951310+569780+110846+183639</f>
        <v>3815575</v>
      </c>
      <c r="N70" s="52"/>
      <c r="O70" s="52">
        <f t="shared" si="0"/>
        <v>4009637</v>
      </c>
      <c r="P70" s="52"/>
      <c r="Q70" s="56">
        <f t="shared" si="1"/>
        <v>0</v>
      </c>
    </row>
    <row r="71" spans="1:17" ht="12.75">
      <c r="A71" s="26" t="s">
        <v>64</v>
      </c>
      <c r="B71" s="26"/>
      <c r="C71" s="52">
        <f>9723370+54520</f>
        <v>9777890</v>
      </c>
      <c r="D71" s="52"/>
      <c r="E71" s="52">
        <v>48052680</v>
      </c>
      <c r="F71" s="52"/>
      <c r="G71" s="52">
        <v>33547276</v>
      </c>
      <c r="H71" s="52"/>
      <c r="I71" s="52">
        <v>36073298</v>
      </c>
      <c r="J71" s="52"/>
      <c r="K71" s="52">
        <f>63325+942102+1422879</f>
        <v>2428306</v>
      </c>
      <c r="L71" s="52"/>
      <c r="M71" s="52">
        <f>2643761+5792243+893834+221238</f>
        <v>9551076</v>
      </c>
      <c r="N71" s="52"/>
      <c r="O71" s="52">
        <f t="shared" si="0"/>
        <v>11979382</v>
      </c>
      <c r="P71" s="52"/>
      <c r="Q71" s="56">
        <f t="shared" si="1"/>
        <v>0</v>
      </c>
    </row>
    <row r="72" spans="1:17" ht="12.75" hidden="1">
      <c r="A72" s="26" t="s">
        <v>137</v>
      </c>
      <c r="B72" s="26"/>
      <c r="C72" s="52">
        <v>0</v>
      </c>
      <c r="D72" s="52"/>
      <c r="E72" s="52">
        <v>0</v>
      </c>
      <c r="F72" s="52"/>
      <c r="G72" s="52">
        <v>0</v>
      </c>
      <c r="H72" s="52"/>
      <c r="I72" s="52">
        <v>0</v>
      </c>
      <c r="J72" s="52"/>
      <c r="K72" s="52">
        <v>0</v>
      </c>
      <c r="L72" s="52"/>
      <c r="M72" s="52">
        <v>0</v>
      </c>
      <c r="N72" s="52"/>
      <c r="O72" s="52">
        <f t="shared" si="0"/>
        <v>0</v>
      </c>
      <c r="P72" s="52"/>
      <c r="Q72" s="56">
        <f t="shared" si="1"/>
        <v>0</v>
      </c>
    </row>
    <row r="73" spans="1:17" ht="12.75" hidden="1">
      <c r="A73" s="26" t="s">
        <v>65</v>
      </c>
      <c r="B73" s="26"/>
      <c r="C73" s="52">
        <v>0</v>
      </c>
      <c r="D73" s="52"/>
      <c r="E73" s="52">
        <v>0</v>
      </c>
      <c r="F73" s="52"/>
      <c r="G73" s="52">
        <v>0</v>
      </c>
      <c r="H73" s="52"/>
      <c r="I73" s="52">
        <v>0</v>
      </c>
      <c r="J73" s="52"/>
      <c r="K73" s="52">
        <v>0</v>
      </c>
      <c r="L73" s="52"/>
      <c r="M73" s="52">
        <v>0</v>
      </c>
      <c r="N73" s="52"/>
      <c r="O73" s="52">
        <f t="shared" si="0"/>
        <v>0</v>
      </c>
      <c r="P73" s="52"/>
      <c r="Q73" s="56">
        <f t="shared" si="1"/>
        <v>0</v>
      </c>
    </row>
    <row r="74" spans="1:17" ht="12.75">
      <c r="A74" s="26" t="s">
        <v>66</v>
      </c>
      <c r="B74" s="26"/>
      <c r="C74" s="52">
        <f>8358966</f>
        <v>8358966</v>
      </c>
      <c r="D74" s="52"/>
      <c r="E74" s="52">
        <v>17292392</v>
      </c>
      <c r="F74" s="52"/>
      <c r="G74" s="52">
        <v>6418205</v>
      </c>
      <c r="H74" s="52"/>
      <c r="I74" s="52">
        <v>8582389</v>
      </c>
      <c r="J74" s="52"/>
      <c r="K74" s="52">
        <f>321897+119808</f>
        <v>441705</v>
      </c>
      <c r="L74" s="52"/>
      <c r="M74" s="52">
        <f>3298146+4393526+576626</f>
        <v>8268298</v>
      </c>
      <c r="N74" s="52"/>
      <c r="O74" s="52">
        <f t="shared" si="0"/>
        <v>8710003</v>
      </c>
      <c r="P74" s="52"/>
      <c r="Q74" s="56">
        <f t="shared" si="1"/>
        <v>0</v>
      </c>
    </row>
    <row r="75" spans="1:17" ht="12.75">
      <c r="A75" s="26" t="s">
        <v>67</v>
      </c>
      <c r="B75" s="26"/>
      <c r="C75" s="52">
        <f>8099615+24261</f>
        <v>8123876</v>
      </c>
      <c r="D75" s="52"/>
      <c r="E75" s="52">
        <v>17326801</v>
      </c>
      <c r="F75" s="52"/>
      <c r="G75" s="52">
        <v>4668429</v>
      </c>
      <c r="H75" s="52"/>
      <c r="I75" s="52">
        <v>9721994</v>
      </c>
      <c r="J75" s="52"/>
      <c r="K75" s="52">
        <f>483441+1865880</f>
        <v>2349321</v>
      </c>
      <c r="L75" s="52"/>
      <c r="M75" s="52">
        <f>2682152+5460231-2886897</f>
        <v>5255486</v>
      </c>
      <c r="N75" s="52"/>
      <c r="O75" s="52">
        <f aca="true" t="shared" si="2" ref="O75:O97">+M75+K75</f>
        <v>7604807</v>
      </c>
      <c r="P75" s="52"/>
      <c r="Q75" s="56">
        <f t="shared" si="1"/>
        <v>0</v>
      </c>
    </row>
    <row r="76" spans="1:17" ht="12.75">
      <c r="A76" s="26" t="s">
        <v>68</v>
      </c>
      <c r="B76" s="26"/>
      <c r="C76" s="52">
        <f>36661899+639342+169423</f>
        <v>37470664</v>
      </c>
      <c r="D76" s="52"/>
      <c r="E76" s="52">
        <v>85248614</v>
      </c>
      <c r="F76" s="52"/>
      <c r="G76" s="52">
        <v>34049219</v>
      </c>
      <c r="H76" s="52"/>
      <c r="I76" s="52">
        <v>45223198</v>
      </c>
      <c r="J76" s="52"/>
      <c r="K76" s="52">
        <f>3916736+419000+4338735+383381</f>
        <v>9057852</v>
      </c>
      <c r="L76" s="52"/>
      <c r="M76" s="52">
        <f>11905874+20704656+442574-2085540</f>
        <v>30967564</v>
      </c>
      <c r="N76" s="52"/>
      <c r="O76" s="52">
        <f t="shared" si="2"/>
        <v>40025416</v>
      </c>
      <c r="P76" s="52"/>
      <c r="Q76" s="56">
        <f aca="true" t="shared" si="3" ref="Q76:Q98">+E76-I76-O76</f>
        <v>0</v>
      </c>
    </row>
    <row r="77" spans="1:17" ht="12.75">
      <c r="A77" s="26" t="s">
        <v>69</v>
      </c>
      <c r="B77" s="26"/>
      <c r="C77" s="52">
        <f>9447576+144184</f>
        <v>9591760</v>
      </c>
      <c r="D77" s="52"/>
      <c r="E77" s="52">
        <v>18832632</v>
      </c>
      <c r="F77" s="52"/>
      <c r="G77" s="52">
        <v>6741001</v>
      </c>
      <c r="H77" s="52"/>
      <c r="I77" s="52">
        <v>10131821</v>
      </c>
      <c r="J77" s="52"/>
      <c r="K77" s="52">
        <v>1169751</v>
      </c>
      <c r="L77" s="52"/>
      <c r="M77" s="52">
        <f>2679485+2523736+740106+1587733</f>
        <v>7531060</v>
      </c>
      <c r="N77" s="52"/>
      <c r="O77" s="52">
        <f t="shared" si="2"/>
        <v>8700811</v>
      </c>
      <c r="P77" s="52"/>
      <c r="Q77" s="56">
        <f t="shared" si="3"/>
        <v>0</v>
      </c>
    </row>
    <row r="78" spans="1:17" ht="12.75" hidden="1">
      <c r="A78" s="26" t="s">
        <v>185</v>
      </c>
      <c r="B78" s="26"/>
      <c r="C78" s="52">
        <v>0</v>
      </c>
      <c r="D78" s="52"/>
      <c r="E78" s="52">
        <v>0</v>
      </c>
      <c r="F78" s="52"/>
      <c r="G78" s="52">
        <v>0</v>
      </c>
      <c r="H78" s="52"/>
      <c r="I78" s="52">
        <v>0</v>
      </c>
      <c r="J78" s="52"/>
      <c r="K78" s="52">
        <v>0</v>
      </c>
      <c r="L78" s="52"/>
      <c r="M78" s="52">
        <v>0</v>
      </c>
      <c r="N78" s="52"/>
      <c r="O78" s="52">
        <f t="shared" si="2"/>
        <v>0</v>
      </c>
      <c r="P78" s="52"/>
      <c r="Q78" s="56">
        <f t="shared" si="3"/>
        <v>0</v>
      </c>
    </row>
    <row r="79" spans="1:17" ht="12.75">
      <c r="A79" s="26" t="s">
        <v>190</v>
      </c>
      <c r="B79" s="26"/>
      <c r="C79" s="52">
        <f>42823060+40626</f>
        <v>42863686</v>
      </c>
      <c r="D79" s="52"/>
      <c r="E79" s="52">
        <v>90494255</v>
      </c>
      <c r="F79" s="52"/>
      <c r="G79" s="52">
        <v>42086117</v>
      </c>
      <c r="H79" s="52"/>
      <c r="I79" s="52">
        <v>60003925</v>
      </c>
      <c r="J79" s="52"/>
      <c r="K79" s="52">
        <f>1564087+339057+313636+100314</f>
        <v>2317094</v>
      </c>
      <c r="L79" s="52"/>
      <c r="M79" s="52">
        <f>1855030+30313040+139103-4133937</f>
        <v>28173236</v>
      </c>
      <c r="N79" s="52"/>
      <c r="O79" s="52">
        <f t="shared" si="2"/>
        <v>30490330</v>
      </c>
      <c r="P79" s="52"/>
      <c r="Q79" s="56">
        <f t="shared" si="3"/>
        <v>0</v>
      </c>
    </row>
    <row r="80" spans="1:17" ht="12.75">
      <c r="A80" s="26" t="s">
        <v>70</v>
      </c>
      <c r="B80" s="26"/>
      <c r="C80" s="52">
        <f>6589818+319209</f>
        <v>6909027</v>
      </c>
      <c r="D80" s="52"/>
      <c r="E80" s="52">
        <v>22531423</v>
      </c>
      <c r="F80" s="52"/>
      <c r="G80" s="52">
        <v>10073837</v>
      </c>
      <c r="H80" s="52"/>
      <c r="I80" s="52">
        <v>13001009</v>
      </c>
      <c r="J80" s="52"/>
      <c r="K80" s="52">
        <f>785879+7797</f>
        <v>793676</v>
      </c>
      <c r="L80" s="52"/>
      <c r="M80" s="52">
        <f>4329872+3775938+619818+11110</f>
        <v>8736738</v>
      </c>
      <c r="N80" s="52"/>
      <c r="O80" s="52">
        <f t="shared" si="2"/>
        <v>9530414</v>
      </c>
      <c r="P80" s="52"/>
      <c r="Q80" s="56">
        <f t="shared" si="3"/>
        <v>0</v>
      </c>
    </row>
    <row r="81" spans="1:17" ht="12.75">
      <c r="A81" s="26" t="s">
        <v>99</v>
      </c>
      <c r="B81" s="26"/>
      <c r="C81" s="52">
        <v>16521894</v>
      </c>
      <c r="D81" s="52"/>
      <c r="E81" s="52">
        <v>30951808</v>
      </c>
      <c r="F81" s="52"/>
      <c r="G81" s="52">
        <v>11224181</v>
      </c>
      <c r="H81" s="52"/>
      <c r="I81" s="52">
        <v>13332223</v>
      </c>
      <c r="J81" s="52"/>
      <c r="K81" s="52">
        <f>1016364+79445+472886+95196+98160</f>
        <v>1762051</v>
      </c>
      <c r="L81" s="52"/>
      <c r="M81" s="52">
        <f>4133899+10529471+66442+1127722</f>
        <v>15857534</v>
      </c>
      <c r="N81" s="52"/>
      <c r="O81" s="52">
        <f t="shared" si="2"/>
        <v>17619585</v>
      </c>
      <c r="P81" s="52"/>
      <c r="Q81" s="56">
        <f t="shared" si="3"/>
        <v>0</v>
      </c>
    </row>
    <row r="82" spans="1:17" ht="12.75">
      <c r="A82" s="26" t="s">
        <v>71</v>
      </c>
      <c r="B82" s="26"/>
      <c r="C82" s="52">
        <f>10611768+54804</f>
        <v>10666572</v>
      </c>
      <c r="D82" s="52"/>
      <c r="E82" s="52">
        <v>23740479</v>
      </c>
      <c r="F82" s="52"/>
      <c r="G82" s="52">
        <v>7931342</v>
      </c>
      <c r="H82" s="52"/>
      <c r="I82" s="52">
        <v>10855911</v>
      </c>
      <c r="J82" s="52"/>
      <c r="K82" s="52">
        <f>712218+135077+957683</f>
        <v>1804978</v>
      </c>
      <c r="L82" s="52"/>
      <c r="M82" s="52">
        <f>2139106+8486850+419576+34058</f>
        <v>11079590</v>
      </c>
      <c r="N82" s="52"/>
      <c r="O82" s="52">
        <f t="shared" si="2"/>
        <v>12884568</v>
      </c>
      <c r="P82" s="52"/>
      <c r="Q82" s="56">
        <f t="shared" si="3"/>
        <v>0</v>
      </c>
    </row>
    <row r="83" spans="1:17" ht="12.75">
      <c r="A83" s="26" t="s">
        <v>72</v>
      </c>
      <c r="B83" s="26"/>
      <c r="C83" s="52">
        <v>13165644</v>
      </c>
      <c r="D83" s="52"/>
      <c r="E83" s="52">
        <v>27699475</v>
      </c>
      <c r="F83" s="52"/>
      <c r="G83" s="52">
        <v>11364587</v>
      </c>
      <c r="H83" s="52"/>
      <c r="I83" s="52">
        <v>14514985</v>
      </c>
      <c r="J83" s="52"/>
      <c r="K83" s="52">
        <f>1999333+67000+209277</f>
        <v>2275610</v>
      </c>
      <c r="L83" s="52"/>
      <c r="M83" s="52">
        <f>2190345+9207641-299141-189965</f>
        <v>10908880</v>
      </c>
      <c r="N83" s="52"/>
      <c r="O83" s="52">
        <f t="shared" si="2"/>
        <v>13184490</v>
      </c>
      <c r="P83" s="52"/>
      <c r="Q83" s="56">
        <f t="shared" si="3"/>
        <v>0</v>
      </c>
    </row>
    <row r="84" spans="1:17" ht="12.75">
      <c r="A84" s="26" t="s">
        <v>73</v>
      </c>
      <c r="B84" s="26"/>
      <c r="C84" s="52">
        <f>11199086+7272</f>
        <v>11206358</v>
      </c>
      <c r="D84" s="52"/>
      <c r="E84" s="52">
        <v>27456439</v>
      </c>
      <c r="F84" s="52"/>
      <c r="G84" s="52">
        <v>11947110</v>
      </c>
      <c r="H84" s="52"/>
      <c r="I84" s="52">
        <v>14278415</v>
      </c>
      <c r="J84" s="52"/>
      <c r="K84" s="52">
        <f>1490421+137466+22500+988886+14345</f>
        <v>2653618</v>
      </c>
      <c r="L84" s="52"/>
      <c r="M84" s="52">
        <f>2187896+6760883+14865+1560762</f>
        <v>10524406</v>
      </c>
      <c r="N84" s="52"/>
      <c r="O84" s="52">
        <f t="shared" si="2"/>
        <v>13178024</v>
      </c>
      <c r="P84" s="52"/>
      <c r="Q84" s="56">
        <f t="shared" si="3"/>
        <v>0</v>
      </c>
    </row>
    <row r="85" spans="1:17" ht="12.75">
      <c r="A85" s="26" t="s">
        <v>74</v>
      </c>
      <c r="B85" s="26"/>
      <c r="C85" s="52">
        <f>62420413+1046313+299410</f>
        <v>63766136</v>
      </c>
      <c r="D85" s="52"/>
      <c r="E85" s="52">
        <v>173285891</v>
      </c>
      <c r="F85" s="52"/>
      <c r="G85" s="52">
        <v>90102327</v>
      </c>
      <c r="H85" s="52"/>
      <c r="I85" s="52">
        <v>103814938</v>
      </c>
      <c r="J85" s="52"/>
      <c r="K85" s="52">
        <f>11583039+320942+1674733+757713</f>
        <v>14336427</v>
      </c>
      <c r="L85" s="52"/>
      <c r="M85" s="52">
        <f>9144643+35284835+10705048</f>
        <v>55134526</v>
      </c>
      <c r="N85" s="52"/>
      <c r="O85" s="52">
        <f t="shared" si="2"/>
        <v>69470953</v>
      </c>
      <c r="P85" s="52"/>
      <c r="Q85" s="56">
        <f t="shared" si="3"/>
        <v>0</v>
      </c>
    </row>
    <row r="86" spans="1:17" ht="12.75">
      <c r="A86" s="26" t="s">
        <v>75</v>
      </c>
      <c r="B86" s="26"/>
      <c r="C86" s="52">
        <f>201697801+5378111</f>
        <v>207075912</v>
      </c>
      <c r="D86" s="52"/>
      <c r="E86" s="52">
        <v>400250810</v>
      </c>
      <c r="F86" s="52"/>
      <c r="G86" s="52">
        <v>162978877</v>
      </c>
      <c r="H86" s="52"/>
      <c r="I86" s="52">
        <v>196814579</v>
      </c>
      <c r="J86" s="52"/>
      <c r="K86" s="52">
        <f>48213927+58520+1353225+5506796</f>
        <v>55132468</v>
      </c>
      <c r="L86" s="52"/>
      <c r="M86" s="52">
        <f>65718225+61859025+2772360+17954153</f>
        <v>148303763</v>
      </c>
      <c r="N86" s="52"/>
      <c r="O86" s="52">
        <f t="shared" si="2"/>
        <v>203436231</v>
      </c>
      <c r="P86" s="52"/>
      <c r="Q86" s="56">
        <f t="shared" si="3"/>
        <v>0</v>
      </c>
    </row>
    <row r="87" spans="1:17" ht="12.75">
      <c r="A87" s="26" t="s">
        <v>76</v>
      </c>
      <c r="B87" s="26"/>
      <c r="C87" s="52">
        <f>46288637+783854+48271</f>
        <v>47120762</v>
      </c>
      <c r="D87" s="52"/>
      <c r="E87" s="52">
        <v>101026274</v>
      </c>
      <c r="F87" s="52"/>
      <c r="G87" s="52">
        <v>46259754</v>
      </c>
      <c r="H87" s="52"/>
      <c r="I87" s="52">
        <v>52843622</v>
      </c>
      <c r="J87" s="52"/>
      <c r="K87" s="52">
        <f>6310056+1376238+681610</f>
        <v>8367904</v>
      </c>
      <c r="L87" s="52"/>
      <c r="M87" s="52">
        <f>4602737+25719929+1539610+7952472</f>
        <v>39814748</v>
      </c>
      <c r="N87" s="52"/>
      <c r="O87" s="52">
        <f t="shared" si="2"/>
        <v>48182652</v>
      </c>
      <c r="P87" s="52"/>
      <c r="Q87" s="56">
        <f t="shared" si="3"/>
        <v>0</v>
      </c>
    </row>
    <row r="88" spans="1:17" ht="12.75">
      <c r="A88" s="26" t="s">
        <v>77</v>
      </c>
      <c r="B88" s="26"/>
      <c r="C88" s="52">
        <f>41662957+1249261</f>
        <v>42912218</v>
      </c>
      <c r="D88" s="52"/>
      <c r="E88" s="52">
        <v>66820083</v>
      </c>
      <c r="F88" s="52"/>
      <c r="G88" s="52">
        <v>14986134</v>
      </c>
      <c r="H88" s="52"/>
      <c r="I88" s="52">
        <v>18037980</v>
      </c>
      <c r="J88" s="52"/>
      <c r="K88" s="52">
        <f>1298694+54517+4866005+922873</f>
        <v>7142089</v>
      </c>
      <c r="L88" s="52"/>
      <c r="M88" s="52">
        <f>14594151+20026685+7019178</f>
        <v>41640014</v>
      </c>
      <c r="N88" s="52"/>
      <c r="O88" s="52">
        <f t="shared" si="2"/>
        <v>48782103</v>
      </c>
      <c r="P88" s="52"/>
      <c r="Q88" s="56">
        <f t="shared" si="3"/>
        <v>0</v>
      </c>
    </row>
    <row r="89" spans="1:17" ht="12.75">
      <c r="A89" s="26" t="s">
        <v>78</v>
      </c>
      <c r="B89" s="26"/>
      <c r="C89" s="52">
        <f>9076179+701187+6007163</f>
        <v>15784529</v>
      </c>
      <c r="D89" s="52"/>
      <c r="E89" s="52">
        <v>31980436</v>
      </c>
      <c r="F89" s="52"/>
      <c r="G89" s="52">
        <v>13825180</v>
      </c>
      <c r="H89" s="52"/>
      <c r="I89" s="52">
        <v>17879175</v>
      </c>
      <c r="J89" s="52"/>
      <c r="K89" s="52">
        <f>404280+229441+111311+340293</f>
        <v>1085325</v>
      </c>
      <c r="L89" s="52"/>
      <c r="M89" s="52">
        <f>3665656+6396190+90000+2864090</f>
        <v>13015936</v>
      </c>
      <c r="N89" s="52"/>
      <c r="O89" s="52">
        <f t="shared" si="2"/>
        <v>14101261</v>
      </c>
      <c r="P89" s="52"/>
      <c r="Q89" s="56">
        <f t="shared" si="3"/>
        <v>0</v>
      </c>
    </row>
    <row r="90" spans="1:17" ht="12.75">
      <c r="A90" s="26" t="s">
        <v>79</v>
      </c>
      <c r="B90" s="26"/>
      <c r="C90" s="52">
        <f>6202053+75206+46250+131803</f>
        <v>6455312</v>
      </c>
      <c r="D90" s="52"/>
      <c r="E90" s="52">
        <v>16175684</v>
      </c>
      <c r="F90" s="52"/>
      <c r="G90" s="52">
        <v>7961340</v>
      </c>
      <c r="H90" s="52"/>
      <c r="I90" s="52">
        <v>9594532</v>
      </c>
      <c r="J90" s="52"/>
      <c r="K90" s="52">
        <f>394786+197356+7591</f>
        <v>599733</v>
      </c>
      <c r="L90" s="52"/>
      <c r="M90" s="52">
        <f>2064238+3697019+22520+197642</f>
        <v>5981419</v>
      </c>
      <c r="N90" s="52"/>
      <c r="O90" s="52">
        <f t="shared" si="2"/>
        <v>6581152</v>
      </c>
      <c r="P90" s="52"/>
      <c r="Q90" s="56">
        <f t="shared" si="3"/>
        <v>0</v>
      </c>
    </row>
    <row r="91" spans="1:17" ht="12.75">
      <c r="A91" s="26" t="s">
        <v>80</v>
      </c>
      <c r="B91" s="26"/>
      <c r="C91" s="52">
        <v>2090271</v>
      </c>
      <c r="D91" s="52"/>
      <c r="E91" s="52">
        <v>8755789</v>
      </c>
      <c r="F91" s="52"/>
      <c r="G91" s="52">
        <v>4151139</v>
      </c>
      <c r="H91" s="52"/>
      <c r="I91" s="52">
        <v>4852127</v>
      </c>
      <c r="J91" s="52"/>
      <c r="K91" s="52">
        <f>4788+15663+954595</f>
        <v>975046</v>
      </c>
      <c r="L91" s="52"/>
      <c r="M91" s="52">
        <f>214583+2565766-102104+250371</f>
        <v>2928616</v>
      </c>
      <c r="N91" s="52"/>
      <c r="O91" s="52">
        <f t="shared" si="2"/>
        <v>3903662</v>
      </c>
      <c r="P91" s="52"/>
      <c r="Q91" s="56">
        <f t="shared" si="3"/>
        <v>0</v>
      </c>
    </row>
    <row r="92" spans="1:17" ht="12.75">
      <c r="A92" s="26" t="s">
        <v>81</v>
      </c>
      <c r="B92" s="26"/>
      <c r="C92" s="52">
        <v>55130258</v>
      </c>
      <c r="D92" s="52"/>
      <c r="E92" s="52">
        <v>119808013</v>
      </c>
      <c r="F92" s="52"/>
      <c r="G92" s="52">
        <v>56043913</v>
      </c>
      <c r="H92" s="52"/>
      <c r="I92" s="52">
        <v>62943990</v>
      </c>
      <c r="J92" s="52"/>
      <c r="K92" s="52">
        <f>8509039+195449+539414+2517812+188202</f>
        <v>11949916</v>
      </c>
      <c r="L92" s="52"/>
      <c r="M92" s="52">
        <f>13331618+29761021+1781055+40413</f>
        <v>44914107</v>
      </c>
      <c r="N92" s="52"/>
      <c r="O92" s="52">
        <f t="shared" si="2"/>
        <v>56864023</v>
      </c>
      <c r="P92" s="52"/>
      <c r="Q92" s="56">
        <f t="shared" si="3"/>
        <v>0</v>
      </c>
    </row>
    <row r="93" spans="1:17" ht="12.75">
      <c r="A93" s="26" t="s">
        <v>82</v>
      </c>
      <c r="B93" s="26"/>
      <c r="C93" s="52">
        <f>20786996+45390+62509</f>
        <v>20894895</v>
      </c>
      <c r="D93" s="52"/>
      <c r="E93" s="52">
        <v>41421689</v>
      </c>
      <c r="F93" s="52"/>
      <c r="G93" s="52">
        <v>16276619</v>
      </c>
      <c r="H93" s="52"/>
      <c r="I93" s="52">
        <v>21191768</v>
      </c>
      <c r="J93" s="52"/>
      <c r="K93" s="52">
        <f>2019784+94127+15468</f>
        <v>2129379</v>
      </c>
      <c r="L93" s="52"/>
      <c r="M93" s="52">
        <f>5477235+12810242+119151-306086</f>
        <v>18100542</v>
      </c>
      <c r="N93" s="52"/>
      <c r="O93" s="52">
        <f t="shared" si="2"/>
        <v>20229921</v>
      </c>
      <c r="P93" s="52"/>
      <c r="Q93" s="56">
        <f t="shared" si="3"/>
        <v>0</v>
      </c>
    </row>
    <row r="94" spans="1:17" ht="12.75">
      <c r="A94" s="26" t="s">
        <v>83</v>
      </c>
      <c r="B94" s="26"/>
      <c r="C94" s="52">
        <f>28658767+445710</f>
        <v>29104477</v>
      </c>
      <c r="D94" s="52"/>
      <c r="E94" s="52">
        <v>54360648</v>
      </c>
      <c r="F94" s="52"/>
      <c r="G94" s="52">
        <v>18794297</v>
      </c>
      <c r="H94" s="52"/>
      <c r="I94" s="52">
        <v>23214874</v>
      </c>
      <c r="J94" s="52"/>
      <c r="K94" s="52">
        <f>4898708+262648+492498+380327</f>
        <v>6034181</v>
      </c>
      <c r="L94" s="52"/>
      <c r="M94" s="52">
        <f>550000+6583853+16200861+872910+903969</f>
        <v>25111593</v>
      </c>
      <c r="N94" s="52"/>
      <c r="O94" s="52">
        <f t="shared" si="2"/>
        <v>31145774</v>
      </c>
      <c r="P94" s="52"/>
      <c r="Q94" s="56">
        <f t="shared" si="3"/>
        <v>0</v>
      </c>
    </row>
    <row r="95" spans="1:17" ht="12.75" hidden="1">
      <c r="A95" s="26" t="s">
        <v>183</v>
      </c>
      <c r="B95" s="26"/>
      <c r="C95" s="52">
        <v>0</v>
      </c>
      <c r="D95" s="52"/>
      <c r="E95" s="52">
        <v>0</v>
      </c>
      <c r="F95" s="52"/>
      <c r="G95" s="52">
        <v>0</v>
      </c>
      <c r="H95" s="52"/>
      <c r="I95" s="52">
        <v>0</v>
      </c>
      <c r="J95" s="52"/>
      <c r="K95" s="52">
        <v>0</v>
      </c>
      <c r="L95" s="52"/>
      <c r="M95" s="52">
        <v>0</v>
      </c>
      <c r="N95" s="52"/>
      <c r="O95" s="52">
        <f t="shared" si="2"/>
        <v>0</v>
      </c>
      <c r="P95" s="52"/>
      <c r="Q95" s="56">
        <f t="shared" si="3"/>
        <v>0</v>
      </c>
    </row>
    <row r="96" spans="1:17" ht="12.75">
      <c r="A96" s="26" t="s">
        <v>84</v>
      </c>
      <c r="B96" s="26"/>
      <c r="C96" s="52">
        <f>51836439+128563</f>
        <v>51965002</v>
      </c>
      <c r="D96" s="52"/>
      <c r="E96" s="52">
        <v>101512401</v>
      </c>
      <c r="F96" s="52"/>
      <c r="G96" s="52">
        <v>43204836</v>
      </c>
      <c r="H96" s="52"/>
      <c r="I96" s="52">
        <v>48906640</v>
      </c>
      <c r="J96" s="52"/>
      <c r="K96" s="52">
        <f>299871+66904+3984706</f>
        <v>4351481</v>
      </c>
      <c r="L96" s="52"/>
      <c r="M96" s="52">
        <f>8058536+32422861+914080+6858803</f>
        <v>48254280</v>
      </c>
      <c r="N96" s="52"/>
      <c r="O96" s="52">
        <f t="shared" si="2"/>
        <v>52605761</v>
      </c>
      <c r="P96" s="52"/>
      <c r="Q96" s="56">
        <f t="shared" si="3"/>
        <v>0</v>
      </c>
    </row>
    <row r="97" spans="1:17" ht="12.75" hidden="1">
      <c r="A97" s="26" t="s">
        <v>184</v>
      </c>
      <c r="B97" s="26"/>
      <c r="C97" s="19">
        <v>0</v>
      </c>
      <c r="D97" s="19"/>
      <c r="E97" s="19">
        <v>0</v>
      </c>
      <c r="F97" s="19"/>
      <c r="G97" s="19">
        <v>0</v>
      </c>
      <c r="H97" s="19"/>
      <c r="I97" s="19">
        <v>0</v>
      </c>
      <c r="J97" s="19"/>
      <c r="K97" s="19">
        <v>0</v>
      </c>
      <c r="L97" s="19"/>
      <c r="M97" s="19">
        <v>0</v>
      </c>
      <c r="N97" s="19"/>
      <c r="O97" s="52">
        <f t="shared" si="2"/>
        <v>0</v>
      </c>
      <c r="P97" s="19"/>
      <c r="Q97" s="56">
        <f t="shared" si="3"/>
        <v>0</v>
      </c>
    </row>
    <row r="98" spans="1:17" ht="12.75">
      <c r="A98" s="26"/>
      <c r="B98" s="26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56">
        <f t="shared" si="3"/>
        <v>0</v>
      </c>
    </row>
    <row r="99" spans="1:16" ht="12.75">
      <c r="A99" s="26"/>
      <c r="B99" s="26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100"/>
  <sheetViews>
    <sheetView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2.75"/>
  <cols>
    <col min="1" max="1" width="18.7109375" style="6" customWidth="1"/>
    <col min="2" max="2" width="1.7109375" style="6" customWidth="1"/>
    <col min="3" max="3" width="11.7109375" style="6" customWidth="1"/>
    <col min="4" max="4" width="1.7109375" style="6" customWidth="1"/>
    <col min="5" max="5" width="11.7109375" style="6" customWidth="1"/>
    <col min="6" max="6" width="1.7109375" style="6" customWidth="1"/>
    <col min="7" max="7" width="11.7109375" style="6" customWidth="1"/>
    <col min="8" max="8" width="1.7109375" style="6" customWidth="1"/>
    <col min="9" max="9" width="11.7109375" style="6" customWidth="1"/>
    <col min="10" max="10" width="1.7109375" style="6" customWidth="1"/>
    <col min="11" max="11" width="11.7109375" style="6" customWidth="1"/>
    <col min="12" max="12" width="1.7109375" style="6" customWidth="1"/>
    <col min="13" max="13" width="11.7109375" style="6" customWidth="1"/>
    <col min="14" max="14" width="1.7109375" style="6" customWidth="1"/>
    <col min="15" max="15" width="12.7109375" style="6" customWidth="1"/>
    <col min="16" max="16" width="1.7109375" style="6" customWidth="1"/>
    <col min="17" max="17" width="12.7109375" style="6" customWidth="1"/>
    <col min="18" max="18" width="1.7109375" style="0" customWidth="1"/>
  </cols>
  <sheetData>
    <row r="1" spans="1:19" s="12" customFormat="1" ht="12.75">
      <c r="A1" s="20" t="s">
        <v>217</v>
      </c>
      <c r="B1" s="20"/>
      <c r="C1" s="20"/>
      <c r="D1" s="20"/>
      <c r="E1" s="20"/>
      <c r="F1" s="20"/>
      <c r="G1" s="20"/>
      <c r="H1" s="20"/>
      <c r="I1" s="20"/>
      <c r="J1" s="24"/>
      <c r="K1" s="24"/>
      <c r="L1" s="24"/>
      <c r="M1" s="24"/>
      <c r="N1" s="24"/>
      <c r="O1" s="24"/>
      <c r="P1" s="24"/>
      <c r="Q1" s="24"/>
      <c r="R1" s="25"/>
      <c r="S1" s="25"/>
    </row>
    <row r="2" spans="1:19" s="12" customFormat="1" ht="12.75">
      <c r="A2" s="20" t="s">
        <v>227</v>
      </c>
      <c r="B2" s="20"/>
      <c r="C2" s="20"/>
      <c r="D2" s="20"/>
      <c r="E2" s="20"/>
      <c r="F2" s="20"/>
      <c r="G2" s="20"/>
      <c r="H2" s="20"/>
      <c r="I2" s="20"/>
      <c r="J2" s="24"/>
      <c r="K2" s="24"/>
      <c r="L2" s="24"/>
      <c r="M2" s="24"/>
      <c r="N2" s="24"/>
      <c r="O2" s="24"/>
      <c r="P2" s="24"/>
      <c r="Q2" s="24"/>
      <c r="R2" s="25"/>
      <c r="S2" s="25"/>
    </row>
    <row r="3" spans="1:19" s="12" customFormat="1" ht="12.75">
      <c r="A3" s="2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5"/>
    </row>
    <row r="4" spans="1:19" s="6" customFormat="1" ht="12.75">
      <c r="A4" s="20" t="s">
        <v>196</v>
      </c>
      <c r="B4" s="20"/>
      <c r="C4" s="20"/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6"/>
      <c r="S4" s="26"/>
    </row>
    <row r="5" spans="1:19" s="6" customFormat="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6"/>
      <c r="S5" s="116" t="s">
        <v>173</v>
      </c>
    </row>
    <row r="6" spans="1:19" s="6" customFormat="1" ht="12.75">
      <c r="A6" s="17"/>
      <c r="B6" s="17"/>
      <c r="C6" s="17" t="s">
        <v>156</v>
      </c>
      <c r="D6" s="17"/>
      <c r="E6" s="17" t="s">
        <v>176</v>
      </c>
      <c r="F6" s="17"/>
      <c r="G6" s="17" t="s">
        <v>173</v>
      </c>
      <c r="H6" s="17"/>
      <c r="I6" s="17" t="s">
        <v>0</v>
      </c>
      <c r="J6" s="17"/>
      <c r="K6" s="17" t="s">
        <v>1</v>
      </c>
      <c r="L6" s="17"/>
      <c r="M6" s="17" t="s">
        <v>2</v>
      </c>
      <c r="N6" s="17"/>
      <c r="O6" s="17" t="s">
        <v>3</v>
      </c>
      <c r="P6" s="17"/>
      <c r="Q6" s="17" t="s">
        <v>4</v>
      </c>
      <c r="R6" s="26"/>
      <c r="S6" s="116" t="s">
        <v>232</v>
      </c>
    </row>
    <row r="7" spans="1:19" s="6" customFormat="1" ht="12.75">
      <c r="A7" s="74" t="s">
        <v>5</v>
      </c>
      <c r="B7" s="67"/>
      <c r="C7" s="74" t="s">
        <v>6</v>
      </c>
      <c r="D7" s="67"/>
      <c r="E7" s="74" t="s">
        <v>7</v>
      </c>
      <c r="F7" s="67"/>
      <c r="G7" s="74" t="s">
        <v>6</v>
      </c>
      <c r="H7" s="67"/>
      <c r="I7" s="74" t="s">
        <v>8</v>
      </c>
      <c r="J7" s="67"/>
      <c r="K7" s="74" t="s">
        <v>9</v>
      </c>
      <c r="L7" s="67"/>
      <c r="M7" s="74" t="s">
        <v>10</v>
      </c>
      <c r="N7" s="67"/>
      <c r="O7" s="74" t="s">
        <v>11</v>
      </c>
      <c r="P7" s="67"/>
      <c r="Q7" s="74" t="s">
        <v>12</v>
      </c>
      <c r="R7" s="26"/>
      <c r="S7" s="116" t="s">
        <v>233</v>
      </c>
    </row>
    <row r="8" spans="1:19" s="6" customFormat="1" ht="12.75">
      <c r="A8" s="67" t="s">
        <v>13</v>
      </c>
      <c r="B8" s="67"/>
      <c r="C8" s="60">
        <v>3793535</v>
      </c>
      <c r="D8" s="60"/>
      <c r="E8" s="60">
        <v>10711043</v>
      </c>
      <c r="F8" s="60"/>
      <c r="G8" s="60">
        <v>0</v>
      </c>
      <c r="H8" s="60"/>
      <c r="I8" s="60">
        <v>3889029</v>
      </c>
      <c r="J8" s="60"/>
      <c r="K8" s="60">
        <v>2919060</v>
      </c>
      <c r="L8" s="60"/>
      <c r="M8" s="52">
        <v>0</v>
      </c>
      <c r="N8" s="52"/>
      <c r="O8" s="52">
        <f>Q8-C8-E8-G8-I8-K8-M8</f>
        <v>1620376</v>
      </c>
      <c r="P8" s="52"/>
      <c r="Q8" s="60">
        <v>22933043</v>
      </c>
      <c r="R8" s="26"/>
      <c r="S8" s="26">
        <f>70609+8937+280000</f>
        <v>359546</v>
      </c>
    </row>
    <row r="9" spans="1:19" s="6" customFormat="1" ht="12.75">
      <c r="A9" s="67" t="s">
        <v>14</v>
      </c>
      <c r="B9" s="67"/>
      <c r="C9" s="60">
        <v>2107125</v>
      </c>
      <c r="D9" s="60"/>
      <c r="E9" s="60">
        <v>4140033</v>
      </c>
      <c r="F9" s="60"/>
      <c r="G9" s="60">
        <v>4012</v>
      </c>
      <c r="H9" s="60"/>
      <c r="I9" s="60">
        <v>1799368</v>
      </c>
      <c r="J9" s="60"/>
      <c r="K9" s="60">
        <v>2201995</v>
      </c>
      <c r="L9" s="60"/>
      <c r="M9" s="52">
        <v>0</v>
      </c>
      <c r="N9" s="52"/>
      <c r="O9" s="52">
        <f aca="true" t="shared" si="0" ref="O9:O70">Q9-C9-E9-G9-I9-K9-M9</f>
        <v>1013997</v>
      </c>
      <c r="P9" s="52"/>
      <c r="Q9" s="60">
        <v>11266530</v>
      </c>
      <c r="R9" s="26"/>
      <c r="S9" s="26">
        <f>28210+212075</f>
        <v>240285</v>
      </c>
    </row>
    <row r="10" spans="1:19" s="6" customFormat="1" ht="12.75">
      <c r="A10" s="67" t="s">
        <v>15</v>
      </c>
      <c r="B10" s="67"/>
      <c r="C10" s="60">
        <v>4116756</v>
      </c>
      <c r="D10" s="60"/>
      <c r="E10" s="60">
        <v>7810093</v>
      </c>
      <c r="F10" s="60"/>
      <c r="G10" s="60">
        <v>0</v>
      </c>
      <c r="H10" s="60"/>
      <c r="I10" s="60">
        <v>4330922</v>
      </c>
      <c r="J10" s="60"/>
      <c r="K10" s="60">
        <v>3653041</v>
      </c>
      <c r="L10" s="60"/>
      <c r="M10" s="52">
        <v>0</v>
      </c>
      <c r="N10" s="52"/>
      <c r="O10" s="52">
        <f t="shared" si="0"/>
        <v>1483387</v>
      </c>
      <c r="P10" s="52"/>
      <c r="Q10" s="60">
        <v>21394199</v>
      </c>
      <c r="R10" s="26"/>
      <c r="S10" s="26">
        <v>124028</v>
      </c>
    </row>
    <row r="11" spans="1:19" s="6" customFormat="1" ht="12.75">
      <c r="A11" s="67" t="s">
        <v>16</v>
      </c>
      <c r="B11" s="67"/>
      <c r="C11" s="60">
        <v>1512845</v>
      </c>
      <c r="D11" s="60"/>
      <c r="E11" s="60">
        <v>4323504</v>
      </c>
      <c r="F11" s="60"/>
      <c r="G11" s="60">
        <v>0</v>
      </c>
      <c r="H11" s="60"/>
      <c r="I11" s="60">
        <v>1522675</v>
      </c>
      <c r="J11" s="60"/>
      <c r="K11" s="60">
        <v>1638926</v>
      </c>
      <c r="L11" s="60"/>
      <c r="M11" s="52">
        <v>0</v>
      </c>
      <c r="N11" s="52"/>
      <c r="O11" s="52">
        <f t="shared" si="0"/>
        <v>1531325</v>
      </c>
      <c r="P11" s="52"/>
      <c r="Q11" s="60">
        <v>10529275</v>
      </c>
      <c r="R11" s="26"/>
      <c r="S11" s="26">
        <f>850+97500</f>
        <v>98350</v>
      </c>
    </row>
    <row r="12" spans="1:19" s="6" customFormat="1" ht="12.75">
      <c r="A12" s="67" t="s">
        <v>17</v>
      </c>
      <c r="B12" s="67"/>
      <c r="C12" s="60">
        <v>1902833</v>
      </c>
      <c r="D12" s="60"/>
      <c r="E12" s="60">
        <v>2331927</v>
      </c>
      <c r="F12" s="60"/>
      <c r="G12" s="60">
        <v>0</v>
      </c>
      <c r="H12" s="60"/>
      <c r="I12" s="60">
        <v>1126503</v>
      </c>
      <c r="J12" s="60"/>
      <c r="K12" s="60">
        <v>1291929</v>
      </c>
      <c r="L12" s="60"/>
      <c r="M12" s="52">
        <v>0</v>
      </c>
      <c r="N12" s="52"/>
      <c r="O12" s="52">
        <f t="shared" si="0"/>
        <v>880278</v>
      </c>
      <c r="P12" s="52"/>
      <c r="Q12" s="60">
        <v>7533470</v>
      </c>
      <c r="R12" s="26"/>
      <c r="S12" s="26">
        <f>1060+236805</f>
        <v>237865</v>
      </c>
    </row>
    <row r="13" spans="1:19" s="6" customFormat="1" ht="12.75">
      <c r="A13" s="67" t="s">
        <v>18</v>
      </c>
      <c r="B13" s="67"/>
      <c r="C13" s="60">
        <v>1791494</v>
      </c>
      <c r="D13" s="60"/>
      <c r="E13" s="60">
        <v>11051273</v>
      </c>
      <c r="F13" s="60"/>
      <c r="G13" s="60">
        <v>0</v>
      </c>
      <c r="H13" s="60"/>
      <c r="I13" s="60">
        <v>2065518</v>
      </c>
      <c r="J13" s="60"/>
      <c r="K13" s="60">
        <v>1114111</v>
      </c>
      <c r="L13" s="60"/>
      <c r="M13" s="52">
        <v>0</v>
      </c>
      <c r="N13" s="52"/>
      <c r="O13" s="52">
        <f t="shared" si="0"/>
        <v>1218004</v>
      </c>
      <c r="P13" s="52"/>
      <c r="Q13" s="60">
        <v>17240400</v>
      </c>
      <c r="R13" s="26"/>
      <c r="S13" s="26">
        <f>500000+14295+54833</f>
        <v>569128</v>
      </c>
    </row>
    <row r="14" spans="1:19" s="6" customFormat="1" ht="12.75" hidden="1">
      <c r="A14" s="67" t="s">
        <v>138</v>
      </c>
      <c r="B14" s="67"/>
      <c r="C14" s="60">
        <v>0</v>
      </c>
      <c r="D14" s="60"/>
      <c r="E14" s="60">
        <v>0</v>
      </c>
      <c r="F14" s="60"/>
      <c r="G14" s="60">
        <v>0</v>
      </c>
      <c r="H14" s="60"/>
      <c r="I14" s="60">
        <v>0</v>
      </c>
      <c r="J14" s="60"/>
      <c r="K14" s="60">
        <v>0</v>
      </c>
      <c r="L14" s="60"/>
      <c r="M14" s="52">
        <v>0</v>
      </c>
      <c r="N14" s="52"/>
      <c r="O14" s="52">
        <f t="shared" si="0"/>
        <v>0</v>
      </c>
      <c r="P14" s="52"/>
      <c r="Q14" s="60">
        <v>0</v>
      </c>
      <c r="R14" s="26"/>
      <c r="S14" s="26"/>
    </row>
    <row r="15" spans="1:19" s="6" customFormat="1" ht="12.75">
      <c r="A15" s="67" t="s">
        <v>187</v>
      </c>
      <c r="B15" s="67"/>
      <c r="C15" s="60">
        <v>0</v>
      </c>
      <c r="D15" s="60"/>
      <c r="E15" s="60">
        <v>0</v>
      </c>
      <c r="F15" s="60"/>
      <c r="G15" s="60">
        <v>29542959</v>
      </c>
      <c r="H15" s="60"/>
      <c r="I15" s="60">
        <v>25920096</v>
      </c>
      <c r="J15" s="60"/>
      <c r="K15" s="60">
        <v>7800798</v>
      </c>
      <c r="L15" s="60"/>
      <c r="M15" s="52">
        <v>0</v>
      </c>
      <c r="N15" s="52"/>
      <c r="O15" s="52">
        <f t="shared" si="0"/>
        <v>3945234</v>
      </c>
      <c r="P15" s="52"/>
      <c r="Q15" s="60">
        <v>67209087</v>
      </c>
      <c r="R15" s="26"/>
      <c r="S15" s="26">
        <f>1370+194000</f>
        <v>195370</v>
      </c>
    </row>
    <row r="16" spans="1:19" s="6" customFormat="1" ht="12.75">
      <c r="A16" s="67" t="s">
        <v>20</v>
      </c>
      <c r="B16" s="67"/>
      <c r="C16" s="60">
        <v>1348418</v>
      </c>
      <c r="D16" s="60"/>
      <c r="E16" s="60">
        <v>1585980</v>
      </c>
      <c r="F16" s="60"/>
      <c r="G16" s="60">
        <f>357399+24465+62530+2741</f>
        <v>447135</v>
      </c>
      <c r="H16" s="60"/>
      <c r="I16" s="60">
        <v>1040354</v>
      </c>
      <c r="J16" s="60"/>
      <c r="K16" s="60">
        <v>772220</v>
      </c>
      <c r="L16" s="60"/>
      <c r="M16" s="52">
        <v>0</v>
      </c>
      <c r="N16" s="52"/>
      <c r="O16" s="52">
        <f t="shared" si="0"/>
        <v>76824</v>
      </c>
      <c r="P16" s="52"/>
      <c r="Q16" s="60">
        <v>5270931</v>
      </c>
      <c r="R16" s="26"/>
      <c r="S16" s="26">
        <f>5064+44480+3</f>
        <v>49547</v>
      </c>
    </row>
    <row r="17" spans="1:19" s="6" customFormat="1" ht="12.75" hidden="1">
      <c r="A17" s="67" t="s">
        <v>181</v>
      </c>
      <c r="B17" s="67"/>
      <c r="C17" s="60">
        <v>0</v>
      </c>
      <c r="D17" s="60"/>
      <c r="E17" s="60">
        <v>0</v>
      </c>
      <c r="F17" s="60"/>
      <c r="G17" s="60">
        <v>0</v>
      </c>
      <c r="H17" s="60"/>
      <c r="I17" s="60">
        <v>0</v>
      </c>
      <c r="J17" s="60"/>
      <c r="K17" s="60">
        <v>0</v>
      </c>
      <c r="L17" s="60"/>
      <c r="M17" s="52">
        <v>0</v>
      </c>
      <c r="N17" s="52"/>
      <c r="O17" s="52">
        <f t="shared" si="0"/>
        <v>0</v>
      </c>
      <c r="P17" s="52"/>
      <c r="Q17" s="60">
        <v>0</v>
      </c>
      <c r="R17" s="26"/>
      <c r="S17" s="26"/>
    </row>
    <row r="18" spans="1:19" s="6" customFormat="1" ht="12.75">
      <c r="A18" s="67" t="s">
        <v>21</v>
      </c>
      <c r="B18" s="67"/>
      <c r="C18" s="60">
        <v>3213145</v>
      </c>
      <c r="D18" s="60"/>
      <c r="E18" s="60">
        <v>12279860</v>
      </c>
      <c r="F18" s="60"/>
      <c r="G18" s="60">
        <v>0</v>
      </c>
      <c r="H18" s="60"/>
      <c r="I18" s="60">
        <v>5153616</v>
      </c>
      <c r="J18" s="60"/>
      <c r="K18" s="60">
        <v>3903574</v>
      </c>
      <c r="L18" s="60"/>
      <c r="M18" s="52">
        <v>0</v>
      </c>
      <c r="N18" s="52"/>
      <c r="O18" s="52">
        <f t="shared" si="0"/>
        <v>3448265</v>
      </c>
      <c r="P18" s="52"/>
      <c r="Q18" s="60">
        <v>27998460</v>
      </c>
      <c r="R18" s="26"/>
      <c r="S18" s="26">
        <v>207731</v>
      </c>
    </row>
    <row r="19" spans="1:19" s="6" customFormat="1" ht="12.75">
      <c r="A19" s="67" t="s">
        <v>193</v>
      </c>
      <c r="B19" s="67"/>
      <c r="C19" s="60">
        <v>0</v>
      </c>
      <c r="D19" s="60"/>
      <c r="E19" s="60">
        <v>0</v>
      </c>
      <c r="F19" s="60"/>
      <c r="G19" s="60">
        <v>26740796</v>
      </c>
      <c r="H19" s="60"/>
      <c r="I19" s="60">
        <v>9895194</v>
      </c>
      <c r="J19" s="60"/>
      <c r="K19" s="60">
        <v>4544478</v>
      </c>
      <c r="L19" s="60"/>
      <c r="M19" s="52">
        <v>0</v>
      </c>
      <c r="N19" s="52"/>
      <c r="O19" s="52">
        <f t="shared" si="0"/>
        <v>5212589</v>
      </c>
      <c r="P19" s="52"/>
      <c r="Q19" s="60">
        <v>46393057</v>
      </c>
      <c r="R19" s="26"/>
      <c r="S19" s="26">
        <f>70836+18860</f>
        <v>89696</v>
      </c>
    </row>
    <row r="20" spans="1:19" s="6" customFormat="1" ht="12.75">
      <c r="A20" s="67" t="s">
        <v>22</v>
      </c>
      <c r="B20" s="67"/>
      <c r="C20" s="60">
        <v>1686162</v>
      </c>
      <c r="D20" s="60"/>
      <c r="E20" s="60">
        <v>4138079</v>
      </c>
      <c r="F20" s="60"/>
      <c r="G20" s="60">
        <v>0</v>
      </c>
      <c r="H20" s="60"/>
      <c r="I20" s="60">
        <v>1969642</v>
      </c>
      <c r="J20" s="60"/>
      <c r="K20" s="60">
        <v>1386409</v>
      </c>
      <c r="L20" s="60"/>
      <c r="M20" s="52">
        <v>0</v>
      </c>
      <c r="N20" s="52"/>
      <c r="O20" s="52">
        <f t="shared" si="0"/>
        <v>1441550</v>
      </c>
      <c r="P20" s="52"/>
      <c r="Q20" s="60">
        <v>10621842</v>
      </c>
      <c r="R20" s="26"/>
      <c r="S20" s="26">
        <v>0</v>
      </c>
    </row>
    <row r="21" spans="1:19" s="6" customFormat="1" ht="12.75" hidden="1">
      <c r="A21" s="67" t="s">
        <v>192</v>
      </c>
      <c r="B21" s="67"/>
      <c r="C21" s="60">
        <v>0</v>
      </c>
      <c r="D21" s="60"/>
      <c r="E21" s="60">
        <v>0</v>
      </c>
      <c r="F21" s="60"/>
      <c r="G21" s="60">
        <v>0</v>
      </c>
      <c r="H21" s="60"/>
      <c r="I21" s="60">
        <v>0</v>
      </c>
      <c r="J21" s="60"/>
      <c r="K21" s="60">
        <v>0</v>
      </c>
      <c r="L21" s="60"/>
      <c r="M21" s="52">
        <v>0</v>
      </c>
      <c r="N21" s="52"/>
      <c r="O21" s="52">
        <f t="shared" si="0"/>
        <v>0</v>
      </c>
      <c r="P21" s="52"/>
      <c r="Q21" s="60">
        <v>0</v>
      </c>
      <c r="R21" s="26"/>
      <c r="S21" s="26"/>
    </row>
    <row r="22" spans="1:19" s="6" customFormat="1" ht="12.75" hidden="1">
      <c r="A22" s="67" t="s">
        <v>24</v>
      </c>
      <c r="B22" s="67"/>
      <c r="C22" s="60">
        <v>0</v>
      </c>
      <c r="D22" s="60"/>
      <c r="E22" s="60">
        <v>0</v>
      </c>
      <c r="F22" s="60"/>
      <c r="G22" s="60">
        <v>0</v>
      </c>
      <c r="H22" s="60"/>
      <c r="I22" s="60">
        <v>0</v>
      </c>
      <c r="J22" s="60"/>
      <c r="K22" s="60">
        <v>0</v>
      </c>
      <c r="L22" s="60"/>
      <c r="M22" s="52">
        <v>0</v>
      </c>
      <c r="N22" s="52"/>
      <c r="O22" s="52">
        <f t="shared" si="0"/>
        <v>0</v>
      </c>
      <c r="P22" s="52"/>
      <c r="Q22" s="60">
        <v>0</v>
      </c>
      <c r="R22" s="26"/>
      <c r="S22" s="26"/>
    </row>
    <row r="23" spans="1:19" s="6" customFormat="1" ht="12.75">
      <c r="A23" s="67" t="s">
        <v>191</v>
      </c>
      <c r="B23" s="67"/>
      <c r="C23" s="60">
        <v>1261969</v>
      </c>
      <c r="D23" s="60"/>
      <c r="E23" s="60">
        <v>3220267</v>
      </c>
      <c r="F23" s="60"/>
      <c r="G23" s="60">
        <v>0</v>
      </c>
      <c r="H23" s="60"/>
      <c r="I23" s="60">
        <v>1821993</v>
      </c>
      <c r="J23" s="60"/>
      <c r="K23" s="60">
        <v>1434342</v>
      </c>
      <c r="L23" s="60"/>
      <c r="M23" s="52">
        <v>0</v>
      </c>
      <c r="N23" s="52"/>
      <c r="O23" s="52">
        <f t="shared" si="0"/>
        <v>990065</v>
      </c>
      <c r="P23" s="52"/>
      <c r="Q23" s="60">
        <v>8728636</v>
      </c>
      <c r="R23" s="26"/>
      <c r="S23" s="26">
        <v>25000</v>
      </c>
    </row>
    <row r="24" spans="1:19" s="6" customFormat="1" ht="12.75">
      <c r="A24" s="67" t="s">
        <v>25</v>
      </c>
      <c r="B24" s="67"/>
      <c r="C24" s="60">
        <v>19576</v>
      </c>
      <c r="D24" s="60"/>
      <c r="E24" s="60">
        <v>158634</v>
      </c>
      <c r="F24" s="60"/>
      <c r="G24" s="60">
        <v>9</v>
      </c>
      <c r="H24" s="60"/>
      <c r="I24" s="60">
        <v>64659</v>
      </c>
      <c r="J24" s="60"/>
      <c r="K24" s="60">
        <v>10406</v>
      </c>
      <c r="L24" s="60"/>
      <c r="M24" s="52">
        <v>0</v>
      </c>
      <c r="N24" s="52"/>
      <c r="O24" s="52">
        <f t="shared" si="0"/>
        <v>56447</v>
      </c>
      <c r="P24" s="52"/>
      <c r="Q24" s="60">
        <v>309731</v>
      </c>
      <c r="R24" s="26"/>
      <c r="S24" s="26">
        <v>3570</v>
      </c>
    </row>
    <row r="25" spans="1:19" s="6" customFormat="1" ht="12.75">
      <c r="A25" s="67" t="s">
        <v>26</v>
      </c>
      <c r="B25" s="67"/>
      <c r="C25" s="60">
        <v>0</v>
      </c>
      <c r="D25" s="60"/>
      <c r="E25" s="60">
        <v>0</v>
      </c>
      <c r="F25" s="60"/>
      <c r="G25" s="60">
        <v>6821719</v>
      </c>
      <c r="H25" s="60"/>
      <c r="I25" s="60">
        <v>1502318</v>
      </c>
      <c r="J25" s="60"/>
      <c r="K25" s="60">
        <v>1103954</v>
      </c>
      <c r="L25" s="60"/>
      <c r="M25" s="52">
        <v>0</v>
      </c>
      <c r="N25" s="52"/>
      <c r="O25" s="52">
        <f t="shared" si="0"/>
        <v>1050297</v>
      </c>
      <c r="P25" s="52"/>
      <c r="Q25" s="60">
        <v>10478288</v>
      </c>
      <c r="R25" s="26"/>
      <c r="S25" s="26">
        <f>786+70000+101241</f>
        <v>172027</v>
      </c>
    </row>
    <row r="26" spans="1:19" s="6" customFormat="1" ht="12.75">
      <c r="A26" s="67" t="s">
        <v>27</v>
      </c>
      <c r="B26" s="67"/>
      <c r="C26" s="60">
        <v>1664473</v>
      </c>
      <c r="D26" s="60"/>
      <c r="E26" s="60">
        <v>4206330</v>
      </c>
      <c r="F26" s="60"/>
      <c r="G26" s="60">
        <v>0</v>
      </c>
      <c r="H26" s="60"/>
      <c r="I26" s="60">
        <v>1509832</v>
      </c>
      <c r="J26" s="60"/>
      <c r="K26" s="60">
        <v>1032609</v>
      </c>
      <c r="L26" s="60"/>
      <c r="M26" s="52">
        <v>0</v>
      </c>
      <c r="N26" s="52"/>
      <c r="O26" s="52">
        <f t="shared" si="0"/>
        <v>1386578</v>
      </c>
      <c r="P26" s="52"/>
      <c r="Q26" s="60">
        <v>9799822</v>
      </c>
      <c r="R26" s="26"/>
      <c r="S26" s="26">
        <v>0</v>
      </c>
    </row>
    <row r="27" spans="1:19" s="6" customFormat="1" ht="12.75">
      <c r="A27" s="67" t="s">
        <v>28</v>
      </c>
      <c r="B27" s="67"/>
      <c r="C27" s="60">
        <v>3810073</v>
      </c>
      <c r="D27" s="60"/>
      <c r="E27" s="60">
        <v>17466322</v>
      </c>
      <c r="F27" s="60"/>
      <c r="G27" s="60">
        <v>0</v>
      </c>
      <c r="H27" s="60"/>
      <c r="I27" s="60">
        <v>10602865</v>
      </c>
      <c r="J27" s="60"/>
      <c r="K27" s="60">
        <v>3571944</v>
      </c>
      <c r="L27" s="60"/>
      <c r="M27" s="52">
        <v>0</v>
      </c>
      <c r="N27" s="52"/>
      <c r="O27" s="52">
        <f t="shared" si="0"/>
        <v>4510473</v>
      </c>
      <c r="P27" s="52"/>
      <c r="Q27" s="60">
        <v>39961677</v>
      </c>
      <c r="R27" s="26"/>
      <c r="S27" s="26">
        <v>212144</v>
      </c>
    </row>
    <row r="28" spans="1:19" s="6" customFormat="1" ht="12.75">
      <c r="A28" s="67" t="s">
        <v>29</v>
      </c>
      <c r="B28" s="67"/>
      <c r="C28" s="60">
        <v>4526467</v>
      </c>
      <c r="D28" s="60"/>
      <c r="E28" s="60">
        <v>11452269</v>
      </c>
      <c r="F28" s="60"/>
      <c r="G28" s="60">
        <v>0</v>
      </c>
      <c r="H28" s="60"/>
      <c r="I28" s="60">
        <v>1698134</v>
      </c>
      <c r="J28" s="60"/>
      <c r="K28" s="60">
        <v>2354757</v>
      </c>
      <c r="L28" s="60"/>
      <c r="M28" s="52">
        <v>184081</v>
      </c>
      <c r="N28" s="52"/>
      <c r="O28" s="52">
        <f t="shared" si="0"/>
        <v>2891901</v>
      </c>
      <c r="P28" s="52"/>
      <c r="Q28" s="60">
        <v>23107609</v>
      </c>
      <c r="R28" s="26"/>
      <c r="S28" s="26">
        <f>18237+325000</f>
        <v>343237</v>
      </c>
    </row>
    <row r="29" spans="1:19" s="6" customFormat="1" ht="12.75">
      <c r="A29" s="67" t="s">
        <v>30</v>
      </c>
      <c r="B29" s="67"/>
      <c r="C29" s="60">
        <v>6432882</v>
      </c>
      <c r="D29" s="60"/>
      <c r="E29" s="60">
        <v>9978566</v>
      </c>
      <c r="F29" s="60"/>
      <c r="G29" s="60">
        <v>0</v>
      </c>
      <c r="H29" s="60"/>
      <c r="I29" s="60">
        <v>4026862</v>
      </c>
      <c r="J29" s="60"/>
      <c r="K29" s="60">
        <v>4082932</v>
      </c>
      <c r="L29" s="60"/>
      <c r="M29" s="52">
        <v>0</v>
      </c>
      <c r="N29" s="52"/>
      <c r="O29" s="52">
        <f t="shared" si="0"/>
        <v>1423853</v>
      </c>
      <c r="P29" s="52"/>
      <c r="Q29" s="60">
        <v>25945095</v>
      </c>
      <c r="R29" s="26"/>
      <c r="S29" s="26">
        <f>33105+200155+9475</f>
        <v>242735</v>
      </c>
    </row>
    <row r="30" spans="1:19" s="6" customFormat="1" ht="12.75" hidden="1">
      <c r="A30" s="67" t="s">
        <v>31</v>
      </c>
      <c r="B30" s="67"/>
      <c r="C30" s="60">
        <v>0</v>
      </c>
      <c r="D30" s="60"/>
      <c r="E30" s="60">
        <v>0</v>
      </c>
      <c r="F30" s="60"/>
      <c r="G30" s="60">
        <v>0</v>
      </c>
      <c r="H30" s="60"/>
      <c r="I30" s="60">
        <v>0</v>
      </c>
      <c r="J30" s="60"/>
      <c r="K30" s="60">
        <v>0</v>
      </c>
      <c r="L30" s="60"/>
      <c r="M30" s="52">
        <v>0</v>
      </c>
      <c r="N30" s="52"/>
      <c r="O30" s="52">
        <f t="shared" si="0"/>
        <v>0</v>
      </c>
      <c r="P30" s="52"/>
      <c r="Q30" s="60">
        <v>0</v>
      </c>
      <c r="R30" s="26"/>
      <c r="S30" s="26"/>
    </row>
    <row r="31" spans="1:19" s="6" customFormat="1" ht="12.75">
      <c r="A31" s="67" t="s">
        <v>32</v>
      </c>
      <c r="B31" s="67"/>
      <c r="C31" s="60">
        <v>38340</v>
      </c>
      <c r="D31" s="60"/>
      <c r="E31" s="60">
        <v>81682</v>
      </c>
      <c r="F31" s="60"/>
      <c r="G31" s="60">
        <v>0</v>
      </c>
      <c r="H31" s="60"/>
      <c r="I31" s="60">
        <v>0</v>
      </c>
      <c r="J31" s="60"/>
      <c r="K31" s="60">
        <v>37052</v>
      </c>
      <c r="L31" s="60"/>
      <c r="M31" s="52">
        <v>0</v>
      </c>
      <c r="N31" s="52"/>
      <c r="O31" s="52">
        <f t="shared" si="0"/>
        <v>68367</v>
      </c>
      <c r="P31" s="52"/>
      <c r="Q31" s="60">
        <v>225441</v>
      </c>
      <c r="R31" s="26"/>
      <c r="S31" s="26">
        <f>15+624+189</f>
        <v>828</v>
      </c>
    </row>
    <row r="32" spans="1:19" s="6" customFormat="1" ht="12.75">
      <c r="A32" s="67" t="s">
        <v>33</v>
      </c>
      <c r="B32" s="67"/>
      <c r="C32" s="60">
        <v>1580813</v>
      </c>
      <c r="D32" s="60"/>
      <c r="E32" s="60">
        <v>3959264</v>
      </c>
      <c r="F32" s="60"/>
      <c r="G32" s="60">
        <v>0</v>
      </c>
      <c r="H32" s="60"/>
      <c r="I32" s="60">
        <v>1629058</v>
      </c>
      <c r="J32" s="60"/>
      <c r="K32" s="60">
        <v>1403437</v>
      </c>
      <c r="L32" s="60"/>
      <c r="M32" s="52">
        <v>0</v>
      </c>
      <c r="N32" s="52"/>
      <c r="O32" s="52">
        <f t="shared" si="0"/>
        <v>1603589</v>
      </c>
      <c r="P32" s="52"/>
      <c r="Q32" s="60">
        <v>10176161</v>
      </c>
      <c r="R32" s="26"/>
      <c r="S32" s="26">
        <v>236808</v>
      </c>
    </row>
    <row r="33" spans="1:19" s="6" customFormat="1" ht="12.75">
      <c r="A33" s="67" t="s">
        <v>34</v>
      </c>
      <c r="B33" s="67"/>
      <c r="C33" s="60">
        <v>1625332</v>
      </c>
      <c r="D33" s="60"/>
      <c r="E33" s="60">
        <v>2877467</v>
      </c>
      <c r="F33" s="60"/>
      <c r="G33" s="60">
        <v>0</v>
      </c>
      <c r="H33" s="60"/>
      <c r="I33" s="60">
        <v>982726</v>
      </c>
      <c r="J33" s="60"/>
      <c r="K33" s="60">
        <v>1080674</v>
      </c>
      <c r="L33" s="60"/>
      <c r="M33" s="52">
        <v>0</v>
      </c>
      <c r="N33" s="52"/>
      <c r="O33" s="52">
        <f t="shared" si="0"/>
        <v>895905</v>
      </c>
      <c r="P33" s="52"/>
      <c r="Q33" s="60">
        <v>7462104</v>
      </c>
      <c r="R33" s="26"/>
      <c r="S33" s="26">
        <v>9818</v>
      </c>
    </row>
    <row r="34" spans="1:19" s="6" customFormat="1" ht="12.75">
      <c r="A34" s="67" t="s">
        <v>35</v>
      </c>
      <c r="B34" s="67"/>
      <c r="C34" s="60">
        <v>6773628</v>
      </c>
      <c r="D34" s="60"/>
      <c r="E34" s="60">
        <v>4712721</v>
      </c>
      <c r="F34" s="60"/>
      <c r="G34" s="60">
        <v>0</v>
      </c>
      <c r="H34" s="60"/>
      <c r="I34" s="60">
        <v>3220852</v>
      </c>
      <c r="J34" s="60"/>
      <c r="K34" s="60">
        <v>2244333</v>
      </c>
      <c r="L34" s="60"/>
      <c r="M34" s="52">
        <v>0</v>
      </c>
      <c r="N34" s="52"/>
      <c r="O34" s="52">
        <f t="shared" si="0"/>
        <v>1726147</v>
      </c>
      <c r="P34" s="52"/>
      <c r="Q34" s="60">
        <v>18677681</v>
      </c>
      <c r="R34" s="26"/>
      <c r="S34" s="26">
        <v>262045</v>
      </c>
    </row>
    <row r="35" spans="1:19" s="6" customFormat="1" ht="12.75">
      <c r="A35" s="67" t="s">
        <v>194</v>
      </c>
      <c r="B35" s="67"/>
      <c r="C35" s="60">
        <v>0</v>
      </c>
      <c r="D35" s="60"/>
      <c r="E35" s="60">
        <v>0</v>
      </c>
      <c r="F35" s="60"/>
      <c r="G35" s="60">
        <v>25179831</v>
      </c>
      <c r="H35" s="60"/>
      <c r="I35" s="60">
        <v>0</v>
      </c>
      <c r="J35" s="60"/>
      <c r="K35" s="60">
        <v>5138438</v>
      </c>
      <c r="L35" s="60"/>
      <c r="M35" s="52">
        <v>7597</v>
      </c>
      <c r="N35" s="52"/>
      <c r="O35" s="52">
        <f t="shared" si="0"/>
        <v>9141413</v>
      </c>
      <c r="P35" s="52"/>
      <c r="Q35" s="60">
        <v>39467279</v>
      </c>
      <c r="R35" s="26"/>
      <c r="S35" s="26">
        <v>660919</v>
      </c>
    </row>
    <row r="36" spans="1:19" s="6" customFormat="1" ht="12.75">
      <c r="A36" s="67" t="s">
        <v>36</v>
      </c>
      <c r="B36" s="67"/>
      <c r="C36" s="60">
        <v>1193855</v>
      </c>
      <c r="D36" s="60"/>
      <c r="E36" s="60">
        <v>4747108</v>
      </c>
      <c r="F36" s="60"/>
      <c r="G36" s="60">
        <v>0</v>
      </c>
      <c r="H36" s="60"/>
      <c r="I36" s="60">
        <v>1544150</v>
      </c>
      <c r="J36" s="60"/>
      <c r="K36" s="60">
        <v>1195350</v>
      </c>
      <c r="L36" s="60"/>
      <c r="M36" s="52">
        <v>0</v>
      </c>
      <c r="N36" s="52"/>
      <c r="O36" s="52">
        <f t="shared" si="0"/>
        <v>725346</v>
      </c>
      <c r="P36" s="52"/>
      <c r="Q36" s="60">
        <v>9405809</v>
      </c>
      <c r="R36" s="26"/>
      <c r="S36" s="26">
        <v>128591</v>
      </c>
    </row>
    <row r="37" spans="1:19" s="6" customFormat="1" ht="12.75">
      <c r="A37" s="67" t="s">
        <v>37</v>
      </c>
      <c r="B37" s="67"/>
      <c r="C37" s="60">
        <v>37063</v>
      </c>
      <c r="D37" s="60"/>
      <c r="E37" s="60">
        <v>61104</v>
      </c>
      <c r="F37" s="60"/>
      <c r="G37" s="60">
        <v>24916</v>
      </c>
      <c r="H37" s="60"/>
      <c r="I37" s="60">
        <v>57677</v>
      </c>
      <c r="J37" s="60"/>
      <c r="K37" s="60">
        <v>22976</v>
      </c>
      <c r="L37" s="60"/>
      <c r="M37" s="52">
        <v>0</v>
      </c>
      <c r="N37" s="52"/>
      <c r="O37" s="52">
        <f t="shared" si="0"/>
        <v>34513</v>
      </c>
      <c r="P37" s="52"/>
      <c r="Q37" s="60">
        <v>238249</v>
      </c>
      <c r="R37" s="26"/>
      <c r="S37" s="26">
        <v>1877</v>
      </c>
    </row>
    <row r="38" spans="1:19" s="6" customFormat="1" ht="12.75">
      <c r="A38" s="67" t="s">
        <v>38</v>
      </c>
      <c r="B38" s="67"/>
      <c r="C38" s="60">
        <v>1051628</v>
      </c>
      <c r="D38" s="60"/>
      <c r="E38" s="60">
        <v>4997705</v>
      </c>
      <c r="F38" s="60"/>
      <c r="G38" s="60">
        <v>0</v>
      </c>
      <c r="H38" s="60"/>
      <c r="I38" s="60">
        <v>3860904</v>
      </c>
      <c r="J38" s="60"/>
      <c r="K38" s="60">
        <v>2696754</v>
      </c>
      <c r="L38" s="60"/>
      <c r="M38" s="52">
        <v>0</v>
      </c>
      <c r="N38" s="52"/>
      <c r="O38" s="52">
        <f t="shared" si="0"/>
        <v>743010</v>
      </c>
      <c r="P38" s="52"/>
      <c r="Q38" s="60">
        <v>13350001</v>
      </c>
      <c r="R38" s="26"/>
      <c r="S38" s="26"/>
    </row>
    <row r="39" spans="1:19" s="6" customFormat="1" ht="12.75" hidden="1">
      <c r="A39" s="67" t="s">
        <v>177</v>
      </c>
      <c r="B39" s="67"/>
      <c r="C39" s="60">
        <v>0</v>
      </c>
      <c r="D39" s="60"/>
      <c r="E39" s="60">
        <v>0</v>
      </c>
      <c r="F39" s="60"/>
      <c r="G39" s="60">
        <v>0</v>
      </c>
      <c r="H39" s="60"/>
      <c r="I39" s="60">
        <v>0</v>
      </c>
      <c r="J39" s="60"/>
      <c r="K39" s="60">
        <v>0</v>
      </c>
      <c r="L39" s="60"/>
      <c r="M39" s="52">
        <v>0</v>
      </c>
      <c r="N39" s="52"/>
      <c r="O39" s="52">
        <f t="shared" si="0"/>
        <v>0</v>
      </c>
      <c r="P39" s="52"/>
      <c r="Q39" s="60">
        <v>0</v>
      </c>
      <c r="R39" s="26"/>
      <c r="S39" s="26"/>
    </row>
    <row r="40" spans="1:19" s="6" customFormat="1" ht="12.75" hidden="1">
      <c r="A40" s="67" t="s">
        <v>39</v>
      </c>
      <c r="B40" s="67"/>
      <c r="C40" s="60">
        <v>0</v>
      </c>
      <c r="D40" s="60"/>
      <c r="E40" s="60">
        <v>0</v>
      </c>
      <c r="F40" s="60"/>
      <c r="G40" s="60">
        <v>0</v>
      </c>
      <c r="H40" s="60"/>
      <c r="I40" s="60">
        <v>0</v>
      </c>
      <c r="J40" s="60"/>
      <c r="K40" s="60">
        <v>0</v>
      </c>
      <c r="L40" s="60"/>
      <c r="M40" s="52">
        <v>0</v>
      </c>
      <c r="N40" s="52"/>
      <c r="O40" s="52">
        <f t="shared" si="0"/>
        <v>0</v>
      </c>
      <c r="P40" s="52"/>
      <c r="Q40" s="60">
        <v>0</v>
      </c>
      <c r="R40" s="26"/>
      <c r="S40" s="26"/>
    </row>
    <row r="41" spans="1:19" s="6" customFormat="1" ht="12.75">
      <c r="A41" s="67" t="s">
        <v>40</v>
      </c>
      <c r="B41" s="67"/>
      <c r="C41" s="60">
        <v>2020881</v>
      </c>
      <c r="D41" s="60"/>
      <c r="E41" s="60">
        <v>2283112</v>
      </c>
      <c r="F41" s="60"/>
      <c r="G41" s="60">
        <v>0</v>
      </c>
      <c r="H41" s="60"/>
      <c r="I41" s="60">
        <v>966750</v>
      </c>
      <c r="J41" s="60"/>
      <c r="K41" s="60">
        <v>962986</v>
      </c>
      <c r="L41" s="60"/>
      <c r="M41" s="52">
        <v>0</v>
      </c>
      <c r="N41" s="52"/>
      <c r="O41" s="52">
        <f t="shared" si="0"/>
        <v>642650</v>
      </c>
      <c r="P41" s="52"/>
      <c r="Q41" s="60">
        <v>6876379</v>
      </c>
      <c r="R41" s="26"/>
      <c r="S41" s="26"/>
    </row>
    <row r="42" spans="1:19" s="6" customFormat="1" ht="12.75" hidden="1">
      <c r="A42" s="67" t="s">
        <v>41</v>
      </c>
      <c r="B42" s="67"/>
      <c r="C42" s="60">
        <v>0</v>
      </c>
      <c r="D42" s="60"/>
      <c r="E42" s="60">
        <v>0</v>
      </c>
      <c r="F42" s="60"/>
      <c r="G42" s="60">
        <v>0</v>
      </c>
      <c r="H42" s="60"/>
      <c r="I42" s="60">
        <v>0</v>
      </c>
      <c r="J42" s="60"/>
      <c r="K42" s="60">
        <v>0</v>
      </c>
      <c r="L42" s="60"/>
      <c r="M42" s="52">
        <v>0</v>
      </c>
      <c r="N42" s="52"/>
      <c r="O42" s="52">
        <f t="shared" si="0"/>
        <v>0</v>
      </c>
      <c r="P42" s="52"/>
      <c r="Q42" s="60">
        <v>0</v>
      </c>
      <c r="R42" s="26"/>
      <c r="S42" s="26"/>
    </row>
    <row r="43" spans="1:19" s="6" customFormat="1" ht="12.75">
      <c r="A43" s="67" t="s">
        <v>42</v>
      </c>
      <c r="B43" s="67"/>
      <c r="C43" s="60">
        <v>0</v>
      </c>
      <c r="D43" s="60"/>
      <c r="E43" s="60">
        <v>0</v>
      </c>
      <c r="F43" s="60"/>
      <c r="G43" s="60">
        <v>3651324</v>
      </c>
      <c r="H43" s="60"/>
      <c r="I43" s="60">
        <v>985088</v>
      </c>
      <c r="J43" s="60"/>
      <c r="K43" s="60">
        <v>802167</v>
      </c>
      <c r="L43" s="60"/>
      <c r="M43" s="52">
        <v>0</v>
      </c>
      <c r="N43" s="52"/>
      <c r="O43" s="52">
        <f t="shared" si="0"/>
        <v>332232</v>
      </c>
      <c r="P43" s="52"/>
      <c r="Q43" s="60">
        <v>5770811</v>
      </c>
      <c r="R43" s="26"/>
      <c r="S43" s="26"/>
    </row>
    <row r="44" spans="1:19" s="6" customFormat="1" ht="12.75">
      <c r="A44" s="67" t="s">
        <v>43</v>
      </c>
      <c r="B44" s="67"/>
      <c r="C44" s="60">
        <v>1911185</v>
      </c>
      <c r="D44" s="60"/>
      <c r="E44" s="60">
        <v>3569585</v>
      </c>
      <c r="F44" s="60"/>
      <c r="G44" s="60">
        <v>0</v>
      </c>
      <c r="H44" s="60"/>
      <c r="I44" s="60">
        <v>1555697</v>
      </c>
      <c r="J44" s="60"/>
      <c r="K44" s="60">
        <v>1117551</v>
      </c>
      <c r="L44" s="60"/>
      <c r="M44" s="52">
        <v>0</v>
      </c>
      <c r="N44" s="52"/>
      <c r="O44" s="52">
        <f t="shared" si="0"/>
        <v>919073</v>
      </c>
      <c r="P44" s="52"/>
      <c r="Q44" s="60">
        <v>9073091</v>
      </c>
      <c r="R44" s="26"/>
      <c r="S44" s="26"/>
    </row>
    <row r="45" spans="1:19" s="6" customFormat="1" ht="12.75">
      <c r="A45" s="67" t="s">
        <v>44</v>
      </c>
      <c r="B45" s="67"/>
      <c r="C45" s="60">
        <v>0</v>
      </c>
      <c r="D45" s="60"/>
      <c r="E45" s="60">
        <v>0</v>
      </c>
      <c r="F45" s="60"/>
      <c r="G45" s="60">
        <v>9347129</v>
      </c>
      <c r="H45" s="60"/>
      <c r="I45" s="60">
        <v>1188475</v>
      </c>
      <c r="J45" s="60"/>
      <c r="K45" s="60">
        <v>1209868</v>
      </c>
      <c r="L45" s="60"/>
      <c r="M45" s="52">
        <v>0</v>
      </c>
      <c r="N45" s="52"/>
      <c r="O45" s="52">
        <f t="shared" si="0"/>
        <v>1002329</v>
      </c>
      <c r="P45" s="52"/>
      <c r="Q45" s="60">
        <v>12747801</v>
      </c>
      <c r="R45" s="26"/>
      <c r="S45" s="26">
        <v>5000</v>
      </c>
    </row>
    <row r="46" spans="1:19" s="6" customFormat="1" ht="12.75" hidden="1">
      <c r="A46" s="67" t="s">
        <v>45</v>
      </c>
      <c r="B46" s="67"/>
      <c r="C46" s="60">
        <v>0</v>
      </c>
      <c r="D46" s="60"/>
      <c r="E46" s="60">
        <v>0</v>
      </c>
      <c r="F46" s="60"/>
      <c r="G46" s="60">
        <v>0</v>
      </c>
      <c r="H46" s="60"/>
      <c r="I46" s="60">
        <v>0</v>
      </c>
      <c r="J46" s="60"/>
      <c r="K46" s="60">
        <v>0</v>
      </c>
      <c r="L46" s="60"/>
      <c r="M46" s="52">
        <v>0</v>
      </c>
      <c r="N46" s="52"/>
      <c r="O46" s="52">
        <f t="shared" si="0"/>
        <v>0</v>
      </c>
      <c r="P46" s="52"/>
      <c r="Q46" s="60">
        <v>0</v>
      </c>
      <c r="R46" s="26"/>
      <c r="S46" s="26"/>
    </row>
    <row r="47" spans="1:19" s="6" customFormat="1" ht="12.75">
      <c r="A47" s="67" t="s">
        <v>46</v>
      </c>
      <c r="B47" s="67"/>
      <c r="C47" s="60">
        <v>1734045</v>
      </c>
      <c r="D47" s="60"/>
      <c r="E47" s="60">
        <v>0</v>
      </c>
      <c r="F47" s="60"/>
      <c r="G47" s="60">
        <v>4031020</v>
      </c>
      <c r="H47" s="60"/>
      <c r="I47" s="60">
        <v>2327390</v>
      </c>
      <c r="J47" s="60"/>
      <c r="K47" s="60">
        <v>2865211</v>
      </c>
      <c r="L47" s="60"/>
      <c r="M47" s="52">
        <v>0</v>
      </c>
      <c r="N47" s="52"/>
      <c r="O47" s="52">
        <f t="shared" si="0"/>
        <v>1030689</v>
      </c>
      <c r="P47" s="52"/>
      <c r="Q47" s="60">
        <v>11988355</v>
      </c>
      <c r="R47" s="26"/>
      <c r="S47" s="26">
        <f>263695+1500</f>
        <v>265195</v>
      </c>
    </row>
    <row r="48" spans="1:19" s="6" customFormat="1" ht="12.75">
      <c r="A48" s="67" t="s">
        <v>47</v>
      </c>
      <c r="B48" s="67"/>
      <c r="C48" s="60">
        <v>0</v>
      </c>
      <c r="D48" s="60"/>
      <c r="E48" s="60">
        <v>0</v>
      </c>
      <c r="F48" s="60"/>
      <c r="G48" s="60">
        <v>6718779</v>
      </c>
      <c r="H48" s="60"/>
      <c r="I48" s="60">
        <v>2001296</v>
      </c>
      <c r="J48" s="60"/>
      <c r="K48" s="60">
        <v>1524591</v>
      </c>
      <c r="L48" s="60"/>
      <c r="M48" s="52">
        <v>0</v>
      </c>
      <c r="N48" s="52"/>
      <c r="O48" s="52">
        <f t="shared" si="0"/>
        <v>726793</v>
      </c>
      <c r="P48" s="52"/>
      <c r="Q48" s="60">
        <v>10971459</v>
      </c>
      <c r="R48" s="26"/>
      <c r="S48" s="26">
        <v>223181</v>
      </c>
    </row>
    <row r="49" spans="1:19" s="6" customFormat="1" ht="12.75">
      <c r="A49" s="67" t="s">
        <v>48</v>
      </c>
      <c r="B49" s="67"/>
      <c r="C49" s="60">
        <v>10384496</v>
      </c>
      <c r="D49" s="60"/>
      <c r="E49" s="60">
        <v>14882380</v>
      </c>
      <c r="F49" s="60"/>
      <c r="G49" s="60">
        <v>4056295</v>
      </c>
      <c r="H49" s="60"/>
      <c r="I49" s="60">
        <v>0</v>
      </c>
      <c r="J49" s="60"/>
      <c r="K49" s="60">
        <v>5114672</v>
      </c>
      <c r="L49" s="60"/>
      <c r="M49" s="52">
        <v>0</v>
      </c>
      <c r="N49" s="52"/>
      <c r="O49" s="52">
        <f t="shared" si="0"/>
        <v>12461141</v>
      </c>
      <c r="P49" s="52"/>
      <c r="Q49" s="60">
        <v>46898984</v>
      </c>
      <c r="R49" s="26"/>
      <c r="S49" s="26">
        <f>57639+535516</f>
        <v>593155</v>
      </c>
    </row>
    <row r="50" spans="1:19" s="6" customFormat="1" ht="12.75" hidden="1">
      <c r="A50" s="67" t="s">
        <v>247</v>
      </c>
      <c r="B50" s="67"/>
      <c r="C50" s="60">
        <v>0</v>
      </c>
      <c r="D50" s="60"/>
      <c r="E50" s="60">
        <v>0</v>
      </c>
      <c r="F50" s="60"/>
      <c r="G50" s="60">
        <v>0</v>
      </c>
      <c r="H50" s="60"/>
      <c r="I50" s="60">
        <v>0</v>
      </c>
      <c r="J50" s="60"/>
      <c r="K50" s="60">
        <v>0</v>
      </c>
      <c r="L50" s="60"/>
      <c r="M50" s="52">
        <v>0</v>
      </c>
      <c r="N50" s="52"/>
      <c r="O50" s="52">
        <f t="shared" si="0"/>
        <v>0</v>
      </c>
      <c r="P50" s="52"/>
      <c r="Q50" s="60">
        <v>0</v>
      </c>
      <c r="R50" s="26"/>
      <c r="S50" s="26"/>
    </row>
    <row r="51" spans="1:19" s="6" customFormat="1" ht="12.75">
      <c r="A51" s="67" t="s">
        <v>49</v>
      </c>
      <c r="B51" s="67"/>
      <c r="C51" s="60">
        <v>0</v>
      </c>
      <c r="D51" s="60"/>
      <c r="E51" s="60">
        <v>0</v>
      </c>
      <c r="F51" s="60"/>
      <c r="G51" s="60">
        <v>21801168</v>
      </c>
      <c r="H51" s="60"/>
      <c r="I51" s="60">
        <v>5123205</v>
      </c>
      <c r="J51" s="60"/>
      <c r="K51" s="60">
        <v>4531756</v>
      </c>
      <c r="L51" s="60"/>
      <c r="M51" s="52">
        <v>0</v>
      </c>
      <c r="N51" s="52"/>
      <c r="O51" s="52">
        <f t="shared" si="0"/>
        <v>1862663</v>
      </c>
      <c r="P51" s="52"/>
      <c r="Q51" s="60">
        <v>33318792</v>
      </c>
      <c r="R51" s="26"/>
      <c r="S51" s="26">
        <v>1257607</v>
      </c>
    </row>
    <row r="52" spans="1:19" s="6" customFormat="1" ht="12.75">
      <c r="A52" s="67" t="s">
        <v>50</v>
      </c>
      <c r="B52" s="67"/>
      <c r="C52" s="60">
        <v>0</v>
      </c>
      <c r="D52" s="60"/>
      <c r="E52" s="60">
        <v>0</v>
      </c>
      <c r="F52" s="60"/>
      <c r="G52" s="60">
        <v>2296007</v>
      </c>
      <c r="H52" s="60"/>
      <c r="I52" s="60">
        <v>2331310</v>
      </c>
      <c r="J52" s="60"/>
      <c r="K52" s="60">
        <v>8582587</v>
      </c>
      <c r="L52" s="60"/>
      <c r="M52" s="52">
        <v>0</v>
      </c>
      <c r="N52" s="52"/>
      <c r="O52" s="52">
        <f t="shared" si="0"/>
        <v>1212448</v>
      </c>
      <c r="P52" s="52"/>
      <c r="Q52" s="60">
        <v>14422352</v>
      </c>
      <c r="R52" s="26"/>
      <c r="S52" s="26">
        <v>25000</v>
      </c>
    </row>
    <row r="53" spans="1:19" s="6" customFormat="1" ht="12.75">
      <c r="A53" s="67" t="s">
        <v>51</v>
      </c>
      <c r="B53" s="67"/>
      <c r="C53" s="60">
        <v>8870419</v>
      </c>
      <c r="D53" s="60"/>
      <c r="E53" s="60">
        <v>13745707</v>
      </c>
      <c r="F53" s="60"/>
      <c r="G53" s="60">
        <v>0</v>
      </c>
      <c r="H53" s="60"/>
      <c r="I53" s="60">
        <v>1589641</v>
      </c>
      <c r="J53" s="60"/>
      <c r="K53" s="60">
        <v>10508758</v>
      </c>
      <c r="L53" s="60"/>
      <c r="M53" s="52">
        <v>0</v>
      </c>
      <c r="N53" s="52"/>
      <c r="O53" s="52">
        <f t="shared" si="0"/>
        <v>15966783</v>
      </c>
      <c r="P53" s="52"/>
      <c r="Q53" s="60">
        <v>50681308</v>
      </c>
      <c r="R53" s="26"/>
      <c r="S53" s="26">
        <v>134605</v>
      </c>
    </row>
    <row r="54" spans="1:19" s="6" customFormat="1" ht="12.75">
      <c r="A54" s="67" t="s">
        <v>195</v>
      </c>
      <c r="B54" s="67"/>
      <c r="C54" s="60">
        <v>0</v>
      </c>
      <c r="D54" s="60"/>
      <c r="E54" s="60">
        <v>0</v>
      </c>
      <c r="F54" s="60"/>
      <c r="G54" s="60">
        <v>86932</v>
      </c>
      <c r="H54" s="60"/>
      <c r="I54" s="60">
        <v>13178</v>
      </c>
      <c r="J54" s="60"/>
      <c r="K54" s="60">
        <v>19398</v>
      </c>
      <c r="L54" s="60"/>
      <c r="M54" s="52">
        <v>25</v>
      </c>
      <c r="N54" s="52"/>
      <c r="O54" s="52">
        <f t="shared" si="0"/>
        <v>8835</v>
      </c>
      <c r="P54" s="52"/>
      <c r="Q54" s="60">
        <v>128368</v>
      </c>
      <c r="R54" s="26"/>
      <c r="S54" s="26">
        <v>52</v>
      </c>
    </row>
    <row r="55" spans="1:19" s="6" customFormat="1" ht="12.75" hidden="1">
      <c r="A55" s="67" t="s">
        <v>52</v>
      </c>
      <c r="B55" s="67"/>
      <c r="C55" s="60">
        <v>0</v>
      </c>
      <c r="D55" s="60"/>
      <c r="E55" s="60">
        <v>0</v>
      </c>
      <c r="F55" s="60"/>
      <c r="G55" s="60">
        <v>0</v>
      </c>
      <c r="H55" s="60"/>
      <c r="I55" s="60">
        <v>0</v>
      </c>
      <c r="J55" s="60"/>
      <c r="K55" s="60">
        <v>0</v>
      </c>
      <c r="L55" s="60"/>
      <c r="M55" s="52">
        <v>0</v>
      </c>
      <c r="N55" s="52"/>
      <c r="O55" s="52">
        <f t="shared" si="0"/>
        <v>0</v>
      </c>
      <c r="P55" s="52"/>
      <c r="Q55" s="60">
        <v>0</v>
      </c>
      <c r="R55" s="26"/>
      <c r="S55" s="26"/>
    </row>
    <row r="56" spans="1:19" s="6" customFormat="1" ht="12.75">
      <c r="A56" s="67" t="s">
        <v>53</v>
      </c>
      <c r="B56" s="67"/>
      <c r="C56" s="60">
        <v>5612279</v>
      </c>
      <c r="D56" s="60"/>
      <c r="E56" s="60">
        <v>26657490</v>
      </c>
      <c r="F56" s="60"/>
      <c r="G56" s="60">
        <v>0</v>
      </c>
      <c r="H56" s="60"/>
      <c r="I56" s="60">
        <v>5904031</v>
      </c>
      <c r="J56" s="60"/>
      <c r="K56" s="60">
        <v>7646292</v>
      </c>
      <c r="L56" s="60"/>
      <c r="M56" s="52">
        <v>0</v>
      </c>
      <c r="N56" s="52"/>
      <c r="O56" s="52">
        <f t="shared" si="0"/>
        <v>4234213</v>
      </c>
      <c r="P56" s="52"/>
      <c r="Q56" s="60">
        <v>50054305</v>
      </c>
      <c r="R56" s="26"/>
      <c r="S56" s="26">
        <v>131359</v>
      </c>
    </row>
    <row r="57" spans="1:19" s="6" customFormat="1" ht="12.75">
      <c r="A57" s="67" t="s">
        <v>54</v>
      </c>
      <c r="B57" s="67"/>
      <c r="C57" s="60">
        <v>2116918</v>
      </c>
      <c r="D57" s="60"/>
      <c r="E57" s="60">
        <v>6173346</v>
      </c>
      <c r="F57" s="60"/>
      <c r="G57" s="60">
        <v>0</v>
      </c>
      <c r="H57" s="60"/>
      <c r="I57" s="60">
        <v>3023346</v>
      </c>
      <c r="J57" s="60"/>
      <c r="K57" s="60">
        <v>1928863</v>
      </c>
      <c r="L57" s="60"/>
      <c r="M57" s="52">
        <v>0</v>
      </c>
      <c r="N57" s="52"/>
      <c r="O57" s="52">
        <f t="shared" si="0"/>
        <v>1273824</v>
      </c>
      <c r="P57" s="52"/>
      <c r="Q57" s="60">
        <v>14516297</v>
      </c>
      <c r="R57" s="26"/>
      <c r="S57" s="26">
        <f>105828+28227</f>
        <v>134055</v>
      </c>
    </row>
    <row r="58" spans="1:19" s="6" customFormat="1" ht="12.75">
      <c r="A58" s="67" t="s">
        <v>55</v>
      </c>
      <c r="B58" s="67"/>
      <c r="C58" s="60">
        <v>8703095</v>
      </c>
      <c r="D58" s="60"/>
      <c r="E58" s="60">
        <v>8465661</v>
      </c>
      <c r="F58" s="60"/>
      <c r="G58" s="60">
        <v>0</v>
      </c>
      <c r="H58" s="60"/>
      <c r="I58" s="60">
        <v>10650464</v>
      </c>
      <c r="J58" s="60"/>
      <c r="K58" s="60">
        <v>5921977</v>
      </c>
      <c r="L58" s="60"/>
      <c r="M58" s="52">
        <v>0</v>
      </c>
      <c r="N58" s="52"/>
      <c r="O58" s="52">
        <f t="shared" si="0"/>
        <v>2645752</v>
      </c>
      <c r="P58" s="52"/>
      <c r="Q58" s="60">
        <v>36386949</v>
      </c>
      <c r="R58" s="26"/>
      <c r="S58" s="26">
        <f>30958+12401</f>
        <v>43359</v>
      </c>
    </row>
    <row r="59" spans="1:19" s="6" customFormat="1" ht="12.75" hidden="1">
      <c r="A59" s="67" t="s">
        <v>180</v>
      </c>
      <c r="B59" s="67"/>
      <c r="C59" s="60">
        <v>0</v>
      </c>
      <c r="D59" s="60"/>
      <c r="E59" s="60">
        <v>0</v>
      </c>
      <c r="F59" s="60"/>
      <c r="G59" s="60">
        <v>0</v>
      </c>
      <c r="H59" s="60"/>
      <c r="I59" s="60">
        <v>0</v>
      </c>
      <c r="J59" s="60"/>
      <c r="K59" s="60">
        <v>0</v>
      </c>
      <c r="L59" s="60"/>
      <c r="M59" s="52">
        <v>0</v>
      </c>
      <c r="N59" s="52"/>
      <c r="O59" s="52">
        <f t="shared" si="0"/>
        <v>0</v>
      </c>
      <c r="P59" s="52"/>
      <c r="Q59" s="60">
        <v>0</v>
      </c>
      <c r="R59" s="26"/>
      <c r="S59" s="26"/>
    </row>
    <row r="60" spans="1:19" s="6" customFormat="1" ht="12.75" hidden="1">
      <c r="A60" s="67" t="s">
        <v>56</v>
      </c>
      <c r="B60" s="67"/>
      <c r="C60" s="60">
        <v>0</v>
      </c>
      <c r="D60" s="60"/>
      <c r="E60" s="60">
        <v>0</v>
      </c>
      <c r="F60" s="60"/>
      <c r="G60" s="60">
        <v>0</v>
      </c>
      <c r="H60" s="60"/>
      <c r="I60" s="60">
        <v>0</v>
      </c>
      <c r="J60" s="60"/>
      <c r="K60" s="60">
        <v>0</v>
      </c>
      <c r="L60" s="60"/>
      <c r="M60" s="52">
        <v>0</v>
      </c>
      <c r="N60" s="52"/>
      <c r="O60" s="52">
        <f t="shared" si="0"/>
        <v>0</v>
      </c>
      <c r="P60" s="52"/>
      <c r="Q60" s="60">
        <v>0</v>
      </c>
      <c r="R60" s="26"/>
      <c r="S60" s="26"/>
    </row>
    <row r="61" spans="1:19" s="6" customFormat="1" ht="12.75">
      <c r="A61" s="67" t="s">
        <v>57</v>
      </c>
      <c r="B61" s="67"/>
      <c r="C61" s="60">
        <v>0</v>
      </c>
      <c r="D61" s="60"/>
      <c r="E61" s="60">
        <v>0</v>
      </c>
      <c r="F61" s="60"/>
      <c r="G61" s="60">
        <v>11179290</v>
      </c>
      <c r="H61" s="60"/>
      <c r="I61" s="60">
        <v>4799896</v>
      </c>
      <c r="J61" s="60"/>
      <c r="K61" s="60">
        <v>2613275</v>
      </c>
      <c r="L61" s="60"/>
      <c r="M61" s="52">
        <v>0</v>
      </c>
      <c r="N61" s="52"/>
      <c r="O61" s="52">
        <f t="shared" si="0"/>
        <v>3110149</v>
      </c>
      <c r="P61" s="52"/>
      <c r="Q61" s="60">
        <v>21702610</v>
      </c>
      <c r="R61" s="26"/>
      <c r="S61" s="26">
        <v>271451</v>
      </c>
    </row>
    <row r="62" spans="1:19" s="6" customFormat="1" ht="12.75">
      <c r="A62" s="67" t="s">
        <v>58</v>
      </c>
      <c r="B62" s="67"/>
      <c r="C62" s="60">
        <v>0</v>
      </c>
      <c r="D62" s="60"/>
      <c r="E62" s="60">
        <v>0</v>
      </c>
      <c r="F62" s="60"/>
      <c r="G62" s="60">
        <v>1850270</v>
      </c>
      <c r="H62" s="60"/>
      <c r="I62" s="60">
        <v>371059</v>
      </c>
      <c r="J62" s="60"/>
      <c r="K62" s="60">
        <v>333984</v>
      </c>
      <c r="L62" s="60"/>
      <c r="M62" s="52">
        <v>0</v>
      </c>
      <c r="N62" s="52"/>
      <c r="O62" s="52">
        <f t="shared" si="0"/>
        <v>830412</v>
      </c>
      <c r="P62" s="52"/>
      <c r="Q62" s="60">
        <v>3385725</v>
      </c>
      <c r="R62" s="26"/>
      <c r="S62" s="26">
        <v>214734</v>
      </c>
    </row>
    <row r="63" spans="1:19" s="6" customFormat="1" ht="12.75">
      <c r="A63" s="67" t="s">
        <v>59</v>
      </c>
      <c r="B63" s="67"/>
      <c r="C63" s="60">
        <v>14960376</v>
      </c>
      <c r="D63" s="60"/>
      <c r="E63" s="60">
        <v>64564376</v>
      </c>
      <c r="F63" s="60"/>
      <c r="G63" s="60">
        <v>1989853</v>
      </c>
      <c r="H63" s="60"/>
      <c r="I63" s="60">
        <v>0</v>
      </c>
      <c r="J63" s="60"/>
      <c r="K63" s="60">
        <v>21684249</v>
      </c>
      <c r="L63" s="60"/>
      <c r="M63" s="52">
        <v>0</v>
      </c>
      <c r="N63" s="52"/>
      <c r="O63" s="52">
        <f t="shared" si="0"/>
        <v>31406573</v>
      </c>
      <c r="P63" s="52"/>
      <c r="Q63" s="60">
        <v>134605427</v>
      </c>
      <c r="R63" s="26"/>
      <c r="S63" s="26">
        <f>100164+230995+3899184</f>
        <v>4230343</v>
      </c>
    </row>
    <row r="64" spans="1:19" s="6" customFormat="1" ht="12.75" hidden="1">
      <c r="A64" s="67" t="s">
        <v>60</v>
      </c>
      <c r="B64" s="67"/>
      <c r="C64" s="60">
        <v>0</v>
      </c>
      <c r="D64" s="60"/>
      <c r="E64" s="60">
        <v>0</v>
      </c>
      <c r="F64" s="60"/>
      <c r="G64" s="60">
        <v>0</v>
      </c>
      <c r="H64" s="60"/>
      <c r="I64" s="60">
        <v>0</v>
      </c>
      <c r="J64" s="60"/>
      <c r="K64" s="60">
        <v>0</v>
      </c>
      <c r="L64" s="60"/>
      <c r="M64" s="52">
        <v>0</v>
      </c>
      <c r="N64" s="52"/>
      <c r="O64" s="52">
        <f t="shared" si="0"/>
        <v>0</v>
      </c>
      <c r="P64" s="52"/>
      <c r="Q64" s="60">
        <v>0</v>
      </c>
      <c r="R64" s="26"/>
      <c r="S64" s="26"/>
    </row>
    <row r="65" spans="1:19" s="6" customFormat="1" ht="12.75">
      <c r="A65" s="67" t="s">
        <v>98</v>
      </c>
      <c r="B65" s="67"/>
      <c r="C65" s="60">
        <v>1924062</v>
      </c>
      <c r="D65" s="60"/>
      <c r="E65" s="60">
        <v>2424706</v>
      </c>
      <c r="F65" s="60"/>
      <c r="G65" s="60">
        <v>0</v>
      </c>
      <c r="H65" s="60"/>
      <c r="I65" s="60">
        <v>1749719</v>
      </c>
      <c r="J65" s="60"/>
      <c r="K65" s="60">
        <v>869285</v>
      </c>
      <c r="L65" s="60"/>
      <c r="M65" s="52">
        <v>0</v>
      </c>
      <c r="N65" s="52"/>
      <c r="O65" s="52">
        <f t="shared" si="0"/>
        <v>1324215</v>
      </c>
      <c r="P65" s="52"/>
      <c r="Q65" s="60">
        <v>8291987</v>
      </c>
      <c r="R65" s="26"/>
      <c r="S65" s="26">
        <f>15609+21277</f>
        <v>36886</v>
      </c>
    </row>
    <row r="66" spans="1:19" s="6" customFormat="1" ht="12.75">
      <c r="A66" s="67" t="s">
        <v>62</v>
      </c>
      <c r="B66" s="67"/>
      <c r="C66" s="60">
        <v>2404827</v>
      </c>
      <c r="D66" s="60"/>
      <c r="E66" s="60">
        <v>13733258</v>
      </c>
      <c r="F66" s="60"/>
      <c r="G66" s="60">
        <v>0</v>
      </c>
      <c r="H66" s="60"/>
      <c r="I66" s="60">
        <v>4089909</v>
      </c>
      <c r="J66" s="60"/>
      <c r="K66" s="60">
        <v>2367554</v>
      </c>
      <c r="L66" s="60"/>
      <c r="M66" s="52">
        <v>0</v>
      </c>
      <c r="N66" s="52"/>
      <c r="O66" s="52">
        <f t="shared" si="0"/>
        <v>1654792</v>
      </c>
      <c r="P66" s="52"/>
      <c r="Q66" s="60">
        <v>24250340</v>
      </c>
      <c r="R66" s="26"/>
      <c r="S66" s="26">
        <f>5685+25017+585715</f>
        <v>616417</v>
      </c>
    </row>
    <row r="67" spans="1:19" s="6" customFormat="1" ht="12.75">
      <c r="A67" s="67" t="s">
        <v>63</v>
      </c>
      <c r="B67" s="67"/>
      <c r="C67" s="60">
        <v>502204</v>
      </c>
      <c r="D67" s="60"/>
      <c r="E67" s="60">
        <v>919947</v>
      </c>
      <c r="F67" s="60"/>
      <c r="G67" s="60">
        <v>0</v>
      </c>
      <c r="H67" s="60"/>
      <c r="I67" s="60">
        <v>710953</v>
      </c>
      <c r="J67" s="60"/>
      <c r="K67" s="60">
        <v>393824</v>
      </c>
      <c r="L67" s="60"/>
      <c r="M67" s="52">
        <v>0</v>
      </c>
      <c r="N67" s="52"/>
      <c r="O67" s="52">
        <f t="shared" si="0"/>
        <v>340753</v>
      </c>
      <c r="P67" s="52"/>
      <c r="Q67" s="60">
        <v>2867681</v>
      </c>
      <c r="R67" s="26"/>
      <c r="S67" s="26">
        <f>25324</f>
        <v>25324</v>
      </c>
    </row>
    <row r="68" spans="1:19" s="6" customFormat="1" ht="12.75">
      <c r="A68" s="67" t="s">
        <v>64</v>
      </c>
      <c r="B68" s="67"/>
      <c r="C68" s="60">
        <v>2664207</v>
      </c>
      <c r="D68" s="60"/>
      <c r="E68" s="60">
        <v>4643312</v>
      </c>
      <c r="F68" s="60"/>
      <c r="G68" s="60">
        <v>0</v>
      </c>
      <c r="H68" s="60"/>
      <c r="I68" s="60">
        <v>2491712</v>
      </c>
      <c r="J68" s="60"/>
      <c r="K68" s="60">
        <v>1391010</v>
      </c>
      <c r="L68" s="60"/>
      <c r="M68" s="52">
        <v>0</v>
      </c>
      <c r="N68" s="52"/>
      <c r="O68" s="52">
        <f t="shared" si="0"/>
        <v>1325359</v>
      </c>
      <c r="P68" s="52"/>
      <c r="Q68" s="60">
        <v>12515600</v>
      </c>
      <c r="R68" s="26"/>
      <c r="S68" s="26">
        <v>0</v>
      </c>
    </row>
    <row r="69" spans="1:19" s="6" customFormat="1" ht="12.75" hidden="1">
      <c r="A69" s="67" t="s">
        <v>137</v>
      </c>
      <c r="B69" s="67"/>
      <c r="C69" s="60">
        <v>0</v>
      </c>
      <c r="D69" s="60"/>
      <c r="E69" s="60">
        <v>0</v>
      </c>
      <c r="F69" s="60"/>
      <c r="G69" s="60">
        <v>0</v>
      </c>
      <c r="H69" s="60"/>
      <c r="I69" s="60">
        <v>0</v>
      </c>
      <c r="J69" s="60"/>
      <c r="K69" s="60">
        <v>0</v>
      </c>
      <c r="L69" s="60"/>
      <c r="M69" s="52">
        <v>0</v>
      </c>
      <c r="N69" s="52"/>
      <c r="O69" s="52">
        <f t="shared" si="0"/>
        <v>0</v>
      </c>
      <c r="P69" s="52"/>
      <c r="Q69" s="60">
        <v>0</v>
      </c>
      <c r="R69" s="26"/>
      <c r="S69" s="26"/>
    </row>
    <row r="70" spans="1:19" s="6" customFormat="1" ht="12.75" hidden="1">
      <c r="A70" s="67" t="s">
        <v>65</v>
      </c>
      <c r="B70" s="67"/>
      <c r="C70" s="60">
        <v>0</v>
      </c>
      <c r="D70" s="60"/>
      <c r="E70" s="60">
        <v>0</v>
      </c>
      <c r="F70" s="60"/>
      <c r="G70" s="60">
        <v>0</v>
      </c>
      <c r="H70" s="60"/>
      <c r="I70" s="60">
        <v>0</v>
      </c>
      <c r="J70" s="60"/>
      <c r="K70" s="60">
        <v>0</v>
      </c>
      <c r="L70" s="60"/>
      <c r="M70" s="52">
        <v>0</v>
      </c>
      <c r="N70" s="52"/>
      <c r="O70" s="52">
        <f t="shared" si="0"/>
        <v>0</v>
      </c>
      <c r="P70" s="52"/>
      <c r="Q70" s="60">
        <v>0</v>
      </c>
      <c r="R70" s="26"/>
      <c r="S70" s="26"/>
    </row>
    <row r="71" spans="1:19" s="6" customFormat="1" ht="12.75">
      <c r="A71" s="67" t="s">
        <v>66</v>
      </c>
      <c r="B71" s="67"/>
      <c r="C71" s="60">
        <v>2337490</v>
      </c>
      <c r="D71" s="60"/>
      <c r="E71" s="60">
        <v>5114304</v>
      </c>
      <c r="F71" s="60"/>
      <c r="G71" s="60">
        <v>0</v>
      </c>
      <c r="H71" s="60"/>
      <c r="I71" s="60">
        <v>1982236</v>
      </c>
      <c r="J71" s="60"/>
      <c r="K71" s="60">
        <v>1189394</v>
      </c>
      <c r="L71" s="60"/>
      <c r="M71" s="52">
        <v>0</v>
      </c>
      <c r="N71" s="52"/>
      <c r="O71" s="52">
        <f aca="true" t="shared" si="1" ref="O71:O93">Q71-C71-E71-G71-I71-K71-M71</f>
        <v>1246676</v>
      </c>
      <c r="P71" s="52"/>
      <c r="Q71" s="60">
        <v>11870100</v>
      </c>
      <c r="R71" s="26"/>
      <c r="S71" s="26">
        <v>44457</v>
      </c>
    </row>
    <row r="72" spans="1:19" s="6" customFormat="1" ht="12.75">
      <c r="A72" s="67" t="s">
        <v>67</v>
      </c>
      <c r="B72" s="67"/>
      <c r="C72" s="60">
        <v>0</v>
      </c>
      <c r="D72" s="60"/>
      <c r="E72" s="60">
        <v>0</v>
      </c>
      <c r="F72" s="60"/>
      <c r="G72" s="60">
        <v>3767919</v>
      </c>
      <c r="H72" s="60"/>
      <c r="I72" s="60">
        <v>0</v>
      </c>
      <c r="J72" s="60"/>
      <c r="K72" s="60">
        <v>378951</v>
      </c>
      <c r="L72" s="60"/>
      <c r="M72" s="52">
        <v>0</v>
      </c>
      <c r="N72" s="52"/>
      <c r="O72" s="52">
        <f t="shared" si="1"/>
        <v>1171213</v>
      </c>
      <c r="P72" s="52"/>
      <c r="Q72" s="60">
        <v>5318083</v>
      </c>
      <c r="R72" s="26"/>
      <c r="S72" s="26">
        <v>25696</v>
      </c>
    </row>
    <row r="73" spans="1:19" s="6" customFormat="1" ht="12.75">
      <c r="A73" s="67" t="s">
        <v>68</v>
      </c>
      <c r="B73" s="67"/>
      <c r="C73" s="60">
        <v>5409497</v>
      </c>
      <c r="D73" s="60"/>
      <c r="E73" s="60">
        <v>13178507</v>
      </c>
      <c r="F73" s="60"/>
      <c r="G73" s="60">
        <v>0</v>
      </c>
      <c r="H73" s="60"/>
      <c r="I73" s="60">
        <v>5591935</v>
      </c>
      <c r="J73" s="60"/>
      <c r="K73" s="60">
        <v>4027637</v>
      </c>
      <c r="L73" s="60"/>
      <c r="M73" s="52">
        <v>0</v>
      </c>
      <c r="N73" s="52"/>
      <c r="O73" s="52">
        <f t="shared" si="1"/>
        <v>4164338</v>
      </c>
      <c r="P73" s="52"/>
      <c r="Q73" s="60">
        <v>32371914</v>
      </c>
      <c r="R73" s="26"/>
      <c r="S73" s="26">
        <f>1237232+68238</f>
        <v>1305470</v>
      </c>
    </row>
    <row r="74" spans="1:19" s="6" customFormat="1" ht="12.75">
      <c r="A74" s="67" t="s">
        <v>69</v>
      </c>
      <c r="B74" s="67"/>
      <c r="C74" s="60">
        <v>1554639</v>
      </c>
      <c r="D74" s="60"/>
      <c r="E74" s="60">
        <v>4002410</v>
      </c>
      <c r="F74" s="60"/>
      <c r="G74" s="60">
        <v>0</v>
      </c>
      <c r="H74" s="60"/>
      <c r="I74" s="60">
        <v>2026730</v>
      </c>
      <c r="J74" s="60"/>
      <c r="K74" s="60">
        <v>1147196</v>
      </c>
      <c r="L74" s="60"/>
      <c r="M74" s="52">
        <v>0</v>
      </c>
      <c r="N74" s="52"/>
      <c r="O74" s="52">
        <f t="shared" si="1"/>
        <v>573503</v>
      </c>
      <c r="P74" s="52"/>
      <c r="Q74" s="60">
        <v>9304478</v>
      </c>
      <c r="R74" s="26"/>
      <c r="S74" s="26">
        <v>0</v>
      </c>
    </row>
    <row r="75" spans="1:19" s="6" customFormat="1" ht="12.75" hidden="1">
      <c r="A75" s="67" t="s">
        <v>185</v>
      </c>
      <c r="B75" s="67"/>
      <c r="C75" s="60">
        <v>0</v>
      </c>
      <c r="D75" s="60"/>
      <c r="E75" s="60">
        <v>0</v>
      </c>
      <c r="F75" s="60"/>
      <c r="G75" s="60">
        <v>0</v>
      </c>
      <c r="H75" s="60"/>
      <c r="I75" s="60">
        <v>0</v>
      </c>
      <c r="J75" s="60"/>
      <c r="K75" s="60">
        <v>0</v>
      </c>
      <c r="L75" s="60"/>
      <c r="M75" s="52">
        <v>0</v>
      </c>
      <c r="N75" s="52"/>
      <c r="O75" s="52">
        <f t="shared" si="1"/>
        <v>0</v>
      </c>
      <c r="P75" s="52"/>
      <c r="Q75" s="60">
        <v>0</v>
      </c>
      <c r="R75" s="26"/>
      <c r="S75" s="26"/>
    </row>
    <row r="76" spans="1:19" s="6" customFormat="1" ht="12.75">
      <c r="A76" s="67" t="s">
        <v>190</v>
      </c>
      <c r="B76" s="67"/>
      <c r="C76" s="60">
        <v>40529</v>
      </c>
      <c r="D76" s="60"/>
      <c r="E76" s="60">
        <v>16948298</v>
      </c>
      <c r="F76" s="60"/>
      <c r="G76" s="60">
        <v>0</v>
      </c>
      <c r="H76" s="60"/>
      <c r="I76" s="60">
        <v>3898813</v>
      </c>
      <c r="J76" s="60"/>
      <c r="K76" s="60">
        <v>4366923</v>
      </c>
      <c r="L76" s="60"/>
      <c r="M76" s="52">
        <v>0</v>
      </c>
      <c r="N76" s="52"/>
      <c r="O76" s="52">
        <f t="shared" si="1"/>
        <v>1562170</v>
      </c>
      <c r="P76" s="52"/>
      <c r="Q76" s="60">
        <v>26816733</v>
      </c>
      <c r="R76" s="26"/>
      <c r="S76" s="26">
        <v>21732</v>
      </c>
    </row>
    <row r="77" spans="1:19" s="6" customFormat="1" ht="12.75">
      <c r="A77" s="67" t="s">
        <v>70</v>
      </c>
      <c r="B77" s="67"/>
      <c r="C77" s="60">
        <v>1536837</v>
      </c>
      <c r="D77" s="60"/>
      <c r="E77" s="60">
        <v>10235263</v>
      </c>
      <c r="F77" s="60"/>
      <c r="G77" s="60">
        <v>0</v>
      </c>
      <c r="H77" s="60"/>
      <c r="I77" s="60">
        <v>1516261</v>
      </c>
      <c r="J77" s="60"/>
      <c r="K77" s="60">
        <v>1846238</v>
      </c>
      <c r="L77" s="60"/>
      <c r="M77" s="52">
        <v>0</v>
      </c>
      <c r="N77" s="52"/>
      <c r="O77" s="52">
        <f t="shared" si="1"/>
        <v>1725182</v>
      </c>
      <c r="P77" s="52"/>
      <c r="Q77" s="60">
        <v>16859781</v>
      </c>
      <c r="R77" s="26"/>
      <c r="S77" s="26">
        <f>14780+51064</f>
        <v>65844</v>
      </c>
    </row>
    <row r="78" spans="1:19" s="6" customFormat="1" ht="12.75">
      <c r="A78" s="67" t="s">
        <v>99</v>
      </c>
      <c r="B78" s="67"/>
      <c r="C78" s="60">
        <v>2474419</v>
      </c>
      <c r="D78" s="60"/>
      <c r="E78" s="60">
        <v>5915321</v>
      </c>
      <c r="F78" s="60"/>
      <c r="G78" s="60">
        <v>0</v>
      </c>
      <c r="H78" s="60"/>
      <c r="I78" s="60">
        <v>2478812</v>
      </c>
      <c r="J78" s="60"/>
      <c r="K78" s="60">
        <v>2091131</v>
      </c>
      <c r="L78" s="60"/>
      <c r="M78" s="52">
        <v>0</v>
      </c>
      <c r="N78" s="52"/>
      <c r="O78" s="52">
        <f t="shared" si="1"/>
        <v>1867374</v>
      </c>
      <c r="P78" s="52"/>
      <c r="Q78" s="60">
        <v>14827057</v>
      </c>
      <c r="R78" s="26"/>
      <c r="S78" s="26">
        <v>228025</v>
      </c>
    </row>
    <row r="79" spans="1:19" s="6" customFormat="1" ht="12.75">
      <c r="A79" s="67" t="s">
        <v>71</v>
      </c>
      <c r="B79" s="67"/>
      <c r="C79" s="60">
        <v>1435503</v>
      </c>
      <c r="D79" s="60"/>
      <c r="E79" s="60">
        <v>8250582</v>
      </c>
      <c r="F79" s="60"/>
      <c r="G79" s="60">
        <v>0</v>
      </c>
      <c r="H79" s="60"/>
      <c r="I79" s="60">
        <v>1642448</v>
      </c>
      <c r="J79" s="60"/>
      <c r="K79" s="60">
        <v>1362772</v>
      </c>
      <c r="L79" s="60"/>
      <c r="M79" s="52">
        <v>0</v>
      </c>
      <c r="N79" s="52"/>
      <c r="O79" s="52">
        <f t="shared" si="1"/>
        <v>1009832</v>
      </c>
      <c r="P79" s="52"/>
      <c r="Q79" s="60">
        <v>13701137</v>
      </c>
      <c r="R79" s="26"/>
      <c r="S79" s="26">
        <f>517000+253545+338086</f>
        <v>1108631</v>
      </c>
    </row>
    <row r="80" spans="1:19" s="6" customFormat="1" ht="12.75">
      <c r="A80" s="67" t="s">
        <v>72</v>
      </c>
      <c r="B80" s="67"/>
      <c r="C80" s="60">
        <v>1948562</v>
      </c>
      <c r="D80" s="60"/>
      <c r="E80" s="60">
        <v>5591033</v>
      </c>
      <c r="F80" s="60"/>
      <c r="G80" s="60">
        <v>0</v>
      </c>
      <c r="H80" s="60"/>
      <c r="I80" s="60">
        <v>1708517</v>
      </c>
      <c r="J80" s="60"/>
      <c r="K80" s="60">
        <v>3308316</v>
      </c>
      <c r="L80" s="60"/>
      <c r="M80" s="52">
        <v>0</v>
      </c>
      <c r="N80" s="52"/>
      <c r="O80" s="52">
        <f t="shared" si="1"/>
        <v>832170</v>
      </c>
      <c r="P80" s="52"/>
      <c r="Q80" s="60">
        <v>13388598</v>
      </c>
      <c r="R80" s="26"/>
      <c r="S80" s="26">
        <v>729</v>
      </c>
    </row>
    <row r="81" spans="1:19" s="6" customFormat="1" ht="12.75">
      <c r="A81" s="67" t="s">
        <v>73</v>
      </c>
      <c r="B81" s="67"/>
      <c r="C81" s="60">
        <v>2121276</v>
      </c>
      <c r="D81" s="60"/>
      <c r="E81" s="60">
        <v>3752744</v>
      </c>
      <c r="F81" s="60"/>
      <c r="G81" s="60">
        <v>0</v>
      </c>
      <c r="H81" s="60"/>
      <c r="I81" s="60">
        <v>2719952</v>
      </c>
      <c r="J81" s="60"/>
      <c r="K81" s="60">
        <v>2053342</v>
      </c>
      <c r="L81" s="60"/>
      <c r="M81" s="52">
        <v>0</v>
      </c>
      <c r="N81" s="52"/>
      <c r="O81" s="52">
        <f t="shared" si="1"/>
        <v>601957</v>
      </c>
      <c r="P81" s="52"/>
      <c r="Q81" s="60">
        <v>11249271</v>
      </c>
      <c r="R81" s="26"/>
      <c r="S81" s="26">
        <v>350348</v>
      </c>
    </row>
    <row r="82" spans="1:19" s="6" customFormat="1" ht="12.75">
      <c r="A82" s="67" t="s">
        <v>74</v>
      </c>
      <c r="B82" s="67"/>
      <c r="C82" s="60">
        <v>12633158</v>
      </c>
      <c r="D82" s="60"/>
      <c r="E82" s="60">
        <v>4371631</v>
      </c>
      <c r="F82" s="60"/>
      <c r="G82" s="60">
        <v>0</v>
      </c>
      <c r="H82" s="60"/>
      <c r="I82" s="60">
        <v>14670171</v>
      </c>
      <c r="J82" s="60"/>
      <c r="K82" s="60">
        <v>9003657</v>
      </c>
      <c r="L82" s="60"/>
      <c r="M82" s="52">
        <v>0</v>
      </c>
      <c r="N82" s="52"/>
      <c r="O82" s="52">
        <f t="shared" si="1"/>
        <v>4767386</v>
      </c>
      <c r="P82" s="52"/>
      <c r="Q82" s="60">
        <v>45446003</v>
      </c>
      <c r="R82" s="26"/>
      <c r="S82" s="26">
        <f>8254+252837</f>
        <v>261091</v>
      </c>
    </row>
    <row r="83" spans="1:19" s="6" customFormat="1" ht="12.75">
      <c r="A83" s="67" t="s">
        <v>75</v>
      </c>
      <c r="B83" s="67"/>
      <c r="C83" s="60">
        <v>17248616</v>
      </c>
      <c r="D83" s="60"/>
      <c r="E83" s="60">
        <v>33994904</v>
      </c>
      <c r="F83" s="60"/>
      <c r="G83" s="60">
        <v>8445824</v>
      </c>
      <c r="H83" s="60"/>
      <c r="I83" s="60">
        <v>23041130</v>
      </c>
      <c r="J83" s="60"/>
      <c r="K83" s="60">
        <v>17761454</v>
      </c>
      <c r="L83" s="60"/>
      <c r="M83" s="52">
        <v>0</v>
      </c>
      <c r="N83" s="52"/>
      <c r="O83" s="52">
        <f t="shared" si="1"/>
        <v>7876483</v>
      </c>
      <c r="P83" s="52"/>
      <c r="Q83" s="60">
        <v>108368411</v>
      </c>
      <c r="R83" s="26"/>
      <c r="S83" s="26">
        <f>685625+2325</f>
        <v>687950</v>
      </c>
    </row>
    <row r="84" spans="1:19" s="6" customFormat="1" ht="12.75">
      <c r="A84" s="67" t="s">
        <v>76</v>
      </c>
      <c r="B84" s="67"/>
      <c r="C84" s="60">
        <v>6863382</v>
      </c>
      <c r="D84" s="60"/>
      <c r="E84" s="60">
        <v>12589055</v>
      </c>
      <c r="F84" s="60"/>
      <c r="G84" s="60">
        <v>0</v>
      </c>
      <c r="H84" s="60"/>
      <c r="I84" s="60">
        <v>3432169</v>
      </c>
      <c r="J84" s="60"/>
      <c r="K84" s="60">
        <v>7535598</v>
      </c>
      <c r="L84" s="60"/>
      <c r="M84" s="52">
        <v>0</v>
      </c>
      <c r="N84" s="52"/>
      <c r="O84" s="52">
        <f t="shared" si="1"/>
        <v>6842168</v>
      </c>
      <c r="P84" s="52"/>
      <c r="Q84" s="60">
        <v>37262372</v>
      </c>
      <c r="R84" s="26"/>
      <c r="S84" s="26">
        <v>27000</v>
      </c>
    </row>
    <row r="85" spans="1:19" s="6" customFormat="1" ht="12.75">
      <c r="A85" s="67" t="s">
        <v>77</v>
      </c>
      <c r="B85" s="67"/>
      <c r="C85" s="60">
        <v>3241592</v>
      </c>
      <c r="D85" s="60"/>
      <c r="E85" s="60">
        <v>8664790</v>
      </c>
      <c r="F85" s="60"/>
      <c r="G85" s="60">
        <v>0</v>
      </c>
      <c r="H85" s="60"/>
      <c r="I85" s="60">
        <v>2293118</v>
      </c>
      <c r="J85" s="60"/>
      <c r="K85" s="60">
        <v>2387499</v>
      </c>
      <c r="L85" s="60"/>
      <c r="M85" s="52">
        <v>0</v>
      </c>
      <c r="N85" s="52"/>
      <c r="O85" s="52">
        <f t="shared" si="1"/>
        <v>1478933</v>
      </c>
      <c r="P85" s="52"/>
      <c r="Q85" s="60">
        <v>18065932</v>
      </c>
      <c r="R85" s="26"/>
      <c r="S85" s="26">
        <v>50000</v>
      </c>
    </row>
    <row r="86" spans="1:19" s="6" customFormat="1" ht="12.75">
      <c r="A86" s="67" t="s">
        <v>78</v>
      </c>
      <c r="B86" s="67"/>
      <c r="C86" s="60">
        <v>3106124</v>
      </c>
      <c r="D86" s="60"/>
      <c r="E86" s="60">
        <v>7700038</v>
      </c>
      <c r="F86" s="60"/>
      <c r="G86" s="60">
        <v>0</v>
      </c>
      <c r="H86" s="60"/>
      <c r="I86" s="60">
        <v>2730745</v>
      </c>
      <c r="J86" s="60"/>
      <c r="K86" s="60">
        <v>2094765</v>
      </c>
      <c r="L86" s="60"/>
      <c r="M86" s="52">
        <v>0</v>
      </c>
      <c r="N86" s="52"/>
      <c r="O86" s="52">
        <f t="shared" si="1"/>
        <v>771376</v>
      </c>
      <c r="P86" s="52"/>
      <c r="Q86" s="60">
        <v>16403048</v>
      </c>
      <c r="R86" s="26"/>
      <c r="S86" s="26">
        <f>188945+253647</f>
        <v>442592</v>
      </c>
    </row>
    <row r="87" spans="1:19" s="6" customFormat="1" ht="12.75">
      <c r="A87" s="67" t="s">
        <v>79</v>
      </c>
      <c r="B87" s="67"/>
      <c r="C87" s="60">
        <v>925078</v>
      </c>
      <c r="D87" s="60"/>
      <c r="E87" s="60">
        <v>3489599</v>
      </c>
      <c r="F87" s="60"/>
      <c r="G87" s="60">
        <v>0</v>
      </c>
      <c r="H87" s="60"/>
      <c r="I87" s="60">
        <v>738027</v>
      </c>
      <c r="J87" s="60"/>
      <c r="K87" s="60">
        <v>1295781</v>
      </c>
      <c r="L87" s="60"/>
      <c r="M87" s="52">
        <v>0</v>
      </c>
      <c r="N87" s="52"/>
      <c r="O87" s="52">
        <f t="shared" si="1"/>
        <v>1061922</v>
      </c>
      <c r="P87" s="52"/>
      <c r="Q87" s="60">
        <v>7510407</v>
      </c>
      <c r="R87" s="26"/>
      <c r="S87" s="26">
        <f>5669+5112</f>
        <v>10781</v>
      </c>
    </row>
    <row r="88" spans="1:19" s="6" customFormat="1" ht="12.75">
      <c r="A88" s="67" t="s">
        <v>80</v>
      </c>
      <c r="B88" s="67"/>
      <c r="C88" s="60">
        <v>0</v>
      </c>
      <c r="D88" s="60"/>
      <c r="E88" s="60">
        <v>0</v>
      </c>
      <c r="F88" s="60"/>
      <c r="G88" s="60">
        <v>1486894</v>
      </c>
      <c r="H88" s="60"/>
      <c r="I88" s="60">
        <v>373210</v>
      </c>
      <c r="J88" s="60"/>
      <c r="K88" s="60">
        <v>441451</v>
      </c>
      <c r="L88" s="60"/>
      <c r="M88" s="52">
        <v>0</v>
      </c>
      <c r="N88" s="52"/>
      <c r="O88" s="52">
        <f t="shared" si="1"/>
        <v>537347</v>
      </c>
      <c r="P88" s="52"/>
      <c r="Q88" s="60">
        <v>2838902</v>
      </c>
      <c r="R88" s="26"/>
      <c r="S88" s="26">
        <f>9299+62167</f>
        <v>71466</v>
      </c>
    </row>
    <row r="89" spans="1:19" s="6" customFormat="1" ht="12.75">
      <c r="A89" s="67" t="s">
        <v>81</v>
      </c>
      <c r="B89" s="67"/>
      <c r="C89" s="60">
        <v>0</v>
      </c>
      <c r="D89" s="60"/>
      <c r="E89" s="60">
        <v>0</v>
      </c>
      <c r="F89" s="60"/>
      <c r="G89" s="60">
        <v>26278415</v>
      </c>
      <c r="H89" s="60"/>
      <c r="I89" s="60">
        <v>6648533</v>
      </c>
      <c r="J89" s="60"/>
      <c r="K89" s="60">
        <v>4046132</v>
      </c>
      <c r="L89" s="60"/>
      <c r="M89" s="52">
        <v>0</v>
      </c>
      <c r="N89" s="52"/>
      <c r="O89" s="52">
        <f t="shared" si="1"/>
        <v>3388537</v>
      </c>
      <c r="P89" s="52"/>
      <c r="Q89" s="60">
        <v>40361617</v>
      </c>
      <c r="R89" s="26"/>
      <c r="S89" s="26">
        <v>50740</v>
      </c>
    </row>
    <row r="90" spans="1:19" s="6" customFormat="1" ht="12.75">
      <c r="A90" s="67" t="s">
        <v>82</v>
      </c>
      <c r="B90" s="67"/>
      <c r="C90" s="60">
        <v>2283542</v>
      </c>
      <c r="D90" s="60"/>
      <c r="E90" s="60">
        <v>5890286</v>
      </c>
      <c r="F90" s="60"/>
      <c r="G90" s="60">
        <v>12618</v>
      </c>
      <c r="H90" s="60"/>
      <c r="I90" s="60">
        <v>2185235</v>
      </c>
      <c r="J90" s="60"/>
      <c r="K90" s="60">
        <v>1765315</v>
      </c>
      <c r="L90" s="60"/>
      <c r="M90" s="52">
        <v>0</v>
      </c>
      <c r="N90" s="52"/>
      <c r="O90" s="52">
        <f t="shared" si="1"/>
        <v>1110990</v>
      </c>
      <c r="P90" s="52"/>
      <c r="Q90" s="60">
        <v>13247986</v>
      </c>
      <c r="R90" s="26"/>
      <c r="S90" s="26">
        <v>100001</v>
      </c>
    </row>
    <row r="91" spans="1:19" s="6" customFormat="1" ht="12.75">
      <c r="A91" s="67" t="s">
        <v>83</v>
      </c>
      <c r="B91" s="67"/>
      <c r="C91" s="60">
        <v>3546069</v>
      </c>
      <c r="D91" s="60"/>
      <c r="E91" s="60">
        <v>7812024</v>
      </c>
      <c r="F91" s="60"/>
      <c r="G91" s="60">
        <v>0</v>
      </c>
      <c r="H91" s="60"/>
      <c r="I91" s="60">
        <v>4521106</v>
      </c>
      <c r="J91" s="60"/>
      <c r="K91" s="60">
        <v>3234620</v>
      </c>
      <c r="L91" s="60"/>
      <c r="M91" s="52">
        <v>0</v>
      </c>
      <c r="N91" s="52"/>
      <c r="O91" s="52">
        <f t="shared" si="1"/>
        <v>2407537</v>
      </c>
      <c r="P91" s="52"/>
      <c r="Q91" s="60">
        <v>21521356</v>
      </c>
      <c r="R91" s="26"/>
      <c r="S91" s="26">
        <f>61049+352</f>
        <v>61401</v>
      </c>
    </row>
    <row r="92" spans="1:19" s="6" customFormat="1" ht="12.75" hidden="1">
      <c r="A92" s="67" t="s">
        <v>183</v>
      </c>
      <c r="B92" s="67"/>
      <c r="C92" s="60">
        <v>0</v>
      </c>
      <c r="D92" s="60"/>
      <c r="E92" s="60">
        <v>0</v>
      </c>
      <c r="F92" s="60"/>
      <c r="G92" s="60">
        <v>0</v>
      </c>
      <c r="H92" s="60"/>
      <c r="I92" s="60">
        <v>0</v>
      </c>
      <c r="J92" s="60"/>
      <c r="K92" s="60">
        <v>0</v>
      </c>
      <c r="L92" s="60"/>
      <c r="M92" s="52">
        <v>0</v>
      </c>
      <c r="N92" s="52"/>
      <c r="O92" s="52">
        <f t="shared" si="1"/>
        <v>0</v>
      </c>
      <c r="P92" s="52"/>
      <c r="Q92" s="60">
        <v>0</v>
      </c>
      <c r="R92" s="26"/>
      <c r="S92" s="26"/>
    </row>
    <row r="93" spans="1:19" s="6" customFormat="1" ht="12.75">
      <c r="A93" s="67" t="s">
        <v>84</v>
      </c>
      <c r="B93" s="67"/>
      <c r="C93" s="60">
        <v>5199418</v>
      </c>
      <c r="D93" s="60"/>
      <c r="E93" s="60">
        <v>13465803</v>
      </c>
      <c r="F93" s="60"/>
      <c r="G93" s="60">
        <v>36497</v>
      </c>
      <c r="H93" s="60"/>
      <c r="I93" s="60">
        <v>5603229</v>
      </c>
      <c r="J93" s="60"/>
      <c r="K93" s="60">
        <v>3675656</v>
      </c>
      <c r="L93" s="60"/>
      <c r="M93" s="52">
        <v>0</v>
      </c>
      <c r="N93" s="52"/>
      <c r="O93" s="52">
        <f t="shared" si="1"/>
        <v>2351833</v>
      </c>
      <c r="P93" s="52"/>
      <c r="Q93" s="60">
        <v>30332436</v>
      </c>
      <c r="R93" s="26"/>
      <c r="S93" s="26">
        <f>10322+135749</f>
        <v>146071</v>
      </c>
    </row>
    <row r="94" spans="1:19" s="6" customFormat="1" ht="12.75" hidden="1">
      <c r="A94" s="67" t="s">
        <v>184</v>
      </c>
      <c r="B94" s="67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26"/>
      <c r="S94" s="26"/>
    </row>
    <row r="95" spans="1:19" s="6" customFormat="1" ht="12.75">
      <c r="A95" s="26"/>
      <c r="B95" s="2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26"/>
      <c r="S95" s="26"/>
    </row>
    <row r="96" spans="1:19" s="6" customFormat="1" ht="12.75">
      <c r="A96" s="5"/>
      <c r="B96" s="5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5"/>
      <c r="S96" s="5"/>
    </row>
    <row r="97" spans="1:19" s="6" customFormat="1" ht="12.75">
      <c r="A97" s="5"/>
      <c r="B97" s="5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5"/>
      <c r="S97" s="5"/>
    </row>
    <row r="98" spans="1:19" s="6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s="6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s="6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</sheetData>
  <printOptions/>
  <pageMargins left="1" right="1" top="0.5" bottom="0.5" header="0" footer="0.25"/>
  <pageSetup firstPageNumber="12" useFirstPageNumber="1" fitToHeight="2" horizontalDpi="600" verticalDpi="600" orientation="portrait" pageOrder="overThenDown" scale="98" r:id="rId1"/>
  <headerFooter alignWithMargins="0">
    <oddFooter>&amp;C&amp;"Times New Roman,Regular"&amp;11&amp;P</oddFooter>
  </headerFooter>
  <rowBreaks count="1" manualBreakCount="1">
    <brk id="70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K60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"/>
    </sheetView>
  </sheetViews>
  <sheetFormatPr defaultColWidth="9.140625" defaultRowHeight="12.75"/>
  <cols>
    <col min="1" max="1" width="15.7109375" style="106" customWidth="1"/>
    <col min="2" max="2" width="1.7109375" style="106" customWidth="1"/>
    <col min="3" max="3" width="11.7109375" style="106" customWidth="1"/>
    <col min="4" max="4" width="1.7109375" style="106" customWidth="1"/>
    <col min="5" max="5" width="11.7109375" style="106" customWidth="1"/>
    <col min="6" max="6" width="1.7109375" style="106" customWidth="1"/>
    <col min="7" max="7" width="11.7109375" style="106" customWidth="1"/>
    <col min="8" max="8" width="1.7109375" style="106" customWidth="1"/>
    <col min="9" max="9" width="11.7109375" style="106" customWidth="1"/>
    <col min="10" max="10" width="1.7109375" style="106" customWidth="1"/>
    <col min="11" max="11" width="11.7109375" style="106" customWidth="1"/>
    <col min="12" max="12" width="1.7109375" style="106" customWidth="1"/>
    <col min="13" max="13" width="11.7109375" style="106" customWidth="1"/>
    <col min="14" max="14" width="1.7109375" style="106" customWidth="1"/>
    <col min="15" max="15" width="11.7109375" style="106" customWidth="1"/>
    <col min="16" max="16" width="1.7109375" style="106" customWidth="1"/>
    <col min="17" max="17" width="11.7109375" style="106" customWidth="1"/>
    <col min="18" max="18" width="1.7109375" style="106" customWidth="1"/>
    <col min="19" max="19" width="11.7109375" style="106" customWidth="1"/>
    <col min="20" max="20" width="1.7109375" style="106" customWidth="1"/>
    <col min="21" max="21" width="11.7109375" style="106" customWidth="1"/>
    <col min="22" max="22" width="1.7109375" style="106" customWidth="1"/>
    <col min="23" max="23" width="11.7109375" style="106" customWidth="1"/>
    <col min="24" max="24" width="1.7109375" style="106" customWidth="1"/>
    <col min="25" max="25" width="11.7109375" style="106" customWidth="1"/>
    <col min="26" max="26" width="1.7109375" style="106" customWidth="1"/>
    <col min="27" max="27" width="11.7109375" style="106" customWidth="1"/>
    <col min="28" max="28" width="1.7109375" style="106" customWidth="1"/>
    <col min="29" max="29" width="11.7109375" style="106" customWidth="1"/>
    <col min="30" max="30" width="1.7109375" style="66" customWidth="1"/>
    <col min="31" max="31" width="10.140625" style="66" bestFit="1" customWidth="1"/>
    <col min="32" max="32" width="1.7109375" style="66" customWidth="1"/>
    <col min="33" max="33" width="11.140625" style="66" bestFit="1" customWidth="1"/>
    <col min="34" max="34" width="1.7109375" style="66" customWidth="1"/>
    <col min="35" max="35" width="12.8515625" style="56" customWidth="1"/>
    <col min="36" max="36" width="1.7109375" style="66" customWidth="1"/>
    <col min="37" max="37" width="9.7109375" style="66" bestFit="1" customWidth="1"/>
    <col min="38" max="38" width="1.7109375" style="66" customWidth="1"/>
    <col min="39" max="16384" width="9.140625" style="66" customWidth="1"/>
  </cols>
  <sheetData>
    <row r="1" spans="1:35" s="103" customFormat="1" ht="12.75">
      <c r="A1" s="20" t="s">
        <v>218</v>
      </c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31"/>
      <c r="AE1" s="112"/>
      <c r="AI1" s="111"/>
    </row>
    <row r="2" spans="1:35" s="103" customFormat="1" ht="12.75">
      <c r="A2" s="20" t="s">
        <v>227</v>
      </c>
      <c r="B2" s="20"/>
      <c r="C2" s="20"/>
      <c r="D2" s="20"/>
      <c r="E2" s="20"/>
      <c r="F2" s="20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31"/>
      <c r="AE2" s="112"/>
      <c r="AI2" s="111"/>
    </row>
    <row r="3" spans="1:35" s="103" customFormat="1" ht="12.75">
      <c r="A3" s="3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31"/>
      <c r="AE3" s="112"/>
      <c r="AI3" s="111"/>
    </row>
    <row r="4" spans="1:31" ht="12.75">
      <c r="A4" s="20" t="s">
        <v>196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2"/>
      <c r="AE4" s="22"/>
    </row>
    <row r="5" spans="1:35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2"/>
      <c r="AE5" s="113" t="s">
        <v>230</v>
      </c>
      <c r="AG5" s="109" t="s">
        <v>235</v>
      </c>
      <c r="AI5" s="110" t="s">
        <v>238</v>
      </c>
    </row>
    <row r="6" spans="1:37" s="106" customFormat="1" ht="12.75">
      <c r="A6" s="17"/>
      <c r="B6" s="17"/>
      <c r="C6" s="17" t="s">
        <v>197</v>
      </c>
      <c r="D6" s="17"/>
      <c r="E6" s="17"/>
      <c r="F6" s="17"/>
      <c r="G6" s="17" t="s">
        <v>85</v>
      </c>
      <c r="H6" s="17"/>
      <c r="I6" s="17" t="s">
        <v>85</v>
      </c>
      <c r="J6" s="17"/>
      <c r="K6" s="17"/>
      <c r="L6" s="17"/>
      <c r="M6" s="17" t="s">
        <v>86</v>
      </c>
      <c r="N6" s="17"/>
      <c r="O6" s="17" t="s">
        <v>174</v>
      </c>
      <c r="P6" s="17"/>
      <c r="Q6" s="17" t="s">
        <v>87</v>
      </c>
      <c r="R6" s="17"/>
      <c r="S6" s="17" t="s">
        <v>100</v>
      </c>
      <c r="T6" s="17"/>
      <c r="U6" s="17" t="s">
        <v>88</v>
      </c>
      <c r="V6" s="17"/>
      <c r="W6" s="17" t="s">
        <v>1</v>
      </c>
      <c r="X6" s="17"/>
      <c r="Y6" s="17"/>
      <c r="Z6" s="17"/>
      <c r="AA6" s="17" t="s">
        <v>101</v>
      </c>
      <c r="AB6" s="17"/>
      <c r="AC6" s="17"/>
      <c r="AD6" s="26"/>
      <c r="AE6" s="107" t="s">
        <v>234</v>
      </c>
      <c r="AG6" s="108" t="s">
        <v>236</v>
      </c>
      <c r="AI6" s="110" t="s">
        <v>239</v>
      </c>
      <c r="AK6" s="108" t="s">
        <v>241</v>
      </c>
    </row>
    <row r="7" spans="1:37" s="106" customFormat="1" ht="12.75">
      <c r="A7" s="18" t="s">
        <v>5</v>
      </c>
      <c r="B7" s="26"/>
      <c r="C7" s="18" t="s">
        <v>198</v>
      </c>
      <c r="D7" s="26"/>
      <c r="E7" s="18" t="s">
        <v>89</v>
      </c>
      <c r="F7" s="26"/>
      <c r="G7" s="18" t="s">
        <v>90</v>
      </c>
      <c r="H7" s="26"/>
      <c r="I7" s="18" t="s">
        <v>91</v>
      </c>
      <c r="J7" s="26"/>
      <c r="K7" s="18" t="s">
        <v>92</v>
      </c>
      <c r="L7" s="26"/>
      <c r="M7" s="18" t="s">
        <v>8</v>
      </c>
      <c r="N7" s="26"/>
      <c r="O7" s="18" t="s">
        <v>175</v>
      </c>
      <c r="P7" s="26"/>
      <c r="Q7" s="18" t="s">
        <v>201</v>
      </c>
      <c r="R7" s="26"/>
      <c r="S7" s="18" t="s">
        <v>93</v>
      </c>
      <c r="T7" s="26"/>
      <c r="U7" s="18" t="s">
        <v>94</v>
      </c>
      <c r="V7" s="26"/>
      <c r="W7" s="18" t="s">
        <v>9</v>
      </c>
      <c r="X7" s="26"/>
      <c r="Y7" s="18" t="s">
        <v>95</v>
      </c>
      <c r="Z7" s="26"/>
      <c r="AA7" s="18" t="s">
        <v>96</v>
      </c>
      <c r="AB7" s="26"/>
      <c r="AC7" s="18" t="s">
        <v>4</v>
      </c>
      <c r="AD7" s="26"/>
      <c r="AE7" s="107" t="s">
        <v>231</v>
      </c>
      <c r="AG7" s="108" t="s">
        <v>237</v>
      </c>
      <c r="AI7" s="110" t="s">
        <v>240</v>
      </c>
      <c r="AK7" s="108" t="s">
        <v>242</v>
      </c>
    </row>
    <row r="8" spans="1:37" s="106" customFormat="1" ht="12.75">
      <c r="A8" s="26" t="s">
        <v>13</v>
      </c>
      <c r="B8" s="26"/>
      <c r="C8" s="84">
        <v>8745612</v>
      </c>
      <c r="D8" s="84"/>
      <c r="E8" s="84">
        <v>5027210</v>
      </c>
      <c r="F8" s="84"/>
      <c r="G8" s="84">
        <v>7343712</v>
      </c>
      <c r="H8" s="84"/>
      <c r="I8" s="84">
        <v>321681</v>
      </c>
      <c r="J8" s="84"/>
      <c r="K8" s="84">
        <v>266677</v>
      </c>
      <c r="L8" s="84"/>
      <c r="M8" s="84">
        <v>785115</v>
      </c>
      <c r="N8" s="84"/>
      <c r="O8" s="84">
        <v>0</v>
      </c>
      <c r="P8" s="84"/>
      <c r="Q8" s="84">
        <v>696416</v>
      </c>
      <c r="R8" s="84"/>
      <c r="S8" s="52">
        <v>30801</v>
      </c>
      <c r="T8" s="52"/>
      <c r="U8" s="84">
        <v>0</v>
      </c>
      <c r="V8" s="84"/>
      <c r="W8" s="84">
        <v>43000</v>
      </c>
      <c r="X8" s="84"/>
      <c r="Y8" s="84">
        <v>47450</v>
      </c>
      <c r="Z8" s="84"/>
      <c r="AA8" s="84">
        <v>7427</v>
      </c>
      <c r="AB8" s="84"/>
      <c r="AC8" s="52">
        <f>SUM(C8:AA8)</f>
        <v>23315101</v>
      </c>
      <c r="AD8" s="33"/>
      <c r="AE8" s="67">
        <v>30945</v>
      </c>
      <c r="AG8" s="106">
        <v>5643636</v>
      </c>
      <c r="AI8" s="56"/>
      <c r="AK8" s="106">
        <f>+GenRev!Q8-GenExp!AC8-AE8+GenRev!S8+AG8+AI8-'Gen Fd BS'!O10</f>
        <v>0</v>
      </c>
    </row>
    <row r="9" spans="1:37" s="106" customFormat="1" ht="12.75">
      <c r="A9" s="26" t="s">
        <v>14</v>
      </c>
      <c r="B9" s="26"/>
      <c r="C9" s="84">
        <v>4189287</v>
      </c>
      <c r="D9" s="84"/>
      <c r="E9" s="84">
        <v>1415748</v>
      </c>
      <c r="F9" s="84"/>
      <c r="G9" s="84">
        <f>3992140+77345</f>
        <v>4069485</v>
      </c>
      <c r="H9" s="84"/>
      <c r="I9" s="84">
        <v>107629</v>
      </c>
      <c r="J9" s="84"/>
      <c r="K9" s="84">
        <v>79340</v>
      </c>
      <c r="L9" s="84"/>
      <c r="M9" s="84">
        <v>305600</v>
      </c>
      <c r="N9" s="84"/>
      <c r="O9" s="84">
        <v>0</v>
      </c>
      <c r="P9" s="84"/>
      <c r="Q9" s="84">
        <v>20000</v>
      </c>
      <c r="R9" s="84"/>
      <c r="S9" s="52">
        <v>270968</v>
      </c>
      <c r="T9" s="52"/>
      <c r="U9" s="84">
        <v>0</v>
      </c>
      <c r="V9" s="84"/>
      <c r="W9" s="84">
        <v>287989</v>
      </c>
      <c r="X9" s="84"/>
      <c r="Y9" s="84">
        <v>0</v>
      </c>
      <c r="Z9" s="84"/>
      <c r="AA9" s="84">
        <v>0</v>
      </c>
      <c r="AB9" s="84"/>
      <c r="AC9" s="52">
        <f aca="true" t="shared" si="0" ref="AC9:AC72">SUM(C9:AA9)</f>
        <v>10746046</v>
      </c>
      <c r="AD9" s="33"/>
      <c r="AE9" s="67">
        <v>829453</v>
      </c>
      <c r="AG9" s="106">
        <v>4848810</v>
      </c>
      <c r="AI9" s="56"/>
      <c r="AK9" s="106">
        <f>+GenRev!Q9-GenExp!AC9-AE9+GenRev!S9+AG9+AI9-'Gen Fd BS'!O11</f>
        <v>0</v>
      </c>
    </row>
    <row r="10" spans="1:37" s="106" customFormat="1" ht="12.75">
      <c r="A10" s="26" t="s">
        <v>15</v>
      </c>
      <c r="B10" s="26"/>
      <c r="C10" s="84">
        <v>5622016</v>
      </c>
      <c r="D10" s="84"/>
      <c r="E10" s="84">
        <v>3442894</v>
      </c>
      <c r="F10" s="84"/>
      <c r="G10" s="84">
        <v>6198822</v>
      </c>
      <c r="H10" s="84"/>
      <c r="I10" s="84">
        <v>136899</v>
      </c>
      <c r="J10" s="84"/>
      <c r="K10" s="84">
        <v>166370</v>
      </c>
      <c r="L10" s="84"/>
      <c r="M10" s="84">
        <v>529993</v>
      </c>
      <c r="N10" s="84"/>
      <c r="O10" s="84">
        <v>0</v>
      </c>
      <c r="P10" s="84"/>
      <c r="Q10" s="84">
        <v>366868</v>
      </c>
      <c r="R10" s="84"/>
      <c r="S10" s="52">
        <v>3291695</v>
      </c>
      <c r="T10" s="52"/>
      <c r="U10" s="84">
        <v>0</v>
      </c>
      <c r="V10" s="84"/>
      <c r="W10" s="84">
        <v>0</v>
      </c>
      <c r="X10" s="84"/>
      <c r="Y10" s="84">
        <v>122912</v>
      </c>
      <c r="Z10" s="84"/>
      <c r="AA10" s="84">
        <v>15394</v>
      </c>
      <c r="AB10" s="84"/>
      <c r="AC10" s="52">
        <f t="shared" si="0"/>
        <v>19893863</v>
      </c>
      <c r="AD10" s="33"/>
      <c r="AE10" s="67">
        <v>1777140</v>
      </c>
      <c r="AG10" s="106">
        <v>4639446</v>
      </c>
      <c r="AI10" s="56">
        <v>-8067</v>
      </c>
      <c r="AK10" s="106">
        <f>+GenRev!Q10-GenExp!AC10-AE10+GenRev!S10+AG10+AI10-'Gen Fd BS'!O12</f>
        <v>0</v>
      </c>
    </row>
    <row r="11" spans="1:37" s="106" customFormat="1" ht="12.75">
      <c r="A11" s="26" t="s">
        <v>16</v>
      </c>
      <c r="B11" s="26"/>
      <c r="C11" s="84">
        <v>3981577</v>
      </c>
      <c r="D11" s="84"/>
      <c r="E11" s="84">
        <v>2038336</v>
      </c>
      <c r="F11" s="84"/>
      <c r="G11" s="84">
        <v>2521880</v>
      </c>
      <c r="H11" s="84"/>
      <c r="I11" s="84">
        <v>0</v>
      </c>
      <c r="J11" s="84"/>
      <c r="K11" s="84">
        <v>452728</v>
      </c>
      <c r="L11" s="84"/>
      <c r="M11" s="84">
        <v>364944</v>
      </c>
      <c r="N11" s="84"/>
      <c r="O11" s="84">
        <v>0</v>
      </c>
      <c r="P11" s="84"/>
      <c r="Q11" s="84">
        <v>4950</v>
      </c>
      <c r="R11" s="84"/>
      <c r="S11" s="52">
        <v>0</v>
      </c>
      <c r="T11" s="52"/>
      <c r="U11" s="84">
        <v>0</v>
      </c>
      <c r="V11" s="84"/>
      <c r="W11" s="84">
        <v>0</v>
      </c>
      <c r="X11" s="84"/>
      <c r="Y11" s="84">
        <v>48487</v>
      </c>
      <c r="Z11" s="84"/>
      <c r="AA11" s="84">
        <v>3246</v>
      </c>
      <c r="AB11" s="84"/>
      <c r="AC11" s="52">
        <f>SUM(C11:AA11)</f>
        <v>9416148</v>
      </c>
      <c r="AD11" s="33"/>
      <c r="AE11" s="67">
        <v>1069440</v>
      </c>
      <c r="AG11" s="106">
        <v>2066638</v>
      </c>
      <c r="AI11" s="56"/>
      <c r="AK11" s="106">
        <f>+GenRev!Q11-GenExp!AC11-AE11+GenRev!S11+AG11+AI11-'Gen Fd BS'!O13</f>
        <v>0</v>
      </c>
    </row>
    <row r="12" spans="1:37" s="106" customFormat="1" ht="12.75">
      <c r="A12" s="26" t="s">
        <v>17</v>
      </c>
      <c r="B12" s="26"/>
      <c r="C12" s="84">
        <v>2387083</v>
      </c>
      <c r="D12" s="84"/>
      <c r="E12" s="84">
        <v>1478985</v>
      </c>
      <c r="F12" s="84"/>
      <c r="G12" s="84">
        <v>1907006</v>
      </c>
      <c r="H12" s="84"/>
      <c r="I12" s="84">
        <v>207958</v>
      </c>
      <c r="J12" s="84"/>
      <c r="K12" s="84">
        <v>78358</v>
      </c>
      <c r="L12" s="84"/>
      <c r="M12" s="84">
        <v>228332</v>
      </c>
      <c r="N12" s="84"/>
      <c r="O12" s="84">
        <v>0</v>
      </c>
      <c r="P12" s="84"/>
      <c r="Q12" s="84">
        <v>0</v>
      </c>
      <c r="R12" s="84"/>
      <c r="S12" s="52">
        <v>1068674</v>
      </c>
      <c r="T12" s="52"/>
      <c r="U12" s="84">
        <v>0</v>
      </c>
      <c r="V12" s="84"/>
      <c r="W12" s="84">
        <v>0</v>
      </c>
      <c r="X12" s="84"/>
      <c r="Y12" s="84">
        <v>3777</v>
      </c>
      <c r="Z12" s="84"/>
      <c r="AA12" s="84">
        <v>0</v>
      </c>
      <c r="AB12" s="84"/>
      <c r="AC12" s="52">
        <f t="shared" si="0"/>
        <v>7360173</v>
      </c>
      <c r="AD12" s="33"/>
      <c r="AE12" s="67">
        <f>6348+479539+182000</f>
        <v>667887</v>
      </c>
      <c r="AG12" s="106">
        <v>4517494</v>
      </c>
      <c r="AI12" s="56">
        <v>0</v>
      </c>
      <c r="AK12" s="106">
        <f>+GenRev!Q12-GenExp!AC12-AE12+GenRev!S12+AG12+AI12-'Gen Fd BS'!O14</f>
        <v>0</v>
      </c>
    </row>
    <row r="13" spans="1:37" s="106" customFormat="1" ht="12.75">
      <c r="A13" s="26" t="s">
        <v>18</v>
      </c>
      <c r="B13" s="26"/>
      <c r="C13" s="84">
        <v>5568451</v>
      </c>
      <c r="D13" s="84"/>
      <c r="E13" s="84">
        <v>2134173</v>
      </c>
      <c r="F13" s="84"/>
      <c r="G13" s="84">
        <v>5718903</v>
      </c>
      <c r="H13" s="84"/>
      <c r="I13" s="84">
        <v>303770</v>
      </c>
      <c r="J13" s="84"/>
      <c r="K13" s="84">
        <v>52768</v>
      </c>
      <c r="L13" s="84"/>
      <c r="M13" s="84">
        <v>324866</v>
      </c>
      <c r="N13" s="84"/>
      <c r="O13" s="84">
        <v>0</v>
      </c>
      <c r="P13" s="84"/>
      <c r="Q13" s="84">
        <v>0</v>
      </c>
      <c r="R13" s="84"/>
      <c r="S13" s="52">
        <v>7385</v>
      </c>
      <c r="T13" s="52"/>
      <c r="U13" s="84">
        <v>419364</v>
      </c>
      <c r="V13" s="84"/>
      <c r="W13" s="84">
        <v>1006251</v>
      </c>
      <c r="X13" s="84"/>
      <c r="Y13" s="84">
        <v>612404</v>
      </c>
      <c r="Z13" s="84"/>
      <c r="AA13" s="84">
        <v>22658</v>
      </c>
      <c r="AB13" s="84"/>
      <c r="AC13" s="52">
        <f t="shared" si="0"/>
        <v>16170993</v>
      </c>
      <c r="AD13" s="33"/>
      <c r="AE13" s="67">
        <v>2566491</v>
      </c>
      <c r="AG13" s="106">
        <v>6659153</v>
      </c>
      <c r="AI13" s="56"/>
      <c r="AK13" s="106">
        <f>+GenRev!Q13-GenExp!AC13-AE13+GenRev!S13+AG13+AI13-'Gen Fd BS'!O15</f>
        <v>0</v>
      </c>
    </row>
    <row r="14" spans="1:37" s="106" customFormat="1" ht="12.75" hidden="1">
      <c r="A14" s="26" t="s">
        <v>138</v>
      </c>
      <c r="B14" s="26"/>
      <c r="C14" s="84">
        <v>0</v>
      </c>
      <c r="D14" s="84"/>
      <c r="E14" s="84">
        <v>0</v>
      </c>
      <c r="F14" s="84"/>
      <c r="G14" s="84">
        <v>0</v>
      </c>
      <c r="H14" s="84"/>
      <c r="I14" s="84">
        <v>0</v>
      </c>
      <c r="J14" s="84"/>
      <c r="K14" s="84">
        <v>0</v>
      </c>
      <c r="L14" s="84"/>
      <c r="M14" s="84">
        <v>0</v>
      </c>
      <c r="N14" s="84"/>
      <c r="O14" s="84">
        <v>0</v>
      </c>
      <c r="P14" s="84"/>
      <c r="Q14" s="84">
        <v>0</v>
      </c>
      <c r="R14" s="84"/>
      <c r="S14" s="52">
        <v>0</v>
      </c>
      <c r="T14" s="52"/>
      <c r="U14" s="84">
        <v>0</v>
      </c>
      <c r="V14" s="84"/>
      <c r="W14" s="84">
        <v>0</v>
      </c>
      <c r="X14" s="84"/>
      <c r="Y14" s="84">
        <v>0</v>
      </c>
      <c r="Z14" s="84"/>
      <c r="AA14" s="84">
        <v>0</v>
      </c>
      <c r="AB14" s="84"/>
      <c r="AC14" s="52">
        <f t="shared" si="0"/>
        <v>0</v>
      </c>
      <c r="AD14" s="33"/>
      <c r="AE14" s="67"/>
      <c r="AI14" s="56"/>
      <c r="AK14" s="106">
        <f>+GenRev!Q14-GenExp!AC14-AE14+GenRev!S14+AG14+AI14-'Gen Fd BS'!O16</f>
        <v>0</v>
      </c>
    </row>
    <row r="15" spans="1:37" s="106" customFormat="1" ht="12.75">
      <c r="A15" s="26" t="s">
        <v>19</v>
      </c>
      <c r="B15" s="26"/>
      <c r="C15" s="84">
        <v>21242009</v>
      </c>
      <c r="D15" s="84"/>
      <c r="E15" s="84">
        <v>11143923</v>
      </c>
      <c r="F15" s="84"/>
      <c r="G15" s="84">
        <v>26901568</v>
      </c>
      <c r="H15" s="84"/>
      <c r="I15" s="84">
        <v>182599</v>
      </c>
      <c r="J15" s="84"/>
      <c r="K15" s="84">
        <v>492938</v>
      </c>
      <c r="L15" s="84"/>
      <c r="M15" s="84">
        <v>933727</v>
      </c>
      <c r="N15" s="84"/>
      <c r="O15" s="84">
        <v>0</v>
      </c>
      <c r="P15" s="84"/>
      <c r="Q15" s="84">
        <v>531971</v>
      </c>
      <c r="R15" s="84"/>
      <c r="S15" s="52">
        <v>0</v>
      </c>
      <c r="T15" s="52"/>
      <c r="U15" s="84">
        <v>0</v>
      </c>
      <c r="V15" s="84"/>
      <c r="W15" s="84">
        <v>0</v>
      </c>
      <c r="X15" s="84"/>
      <c r="Y15" s="84">
        <v>1035000</v>
      </c>
      <c r="Z15" s="84"/>
      <c r="AA15" s="84">
        <v>1269562</v>
      </c>
      <c r="AB15" s="84"/>
      <c r="AC15" s="52">
        <f t="shared" si="0"/>
        <v>63733297</v>
      </c>
      <c r="AD15" s="33"/>
      <c r="AE15" s="67">
        <v>5528820</v>
      </c>
      <c r="AG15" s="106">
        <v>15508848</v>
      </c>
      <c r="AI15" s="56"/>
      <c r="AK15" s="106">
        <f>+GenRev!Q15-GenExp!AC15-AE15+GenRev!S15+AG15+AI15-'Gen Fd BS'!O17</f>
        <v>0</v>
      </c>
    </row>
    <row r="16" spans="1:37" s="106" customFormat="1" ht="12.75">
      <c r="A16" s="26" t="s">
        <v>20</v>
      </c>
      <c r="B16" s="26"/>
      <c r="C16" s="84">
        <v>2172103</v>
      </c>
      <c r="D16" s="84"/>
      <c r="E16" s="84">
        <v>757336</v>
      </c>
      <c r="F16" s="84"/>
      <c r="G16" s="84">
        <v>1680305</v>
      </c>
      <c r="H16" s="84"/>
      <c r="I16" s="84">
        <v>77794</v>
      </c>
      <c r="J16" s="84"/>
      <c r="K16" s="84">
        <v>40951</v>
      </c>
      <c r="L16" s="84"/>
      <c r="M16" s="84">
        <v>102119</v>
      </c>
      <c r="N16" s="84"/>
      <c r="O16" s="84">
        <v>9025</v>
      </c>
      <c r="P16" s="84"/>
      <c r="Q16" s="84">
        <v>0</v>
      </c>
      <c r="R16" s="84"/>
      <c r="S16" s="52">
        <v>367878</v>
      </c>
      <c r="T16" s="52"/>
      <c r="U16" s="84">
        <v>44480</v>
      </c>
      <c r="V16" s="84"/>
      <c r="W16" s="84">
        <v>0</v>
      </c>
      <c r="X16" s="84"/>
      <c r="Y16" s="84">
        <v>42628</v>
      </c>
      <c r="Z16" s="84"/>
      <c r="AA16" s="84">
        <v>2737</v>
      </c>
      <c r="AB16" s="84"/>
      <c r="AC16" s="52">
        <f t="shared" si="0"/>
        <v>5297356</v>
      </c>
      <c r="AD16" s="33"/>
      <c r="AE16" s="67">
        <v>125438</v>
      </c>
      <c r="AG16" s="106">
        <v>1005479</v>
      </c>
      <c r="AI16" s="56"/>
      <c r="AK16" s="106">
        <f>+GenRev!Q16-GenExp!AC16-AE16+GenRev!S16+AG16+AI16-'Gen Fd BS'!O18</f>
        <v>0</v>
      </c>
    </row>
    <row r="17" spans="1:37" s="106" customFormat="1" ht="12.75" hidden="1">
      <c r="A17" s="26" t="s">
        <v>182</v>
      </c>
      <c r="B17" s="26"/>
      <c r="C17" s="84">
        <v>0</v>
      </c>
      <c r="D17" s="84"/>
      <c r="E17" s="84">
        <v>0</v>
      </c>
      <c r="F17" s="84"/>
      <c r="G17" s="84">
        <v>0</v>
      </c>
      <c r="H17" s="84"/>
      <c r="I17" s="84">
        <v>0</v>
      </c>
      <c r="J17" s="84"/>
      <c r="K17" s="84">
        <v>0</v>
      </c>
      <c r="L17" s="84"/>
      <c r="M17" s="84">
        <v>0</v>
      </c>
      <c r="N17" s="84"/>
      <c r="O17" s="84">
        <v>0</v>
      </c>
      <c r="P17" s="84"/>
      <c r="Q17" s="84">
        <v>0</v>
      </c>
      <c r="R17" s="84"/>
      <c r="S17" s="52">
        <v>0</v>
      </c>
      <c r="T17" s="52"/>
      <c r="U17" s="84">
        <v>0</v>
      </c>
      <c r="V17" s="84"/>
      <c r="W17" s="84">
        <v>0</v>
      </c>
      <c r="X17" s="84"/>
      <c r="Y17" s="84">
        <v>0</v>
      </c>
      <c r="Z17" s="84"/>
      <c r="AA17" s="84">
        <v>0</v>
      </c>
      <c r="AB17" s="84"/>
      <c r="AC17" s="52">
        <f t="shared" si="0"/>
        <v>0</v>
      </c>
      <c r="AD17" s="33"/>
      <c r="AE17" s="67"/>
      <c r="AI17" s="56"/>
      <c r="AK17" s="106">
        <f>+GenRev!Q17-GenExp!AC17-AE17+GenRev!S17+AG17+AI17-'Gen Fd BS'!O19</f>
        <v>0</v>
      </c>
    </row>
    <row r="18" spans="1:37" s="106" customFormat="1" ht="12.75">
      <c r="A18" s="26" t="s">
        <v>21</v>
      </c>
      <c r="B18" s="26"/>
      <c r="C18" s="84">
        <v>3801800</v>
      </c>
      <c r="D18" s="84"/>
      <c r="E18" s="84">
        <v>7606277</v>
      </c>
      <c r="F18" s="84"/>
      <c r="G18" s="84">
        <v>11016895</v>
      </c>
      <c r="H18" s="84"/>
      <c r="I18" s="84">
        <v>3649123</v>
      </c>
      <c r="J18" s="84"/>
      <c r="K18" s="84">
        <v>375388</v>
      </c>
      <c r="L18" s="84"/>
      <c r="M18" s="84">
        <v>563567</v>
      </c>
      <c r="N18" s="84"/>
      <c r="O18" s="84">
        <v>0</v>
      </c>
      <c r="P18" s="84"/>
      <c r="Q18" s="84">
        <v>1755968</v>
      </c>
      <c r="R18" s="84"/>
      <c r="S18" s="52">
        <v>0</v>
      </c>
      <c r="T18" s="52"/>
      <c r="U18" s="84">
        <v>0</v>
      </c>
      <c r="V18" s="84"/>
      <c r="W18" s="84">
        <v>0</v>
      </c>
      <c r="X18" s="84"/>
      <c r="Y18" s="84">
        <v>0</v>
      </c>
      <c r="Z18" s="84"/>
      <c r="AA18" s="84">
        <v>0</v>
      </c>
      <c r="AB18" s="84"/>
      <c r="AC18" s="52">
        <f t="shared" si="0"/>
        <v>28769018</v>
      </c>
      <c r="AD18" s="33"/>
      <c r="AE18" s="67">
        <v>2174510</v>
      </c>
      <c r="AG18" s="106">
        <v>10112211</v>
      </c>
      <c r="AI18" s="56"/>
      <c r="AK18" s="106">
        <f>+GenRev!Q18-GenExp!AC18-AE18+GenRev!S18+AG18+AI18-'Gen Fd BS'!O20</f>
        <v>0</v>
      </c>
    </row>
    <row r="19" spans="1:37" s="106" customFormat="1" ht="12.75">
      <c r="A19" s="26" t="s">
        <v>193</v>
      </c>
      <c r="B19" s="26"/>
      <c r="C19" s="84">
        <v>13307595</v>
      </c>
      <c r="D19" s="84"/>
      <c r="E19" s="84">
        <v>7440147</v>
      </c>
      <c r="F19" s="84"/>
      <c r="G19" s="84">
        <v>19551167</v>
      </c>
      <c r="H19" s="84"/>
      <c r="I19" s="84">
        <v>0</v>
      </c>
      <c r="J19" s="84"/>
      <c r="K19" s="84">
        <v>232947</v>
      </c>
      <c r="L19" s="84"/>
      <c r="M19" s="84">
        <v>948565</v>
      </c>
      <c r="N19" s="84"/>
      <c r="O19" s="84">
        <v>45377</v>
      </c>
      <c r="P19" s="84"/>
      <c r="Q19" s="84">
        <v>0</v>
      </c>
      <c r="R19" s="84"/>
      <c r="S19" s="52">
        <v>0</v>
      </c>
      <c r="T19" s="52"/>
      <c r="U19" s="84">
        <v>0</v>
      </c>
      <c r="V19" s="84"/>
      <c r="W19" s="84">
        <v>0</v>
      </c>
      <c r="X19" s="84"/>
      <c r="Y19" s="84">
        <v>0</v>
      </c>
      <c r="Z19" s="84"/>
      <c r="AA19" s="84">
        <v>0</v>
      </c>
      <c r="AB19" s="84"/>
      <c r="AC19" s="52">
        <f t="shared" si="0"/>
        <v>41525798</v>
      </c>
      <c r="AD19" s="33"/>
      <c r="AE19" s="67">
        <v>4912235</v>
      </c>
      <c r="AG19" s="106">
        <v>28552038</v>
      </c>
      <c r="AI19" s="56"/>
      <c r="AK19" s="106">
        <f>+GenRev!Q19-GenExp!AC19-AE19+GenRev!S19+AG19+AI19-'Gen Fd BS'!O21</f>
        <v>0</v>
      </c>
    </row>
    <row r="20" spans="1:37" s="106" customFormat="1" ht="12.75">
      <c r="A20" s="26" t="s">
        <v>22</v>
      </c>
      <c r="B20" s="26"/>
      <c r="C20" s="84">
        <v>4832891</v>
      </c>
      <c r="D20" s="84"/>
      <c r="E20" s="84">
        <v>2073890</v>
      </c>
      <c r="F20" s="84"/>
      <c r="G20" s="84">
        <v>3139113</v>
      </c>
      <c r="H20" s="84"/>
      <c r="I20" s="84">
        <v>101910</v>
      </c>
      <c r="J20" s="84"/>
      <c r="K20" s="84">
        <v>21411</v>
      </c>
      <c r="L20" s="84"/>
      <c r="M20" s="84">
        <v>376150</v>
      </c>
      <c r="N20" s="84"/>
      <c r="O20" s="84">
        <v>0</v>
      </c>
      <c r="P20" s="84"/>
      <c r="Q20" s="84">
        <v>0</v>
      </c>
      <c r="R20" s="84"/>
      <c r="S20" s="52">
        <v>643735</v>
      </c>
      <c r="T20" s="52"/>
      <c r="U20" s="84">
        <v>0</v>
      </c>
      <c r="V20" s="84"/>
      <c r="W20" s="84">
        <v>0</v>
      </c>
      <c r="X20" s="84"/>
      <c r="Y20" s="84">
        <v>0</v>
      </c>
      <c r="Z20" s="84"/>
      <c r="AA20" s="84">
        <v>24031</v>
      </c>
      <c r="AB20" s="84"/>
      <c r="AC20" s="52">
        <f t="shared" si="0"/>
        <v>11213131</v>
      </c>
      <c r="AD20" s="33"/>
      <c r="AE20" s="67">
        <v>82235</v>
      </c>
      <c r="AG20" s="106">
        <v>1145951</v>
      </c>
      <c r="AI20" s="56"/>
      <c r="AK20" s="106">
        <f>+GenRev!Q20-GenExp!AC20-AE20+GenRev!S20+AG20+AI20-'Gen Fd BS'!O22</f>
        <v>0</v>
      </c>
    </row>
    <row r="21" spans="1:37" s="106" customFormat="1" ht="12.75" hidden="1">
      <c r="A21" s="26" t="s">
        <v>23</v>
      </c>
      <c r="B21" s="26"/>
      <c r="C21" s="84">
        <v>0</v>
      </c>
      <c r="D21" s="84"/>
      <c r="E21" s="84">
        <v>0</v>
      </c>
      <c r="F21" s="84"/>
      <c r="G21" s="84">
        <v>0</v>
      </c>
      <c r="H21" s="84"/>
      <c r="I21" s="84">
        <v>0</v>
      </c>
      <c r="J21" s="84"/>
      <c r="K21" s="84">
        <v>0</v>
      </c>
      <c r="L21" s="84"/>
      <c r="M21" s="84">
        <v>0</v>
      </c>
      <c r="N21" s="84"/>
      <c r="O21" s="84">
        <v>0</v>
      </c>
      <c r="P21" s="84"/>
      <c r="Q21" s="84">
        <v>0</v>
      </c>
      <c r="R21" s="84"/>
      <c r="S21" s="52">
        <v>0</v>
      </c>
      <c r="T21" s="52"/>
      <c r="U21" s="84">
        <v>0</v>
      </c>
      <c r="V21" s="84"/>
      <c r="W21" s="84">
        <v>0</v>
      </c>
      <c r="X21" s="84"/>
      <c r="Y21" s="84">
        <v>0</v>
      </c>
      <c r="Z21" s="84"/>
      <c r="AA21" s="84">
        <v>0</v>
      </c>
      <c r="AB21" s="84"/>
      <c r="AC21" s="52">
        <f t="shared" si="0"/>
        <v>0</v>
      </c>
      <c r="AD21" s="33"/>
      <c r="AE21" s="67"/>
      <c r="AI21" s="56"/>
      <c r="AK21" s="106">
        <f>+GenRev!Q21-GenExp!AC21-AE21+GenRev!S21+AG21+AI21-'Gen Fd BS'!O23</f>
        <v>0</v>
      </c>
    </row>
    <row r="22" spans="1:37" s="106" customFormat="1" ht="12.75" hidden="1">
      <c r="A22" s="26" t="s">
        <v>24</v>
      </c>
      <c r="B22" s="26"/>
      <c r="C22" s="84">
        <v>0</v>
      </c>
      <c r="D22" s="84"/>
      <c r="E22" s="84">
        <v>0</v>
      </c>
      <c r="F22" s="84"/>
      <c r="G22" s="84">
        <v>0</v>
      </c>
      <c r="H22" s="84"/>
      <c r="I22" s="84">
        <v>0</v>
      </c>
      <c r="J22" s="84"/>
      <c r="K22" s="84">
        <v>0</v>
      </c>
      <c r="L22" s="84"/>
      <c r="M22" s="84">
        <v>0</v>
      </c>
      <c r="N22" s="84"/>
      <c r="O22" s="84">
        <v>0</v>
      </c>
      <c r="P22" s="84"/>
      <c r="Q22" s="84">
        <v>0</v>
      </c>
      <c r="R22" s="84"/>
      <c r="S22" s="52">
        <v>0</v>
      </c>
      <c r="T22" s="52"/>
      <c r="U22" s="84">
        <v>0</v>
      </c>
      <c r="V22" s="84"/>
      <c r="W22" s="84">
        <v>0</v>
      </c>
      <c r="X22" s="84"/>
      <c r="Y22" s="84">
        <v>0</v>
      </c>
      <c r="Z22" s="84"/>
      <c r="AA22" s="84">
        <v>0</v>
      </c>
      <c r="AB22" s="84"/>
      <c r="AC22" s="52">
        <f t="shared" si="0"/>
        <v>0</v>
      </c>
      <c r="AD22" s="33"/>
      <c r="AE22" s="67"/>
      <c r="AI22" s="56"/>
      <c r="AK22" s="106">
        <f>+GenRev!Q22-GenExp!AC22-AE22+GenRev!S22+AG22+AI22-'Gen Fd BS'!O24</f>
        <v>0</v>
      </c>
    </row>
    <row r="23" spans="1:37" s="106" customFormat="1" ht="12.75">
      <c r="A23" s="26" t="s">
        <v>191</v>
      </c>
      <c r="B23" s="26"/>
      <c r="C23" s="84">
        <v>2924716</v>
      </c>
      <c r="D23" s="84"/>
      <c r="E23" s="84">
        <v>2055394</v>
      </c>
      <c r="F23" s="84"/>
      <c r="G23" s="84">
        <v>2453318</v>
      </c>
      <c r="H23" s="84"/>
      <c r="I23" s="84">
        <v>116907</v>
      </c>
      <c r="J23" s="84"/>
      <c r="K23" s="84">
        <v>404187</v>
      </c>
      <c r="L23" s="84"/>
      <c r="M23" s="84">
        <v>322649</v>
      </c>
      <c r="N23" s="84"/>
      <c r="O23" s="84">
        <v>0</v>
      </c>
      <c r="P23" s="84"/>
      <c r="Q23" s="84">
        <v>0</v>
      </c>
      <c r="R23" s="84"/>
      <c r="S23" s="52">
        <v>0</v>
      </c>
      <c r="T23" s="52"/>
      <c r="U23" s="84">
        <v>0</v>
      </c>
      <c r="V23" s="84"/>
      <c r="W23" s="84">
        <v>11752</v>
      </c>
      <c r="X23" s="84"/>
      <c r="Y23" s="84">
        <v>0</v>
      </c>
      <c r="Z23" s="84"/>
      <c r="AA23" s="84">
        <v>0</v>
      </c>
      <c r="AB23" s="84"/>
      <c r="AC23" s="52">
        <f t="shared" si="0"/>
        <v>8288923</v>
      </c>
      <c r="AD23" s="33"/>
      <c r="AE23" s="67">
        <v>1258528</v>
      </c>
      <c r="AG23" s="106">
        <v>4456453</v>
      </c>
      <c r="AI23" s="56"/>
      <c r="AK23" s="106">
        <f>+GenRev!Q23-GenExp!AC23-AE23+GenRev!S23+AG23+AI23-'Gen Fd BS'!O25</f>
        <v>0</v>
      </c>
    </row>
    <row r="24" spans="1:37" s="106" customFormat="1" ht="12.75">
      <c r="A24" s="26" t="s">
        <v>25</v>
      </c>
      <c r="B24" s="26"/>
      <c r="C24" s="84">
        <v>43943</v>
      </c>
      <c r="D24" s="84"/>
      <c r="E24" s="84">
        <v>213933</v>
      </c>
      <c r="F24" s="84"/>
      <c r="G24" s="84">
        <v>0</v>
      </c>
      <c r="H24" s="84"/>
      <c r="I24" s="84">
        <v>5000</v>
      </c>
      <c r="J24" s="84"/>
      <c r="K24" s="84">
        <v>9297</v>
      </c>
      <c r="L24" s="84"/>
      <c r="M24" s="84">
        <v>0</v>
      </c>
      <c r="N24" s="84"/>
      <c r="O24" s="84">
        <v>3216</v>
      </c>
      <c r="P24" s="84"/>
      <c r="Q24" s="84">
        <v>0</v>
      </c>
      <c r="R24" s="84"/>
      <c r="S24" s="52">
        <v>0</v>
      </c>
      <c r="T24" s="52"/>
      <c r="U24" s="84">
        <v>0</v>
      </c>
      <c r="V24" s="84"/>
      <c r="W24" s="84">
        <v>0</v>
      </c>
      <c r="X24" s="84"/>
      <c r="Y24" s="84">
        <v>0</v>
      </c>
      <c r="Z24" s="84"/>
      <c r="AA24" s="84">
        <v>25</v>
      </c>
      <c r="AB24" s="84"/>
      <c r="AC24" s="52">
        <f t="shared" si="0"/>
        <v>275414</v>
      </c>
      <c r="AD24" s="33"/>
      <c r="AE24" s="67">
        <f>7592+8833</f>
        <v>16425</v>
      </c>
      <c r="AG24" s="106">
        <v>164891</v>
      </c>
      <c r="AI24" s="56"/>
      <c r="AK24" s="106">
        <f>+GenRev!Q24-GenExp!AC24-AE24+GenRev!S24+AG24+AI24-'Gen Fd BS'!O26</f>
        <v>0</v>
      </c>
    </row>
    <row r="25" spans="1:37" s="106" customFormat="1" ht="12.75">
      <c r="A25" s="26" t="s">
        <v>26</v>
      </c>
      <c r="B25" s="26"/>
      <c r="C25" s="84">
        <v>0</v>
      </c>
      <c r="D25" s="84"/>
      <c r="E25" s="84">
        <v>0</v>
      </c>
      <c r="F25" s="84"/>
      <c r="G25" s="84">
        <v>3235668</v>
      </c>
      <c r="H25" s="84"/>
      <c r="I25" s="84">
        <v>115926</v>
      </c>
      <c r="J25" s="84"/>
      <c r="K25" s="84">
        <v>107763</v>
      </c>
      <c r="L25" s="84"/>
      <c r="M25" s="84">
        <v>261287</v>
      </c>
      <c r="N25" s="84"/>
      <c r="O25" s="84">
        <v>271578</v>
      </c>
      <c r="P25" s="84"/>
      <c r="Q25" s="84">
        <v>0</v>
      </c>
      <c r="R25" s="84"/>
      <c r="S25" s="52">
        <f>5253129</f>
        <v>5253129</v>
      </c>
      <c r="T25" s="52"/>
      <c r="U25" s="84">
        <v>0</v>
      </c>
      <c r="V25" s="84"/>
      <c r="W25" s="84">
        <v>0</v>
      </c>
      <c r="X25" s="84"/>
      <c r="Y25" s="84">
        <v>0</v>
      </c>
      <c r="Z25" s="84"/>
      <c r="AA25" s="84">
        <v>0</v>
      </c>
      <c r="AB25" s="84"/>
      <c r="AC25" s="52">
        <f t="shared" si="0"/>
        <v>9245351</v>
      </c>
      <c r="AD25" s="33"/>
      <c r="AE25" s="67">
        <v>1055080</v>
      </c>
      <c r="AG25" s="106">
        <v>1982575</v>
      </c>
      <c r="AI25" s="56">
        <v>-3425</v>
      </c>
      <c r="AK25" s="106">
        <f>+GenRev!Q25-GenExp!AC25-AE25+GenRev!S25+AG25+AI25-'Gen Fd BS'!O27</f>
        <v>0</v>
      </c>
    </row>
    <row r="26" spans="1:37" s="106" customFormat="1" ht="12.75">
      <c r="A26" s="26" t="s">
        <v>27</v>
      </c>
      <c r="B26" s="26"/>
      <c r="C26" s="84">
        <v>3195517</v>
      </c>
      <c r="D26" s="84"/>
      <c r="E26" s="84">
        <v>1243906</v>
      </c>
      <c r="F26" s="84"/>
      <c r="G26" s="84">
        <f>1750377</f>
        <v>1750377</v>
      </c>
      <c r="H26" s="84"/>
      <c r="I26" s="84">
        <v>0</v>
      </c>
      <c r="J26" s="84"/>
      <c r="K26" s="84">
        <v>22165</v>
      </c>
      <c r="L26" s="84"/>
      <c r="M26" s="84">
        <v>346835</v>
      </c>
      <c r="N26" s="84"/>
      <c r="O26" s="84">
        <v>0</v>
      </c>
      <c r="P26" s="84"/>
      <c r="Q26" s="84">
        <v>0</v>
      </c>
      <c r="R26" s="84"/>
      <c r="S26" s="52">
        <f>1221104</f>
        <v>1221104</v>
      </c>
      <c r="T26" s="52"/>
      <c r="U26" s="84">
        <v>0</v>
      </c>
      <c r="V26" s="84"/>
      <c r="W26" s="84">
        <v>0</v>
      </c>
      <c r="X26" s="84"/>
      <c r="Y26" s="84">
        <v>0</v>
      </c>
      <c r="Z26" s="84"/>
      <c r="AA26" s="84">
        <v>0</v>
      </c>
      <c r="AB26" s="84"/>
      <c r="AC26" s="52">
        <f t="shared" si="0"/>
        <v>7779904</v>
      </c>
      <c r="AD26" s="33"/>
      <c r="AE26" s="67">
        <v>1123857</v>
      </c>
      <c r="AG26" s="106">
        <v>7566723</v>
      </c>
      <c r="AI26" s="56"/>
      <c r="AK26" s="106">
        <f>+GenRev!Q26-GenExp!AC26-AE26+GenRev!S26+AG26+AI26-'Gen Fd BS'!O28</f>
        <v>0</v>
      </c>
    </row>
    <row r="27" spans="1:37" s="106" customFormat="1" ht="12.75">
      <c r="A27" s="26" t="s">
        <v>28</v>
      </c>
      <c r="B27" s="26"/>
      <c r="C27" s="84">
        <v>8190591</v>
      </c>
      <c r="D27" s="84"/>
      <c r="E27" s="84">
        <v>6125270</v>
      </c>
      <c r="F27" s="84"/>
      <c r="G27" s="84">
        <v>18553593</v>
      </c>
      <c r="H27" s="84"/>
      <c r="I27" s="84">
        <v>228694</v>
      </c>
      <c r="J27" s="84"/>
      <c r="K27" s="84">
        <v>9351</v>
      </c>
      <c r="L27" s="84"/>
      <c r="M27" s="84">
        <v>367233</v>
      </c>
      <c r="N27" s="84"/>
      <c r="O27" s="84">
        <v>0</v>
      </c>
      <c r="P27" s="84"/>
      <c r="Q27" s="84">
        <v>0</v>
      </c>
      <c r="R27" s="84"/>
      <c r="S27" s="52">
        <v>0</v>
      </c>
      <c r="T27" s="52"/>
      <c r="U27" s="84">
        <v>0</v>
      </c>
      <c r="V27" s="84"/>
      <c r="W27" s="84">
        <v>713669</v>
      </c>
      <c r="X27" s="84"/>
      <c r="Y27" s="84">
        <v>510000</v>
      </c>
      <c r="Z27" s="84"/>
      <c r="AA27" s="84">
        <v>1150000</v>
      </c>
      <c r="AB27" s="84"/>
      <c r="AC27" s="52">
        <f t="shared" si="0"/>
        <v>35848401</v>
      </c>
      <c r="AD27" s="33"/>
      <c r="AE27" s="67">
        <v>2990297</v>
      </c>
      <c r="AG27" s="106">
        <v>14722759</v>
      </c>
      <c r="AI27" s="56"/>
      <c r="AK27" s="106">
        <f>+GenRev!Q27-GenExp!AC27-AE27+GenRev!S27+AG27+AI27-'Gen Fd BS'!O29</f>
        <v>0</v>
      </c>
    </row>
    <row r="28" spans="1:37" s="106" customFormat="1" ht="12.75">
      <c r="A28" s="26" t="s">
        <v>29</v>
      </c>
      <c r="B28" s="26"/>
      <c r="C28" s="84">
        <v>7807971</v>
      </c>
      <c r="D28" s="84"/>
      <c r="E28" s="84">
        <v>4085250</v>
      </c>
      <c r="F28" s="84"/>
      <c r="G28" s="84">
        <v>7646341</v>
      </c>
      <c r="H28" s="84"/>
      <c r="I28" s="84">
        <v>277033</v>
      </c>
      <c r="J28" s="84"/>
      <c r="K28" s="84">
        <v>75190</v>
      </c>
      <c r="L28" s="84"/>
      <c r="M28" s="84">
        <v>541780</v>
      </c>
      <c r="N28" s="84"/>
      <c r="O28" s="84">
        <v>0</v>
      </c>
      <c r="P28" s="84"/>
      <c r="Q28" s="84">
        <v>366444</v>
      </c>
      <c r="R28" s="84"/>
      <c r="S28" s="52">
        <v>0</v>
      </c>
      <c r="T28" s="52"/>
      <c r="U28" s="84">
        <v>43111</v>
      </c>
      <c r="V28" s="84"/>
      <c r="W28" s="84">
        <v>0</v>
      </c>
      <c r="X28" s="84"/>
      <c r="Y28" s="84">
        <v>13925</v>
      </c>
      <c r="Z28" s="84"/>
      <c r="AA28" s="84">
        <v>1647</v>
      </c>
      <c r="AB28" s="84"/>
      <c r="AC28" s="52">
        <f t="shared" si="0"/>
        <v>20858692</v>
      </c>
      <c r="AD28" s="33"/>
      <c r="AE28" s="67">
        <v>3544028</v>
      </c>
      <c r="AG28" s="106">
        <v>8701981</v>
      </c>
      <c r="AI28" s="56">
        <v>20662</v>
      </c>
      <c r="AK28" s="106">
        <f>+GenRev!Q28-GenExp!AC28-AE28+GenRev!S28+AG28+AI28-'Gen Fd BS'!O30</f>
        <v>0</v>
      </c>
    </row>
    <row r="29" spans="1:37" s="106" customFormat="1" ht="12.75">
      <c r="A29" s="26" t="s">
        <v>30</v>
      </c>
      <c r="B29" s="26"/>
      <c r="C29" s="84">
        <v>7887906</v>
      </c>
      <c r="D29" s="84"/>
      <c r="E29" s="84">
        <v>4249298</v>
      </c>
      <c r="F29" s="84"/>
      <c r="G29" s="84">
        <v>10740130</v>
      </c>
      <c r="H29" s="84"/>
      <c r="I29" s="84">
        <v>0</v>
      </c>
      <c r="J29" s="84"/>
      <c r="K29" s="84">
        <v>629956</v>
      </c>
      <c r="L29" s="84"/>
      <c r="M29" s="84">
        <v>870276</v>
      </c>
      <c r="N29" s="84"/>
      <c r="O29" s="84">
        <v>0</v>
      </c>
      <c r="P29" s="84"/>
      <c r="Q29" s="84">
        <v>0</v>
      </c>
      <c r="R29" s="84"/>
      <c r="S29" s="84">
        <f>147818+1070194</f>
        <v>1218012</v>
      </c>
      <c r="T29" s="52"/>
      <c r="U29" s="84">
        <v>0</v>
      </c>
      <c r="V29" s="84"/>
      <c r="W29" s="84">
        <v>485667</v>
      </c>
      <c r="X29" s="84"/>
      <c r="Y29" s="84">
        <v>259595</v>
      </c>
      <c r="Z29" s="84"/>
      <c r="AA29" s="84">
        <v>10424</v>
      </c>
      <c r="AB29" s="84"/>
      <c r="AC29" s="52">
        <f t="shared" si="0"/>
        <v>26351264</v>
      </c>
      <c r="AD29" s="33"/>
      <c r="AE29" s="67">
        <v>3657941</v>
      </c>
      <c r="AG29" s="106">
        <v>14731499</v>
      </c>
      <c r="AI29" s="56"/>
      <c r="AK29" s="106">
        <f>+GenRev!Q29-GenExp!AC29-AE29+GenRev!S29+AG29+AI29-'Gen Fd BS'!O31</f>
        <v>0</v>
      </c>
    </row>
    <row r="30" spans="1:37" s="106" customFormat="1" ht="12.75" hidden="1">
      <c r="A30" s="26" t="s">
        <v>31</v>
      </c>
      <c r="B30" s="26"/>
      <c r="C30" s="84">
        <v>0</v>
      </c>
      <c r="D30" s="84"/>
      <c r="E30" s="84">
        <v>0</v>
      </c>
      <c r="F30" s="84"/>
      <c r="G30" s="84">
        <v>0</v>
      </c>
      <c r="H30" s="84"/>
      <c r="I30" s="84">
        <v>0</v>
      </c>
      <c r="J30" s="84"/>
      <c r="K30" s="84">
        <v>0</v>
      </c>
      <c r="L30" s="84"/>
      <c r="M30" s="84">
        <v>0</v>
      </c>
      <c r="N30" s="84"/>
      <c r="O30" s="84">
        <v>0</v>
      </c>
      <c r="P30" s="84"/>
      <c r="Q30" s="84">
        <v>0</v>
      </c>
      <c r="R30" s="84"/>
      <c r="S30" s="52">
        <v>0</v>
      </c>
      <c r="T30" s="52"/>
      <c r="U30" s="84">
        <v>0</v>
      </c>
      <c r="V30" s="84"/>
      <c r="W30" s="84">
        <v>0</v>
      </c>
      <c r="X30" s="84"/>
      <c r="Y30" s="84">
        <v>0</v>
      </c>
      <c r="Z30" s="84"/>
      <c r="AA30" s="84">
        <v>0</v>
      </c>
      <c r="AB30" s="84"/>
      <c r="AC30" s="52">
        <f t="shared" si="0"/>
        <v>0</v>
      </c>
      <c r="AD30" s="33"/>
      <c r="AE30" s="67"/>
      <c r="AI30" s="56"/>
      <c r="AK30" s="106">
        <f>+GenRev!Q30-GenExp!AC30-AE30+GenRev!S30+AG30+AI30-'Gen Fd BS'!O32</f>
        <v>0</v>
      </c>
    </row>
    <row r="31" spans="1:37" s="106" customFormat="1" ht="12.75">
      <c r="A31" s="26" t="s">
        <v>32</v>
      </c>
      <c r="B31" s="26"/>
      <c r="C31" s="84">
        <v>54662</v>
      </c>
      <c r="D31" s="84"/>
      <c r="E31" s="84">
        <v>60109</v>
      </c>
      <c r="F31" s="84"/>
      <c r="G31" s="84">
        <v>89744</v>
      </c>
      <c r="H31" s="84"/>
      <c r="I31" s="84">
        <v>377</v>
      </c>
      <c r="J31" s="84"/>
      <c r="K31" s="84">
        <v>0</v>
      </c>
      <c r="L31" s="84"/>
      <c r="M31" s="84">
        <v>3114</v>
      </c>
      <c r="N31" s="84"/>
      <c r="O31" s="84">
        <v>943</v>
      </c>
      <c r="P31" s="84"/>
      <c r="Q31" s="84">
        <v>0</v>
      </c>
      <c r="R31" s="84"/>
      <c r="S31" s="52">
        <v>0</v>
      </c>
      <c r="T31" s="52"/>
      <c r="U31" s="84">
        <v>0</v>
      </c>
      <c r="V31" s="84"/>
      <c r="W31" s="84">
        <v>5064</v>
      </c>
      <c r="X31" s="84"/>
      <c r="Y31" s="84">
        <v>301</v>
      </c>
      <c r="Z31" s="84"/>
      <c r="AA31" s="84">
        <v>105</v>
      </c>
      <c r="AB31" s="84"/>
      <c r="AC31" s="52">
        <f t="shared" si="0"/>
        <v>214419</v>
      </c>
      <c r="AD31" s="33"/>
      <c r="AE31" s="67">
        <v>32151</v>
      </c>
      <c r="AG31" s="106">
        <v>141506</v>
      </c>
      <c r="AI31" s="56"/>
      <c r="AK31" s="106">
        <f>+GenRev!Q31-GenExp!AC31-AE31+GenRev!S31+AG31+AI31-'Gen Fd BS'!O33</f>
        <v>0</v>
      </c>
    </row>
    <row r="32" spans="1:37" s="106" customFormat="1" ht="12.75">
      <c r="A32" s="26" t="s">
        <v>33</v>
      </c>
      <c r="B32" s="26"/>
      <c r="C32" s="84">
        <v>3130225</v>
      </c>
      <c r="D32" s="84"/>
      <c r="E32" s="84">
        <v>1275055</v>
      </c>
      <c r="F32" s="84"/>
      <c r="G32" s="84">
        <v>2832653</v>
      </c>
      <c r="H32" s="84"/>
      <c r="I32" s="84">
        <v>118952</v>
      </c>
      <c r="J32" s="84"/>
      <c r="K32" s="84">
        <v>64860</v>
      </c>
      <c r="L32" s="84"/>
      <c r="M32" s="84">
        <v>499973</v>
      </c>
      <c r="N32" s="84"/>
      <c r="O32" s="84">
        <v>0</v>
      </c>
      <c r="P32" s="84"/>
      <c r="Q32" s="84">
        <v>0</v>
      </c>
      <c r="R32" s="84"/>
      <c r="S32" s="52">
        <v>1007259</v>
      </c>
      <c r="T32" s="52"/>
      <c r="U32" s="84">
        <v>0</v>
      </c>
      <c r="V32" s="84"/>
      <c r="W32" s="84">
        <v>829936</v>
      </c>
      <c r="X32" s="84"/>
      <c r="Y32" s="84">
        <v>0</v>
      </c>
      <c r="Z32" s="84"/>
      <c r="AA32" s="84">
        <v>0</v>
      </c>
      <c r="AB32" s="84"/>
      <c r="AC32" s="52">
        <f t="shared" si="0"/>
        <v>9758913</v>
      </c>
      <c r="AD32" s="33"/>
      <c r="AE32" s="67">
        <v>744751</v>
      </c>
      <c r="AG32" s="106">
        <v>4616472</v>
      </c>
      <c r="AI32" s="56"/>
      <c r="AK32" s="106">
        <f>+GenRev!Q32-GenExp!AC32-AE32+GenRev!S32+AG32+AI32-'Gen Fd BS'!O34</f>
        <v>0</v>
      </c>
    </row>
    <row r="33" spans="1:37" s="106" customFormat="1" ht="12.75">
      <c r="A33" s="26" t="s">
        <v>34</v>
      </c>
      <c r="B33" s="26"/>
      <c r="C33" s="84">
        <v>1869386</v>
      </c>
      <c r="D33" s="84"/>
      <c r="E33" s="84">
        <v>887986</v>
      </c>
      <c r="F33" s="84"/>
      <c r="G33" s="84">
        <v>2288495</v>
      </c>
      <c r="H33" s="84"/>
      <c r="I33" s="84">
        <v>110828</v>
      </c>
      <c r="J33" s="84"/>
      <c r="K33" s="84">
        <v>44063</v>
      </c>
      <c r="L33" s="84"/>
      <c r="M33" s="84">
        <v>246008</v>
      </c>
      <c r="N33" s="84"/>
      <c r="O33" s="84">
        <v>0</v>
      </c>
      <c r="P33" s="84"/>
      <c r="Q33" s="84">
        <v>0</v>
      </c>
      <c r="R33" s="84"/>
      <c r="S33" s="52">
        <v>791924</v>
      </c>
      <c r="T33" s="52"/>
      <c r="U33" s="84">
        <v>0</v>
      </c>
      <c r="V33" s="84"/>
      <c r="W33" s="84">
        <v>0</v>
      </c>
      <c r="X33" s="84"/>
      <c r="Y33" s="84">
        <v>5267</v>
      </c>
      <c r="Z33" s="84"/>
      <c r="AA33" s="84">
        <v>1263</v>
      </c>
      <c r="AB33" s="84"/>
      <c r="AC33" s="52">
        <f t="shared" si="0"/>
        <v>6245220</v>
      </c>
      <c r="AD33" s="33"/>
      <c r="AE33" s="67">
        <v>1023570</v>
      </c>
      <c r="AG33" s="106">
        <v>972857</v>
      </c>
      <c r="AI33" s="56"/>
      <c r="AK33" s="106">
        <f>+GenRev!Q33-GenExp!AC33-AE33+GenRev!S33+AG33+AI33-'Gen Fd BS'!O35</f>
        <v>0</v>
      </c>
    </row>
    <row r="34" spans="1:37" s="106" customFormat="1" ht="12.75">
      <c r="A34" s="26" t="s">
        <v>35</v>
      </c>
      <c r="B34" s="26"/>
      <c r="C34" s="84">
        <v>5306410</v>
      </c>
      <c r="D34" s="84"/>
      <c r="E34" s="84">
        <v>2212450</v>
      </c>
      <c r="F34" s="84"/>
      <c r="G34" s="84">
        <v>7328820</v>
      </c>
      <c r="H34" s="84"/>
      <c r="I34" s="84">
        <v>129644</v>
      </c>
      <c r="J34" s="84"/>
      <c r="K34" s="84">
        <v>0</v>
      </c>
      <c r="L34" s="84"/>
      <c r="M34" s="84">
        <v>299029</v>
      </c>
      <c r="N34" s="84"/>
      <c r="O34" s="84">
        <v>0</v>
      </c>
      <c r="P34" s="84"/>
      <c r="Q34" s="84">
        <v>0</v>
      </c>
      <c r="R34" s="84"/>
      <c r="S34" s="52">
        <v>1185359</v>
      </c>
      <c r="T34" s="52"/>
      <c r="U34" s="84">
        <v>0</v>
      </c>
      <c r="V34" s="84"/>
      <c r="W34" s="84">
        <v>575479</v>
      </c>
      <c r="X34" s="84"/>
      <c r="Y34" s="84">
        <v>0</v>
      </c>
      <c r="Z34" s="84"/>
      <c r="AA34" s="84">
        <v>0</v>
      </c>
      <c r="AB34" s="84"/>
      <c r="AC34" s="52">
        <f t="shared" si="0"/>
        <v>17037191</v>
      </c>
      <c r="AD34" s="33"/>
      <c r="AE34" s="67">
        <v>1284356</v>
      </c>
      <c r="AG34" s="106">
        <v>3578541</v>
      </c>
      <c r="AI34" s="56"/>
      <c r="AK34" s="106">
        <f>+GenRev!Q34-GenExp!AC34-AE34+GenRev!S34+AG34+AI34-'Gen Fd BS'!O36</f>
        <v>0</v>
      </c>
    </row>
    <row r="35" spans="1:37" s="106" customFormat="1" ht="12.75">
      <c r="A35" s="26" t="s">
        <v>194</v>
      </c>
      <c r="B35" s="26"/>
      <c r="C35" s="84">
        <v>13009745</v>
      </c>
      <c r="D35" s="84"/>
      <c r="E35" s="84">
        <v>6319792</v>
      </c>
      <c r="F35" s="84"/>
      <c r="G35" s="84">
        <v>15159024</v>
      </c>
      <c r="H35" s="84"/>
      <c r="I35" s="84">
        <v>951976</v>
      </c>
      <c r="J35" s="84"/>
      <c r="K35" s="84">
        <v>150043</v>
      </c>
      <c r="L35" s="84"/>
      <c r="M35" s="84">
        <v>349227</v>
      </c>
      <c r="N35" s="84"/>
      <c r="O35" s="84">
        <v>481539</v>
      </c>
      <c r="P35" s="84"/>
      <c r="Q35" s="84">
        <v>2518616</v>
      </c>
      <c r="R35" s="84"/>
      <c r="S35" s="52">
        <v>0</v>
      </c>
      <c r="T35" s="52"/>
      <c r="U35" s="84">
        <v>0</v>
      </c>
      <c r="V35" s="84"/>
      <c r="W35" s="84">
        <v>0</v>
      </c>
      <c r="X35" s="84"/>
      <c r="Y35" s="84">
        <v>7886</v>
      </c>
      <c r="Z35" s="84"/>
      <c r="AA35" s="84">
        <v>11850</v>
      </c>
      <c r="AB35" s="84"/>
      <c r="AC35" s="52">
        <f t="shared" si="0"/>
        <v>38959698</v>
      </c>
      <c r="AD35" s="33"/>
      <c r="AE35" s="67">
        <v>2401872</v>
      </c>
      <c r="AG35" s="106">
        <v>11878530</v>
      </c>
      <c r="AI35" s="56"/>
      <c r="AK35" s="106">
        <f>+GenRev!Q35-GenExp!AC35-AE35+GenRev!S35+AG35+AI35-'Gen Fd BS'!O37</f>
        <v>0</v>
      </c>
    </row>
    <row r="36" spans="1:37" s="106" customFormat="1" ht="12.75">
      <c r="A36" s="26" t="s">
        <v>36</v>
      </c>
      <c r="B36" s="26"/>
      <c r="C36" s="84">
        <v>5369477</v>
      </c>
      <c r="D36" s="84"/>
      <c r="E36" s="84">
        <v>2031547</v>
      </c>
      <c r="F36" s="84"/>
      <c r="G36" s="84">
        <v>2648185</v>
      </c>
      <c r="H36" s="84"/>
      <c r="I36" s="84">
        <v>276892</v>
      </c>
      <c r="J36" s="84"/>
      <c r="K36" s="84">
        <v>48547</v>
      </c>
      <c r="L36" s="84"/>
      <c r="M36" s="84">
        <v>291380</v>
      </c>
      <c r="N36" s="84"/>
      <c r="O36" s="84">
        <v>125618</v>
      </c>
      <c r="P36" s="84"/>
      <c r="Q36" s="84">
        <v>0</v>
      </c>
      <c r="R36" s="84"/>
      <c r="S36" s="52">
        <v>316608</v>
      </c>
      <c r="T36" s="52"/>
      <c r="U36" s="84">
        <v>186659</v>
      </c>
      <c r="V36" s="84"/>
      <c r="W36" s="84">
        <v>0</v>
      </c>
      <c r="X36" s="84"/>
      <c r="Y36" s="84">
        <v>46530</v>
      </c>
      <c r="Z36" s="84"/>
      <c r="AA36" s="84">
        <v>9872</v>
      </c>
      <c r="AB36" s="84"/>
      <c r="AC36" s="52">
        <f t="shared" si="0"/>
        <v>11351315</v>
      </c>
      <c r="AD36" s="33"/>
      <c r="AE36" s="67">
        <v>886995</v>
      </c>
      <c r="AG36" s="106">
        <v>4748469</v>
      </c>
      <c r="AI36" s="56"/>
      <c r="AK36" s="106">
        <f>+GenRev!Q36-GenExp!AC36-AE36+GenRev!S36+AG36+AI36-'Gen Fd BS'!O38</f>
        <v>0</v>
      </c>
    </row>
    <row r="37" spans="1:37" s="106" customFormat="1" ht="12.75">
      <c r="A37" s="26" t="s">
        <v>37</v>
      </c>
      <c r="B37" s="26"/>
      <c r="C37" s="84">
        <v>48152</v>
      </c>
      <c r="D37" s="84"/>
      <c r="E37" s="84">
        <v>92482</v>
      </c>
      <c r="F37" s="84"/>
      <c r="G37" s="84">
        <v>80745</v>
      </c>
      <c r="H37" s="84"/>
      <c r="I37" s="84">
        <v>2473</v>
      </c>
      <c r="J37" s="84"/>
      <c r="K37" s="84">
        <v>0</v>
      </c>
      <c r="L37" s="84"/>
      <c r="M37" s="84">
        <v>1022</v>
      </c>
      <c r="N37" s="84"/>
      <c r="O37" s="84">
        <v>954</v>
      </c>
      <c r="P37" s="84"/>
      <c r="Q37" s="84">
        <v>0</v>
      </c>
      <c r="R37" s="84"/>
      <c r="S37" s="52">
        <v>0</v>
      </c>
      <c r="T37" s="52"/>
      <c r="U37" s="84">
        <v>0</v>
      </c>
      <c r="V37" s="84"/>
      <c r="W37" s="84">
        <v>0</v>
      </c>
      <c r="X37" s="84"/>
      <c r="Y37" s="84">
        <v>0</v>
      </c>
      <c r="Z37" s="84"/>
      <c r="AA37" s="84">
        <v>0</v>
      </c>
      <c r="AB37" s="84"/>
      <c r="AC37" s="52">
        <f t="shared" si="0"/>
        <v>225828</v>
      </c>
      <c r="AD37" s="33"/>
      <c r="AE37" s="67">
        <v>20721</v>
      </c>
      <c r="AG37" s="106">
        <v>101927</v>
      </c>
      <c r="AI37" s="56"/>
      <c r="AK37" s="106">
        <f>+GenRev!Q37-GenExp!AC37-AE37+GenRev!S37+AG37+AI37-'Gen Fd BS'!O39</f>
        <v>0</v>
      </c>
    </row>
    <row r="38" spans="1:37" s="106" customFormat="1" ht="12.75">
      <c r="A38" s="26" t="s">
        <v>38</v>
      </c>
      <c r="B38" s="26"/>
      <c r="C38" s="84">
        <v>4240184</v>
      </c>
      <c r="D38" s="84"/>
      <c r="E38" s="84">
        <v>2548276</v>
      </c>
      <c r="F38" s="84"/>
      <c r="G38" s="84">
        <v>4533911</v>
      </c>
      <c r="H38" s="84"/>
      <c r="I38" s="84">
        <v>106312</v>
      </c>
      <c r="J38" s="84"/>
      <c r="K38" s="84">
        <v>302116</v>
      </c>
      <c r="L38" s="84"/>
      <c r="M38" s="84">
        <v>418088</v>
      </c>
      <c r="N38" s="84"/>
      <c r="O38" s="84">
        <v>0</v>
      </c>
      <c r="P38" s="84"/>
      <c r="Q38" s="84">
        <v>0</v>
      </c>
      <c r="R38" s="84"/>
      <c r="S38" s="52">
        <v>0</v>
      </c>
      <c r="T38" s="52"/>
      <c r="U38" s="84">
        <v>0</v>
      </c>
      <c r="V38" s="84"/>
      <c r="W38" s="84">
        <v>374166</v>
      </c>
      <c r="X38" s="84"/>
      <c r="Y38" s="84">
        <v>36152</v>
      </c>
      <c r="Z38" s="84"/>
      <c r="AA38" s="84">
        <v>4183</v>
      </c>
      <c r="AB38" s="84"/>
      <c r="AC38" s="52">
        <f t="shared" si="0"/>
        <v>12563388</v>
      </c>
      <c r="AD38" s="33"/>
      <c r="AE38" s="67">
        <v>597</v>
      </c>
      <c r="AG38" s="106">
        <v>2792904</v>
      </c>
      <c r="AI38" s="56"/>
      <c r="AK38" s="106">
        <f>+GenRev!Q38-GenExp!AC38-AE38+GenRev!S38+AG38+AI38-'Gen Fd BS'!O40</f>
        <v>0</v>
      </c>
    </row>
    <row r="39" spans="1:37" s="106" customFormat="1" ht="12.75" hidden="1">
      <c r="A39" s="26" t="s">
        <v>177</v>
      </c>
      <c r="B39" s="26"/>
      <c r="C39" s="84">
        <v>0</v>
      </c>
      <c r="D39" s="84"/>
      <c r="E39" s="84">
        <v>0</v>
      </c>
      <c r="F39" s="84"/>
      <c r="G39" s="84">
        <v>0</v>
      </c>
      <c r="H39" s="84"/>
      <c r="I39" s="84">
        <v>0</v>
      </c>
      <c r="J39" s="84"/>
      <c r="K39" s="84">
        <v>0</v>
      </c>
      <c r="L39" s="84"/>
      <c r="M39" s="84">
        <v>0</v>
      </c>
      <c r="N39" s="84"/>
      <c r="O39" s="84">
        <v>0</v>
      </c>
      <c r="P39" s="84"/>
      <c r="Q39" s="84">
        <v>0</v>
      </c>
      <c r="R39" s="84"/>
      <c r="S39" s="52">
        <v>0</v>
      </c>
      <c r="T39" s="52"/>
      <c r="U39" s="84">
        <v>0</v>
      </c>
      <c r="V39" s="84"/>
      <c r="W39" s="84">
        <v>0</v>
      </c>
      <c r="X39" s="84"/>
      <c r="Y39" s="84">
        <v>0</v>
      </c>
      <c r="Z39" s="84"/>
      <c r="AA39" s="84">
        <v>0</v>
      </c>
      <c r="AB39" s="84"/>
      <c r="AC39" s="52">
        <f t="shared" si="0"/>
        <v>0</v>
      </c>
      <c r="AD39" s="33"/>
      <c r="AE39" s="67"/>
      <c r="AI39" s="56"/>
      <c r="AK39" s="106">
        <f>+GenRev!Q39-GenExp!AC39-AE39+GenRev!S39+AG39+AI39-'Gen Fd BS'!O41</f>
        <v>0</v>
      </c>
    </row>
    <row r="40" spans="1:37" s="106" customFormat="1" ht="12.75" hidden="1">
      <c r="A40" s="26" t="s">
        <v>39</v>
      </c>
      <c r="B40" s="26"/>
      <c r="C40" s="84">
        <v>0</v>
      </c>
      <c r="D40" s="84"/>
      <c r="E40" s="84">
        <v>0</v>
      </c>
      <c r="F40" s="84"/>
      <c r="G40" s="84">
        <v>0</v>
      </c>
      <c r="H40" s="84"/>
      <c r="I40" s="84">
        <v>0</v>
      </c>
      <c r="J40" s="84"/>
      <c r="K40" s="84">
        <v>0</v>
      </c>
      <c r="L40" s="84"/>
      <c r="M40" s="84">
        <v>0</v>
      </c>
      <c r="N40" s="84"/>
      <c r="O40" s="84">
        <v>0</v>
      </c>
      <c r="P40" s="84"/>
      <c r="Q40" s="84">
        <v>0</v>
      </c>
      <c r="R40" s="84"/>
      <c r="S40" s="52">
        <v>0</v>
      </c>
      <c r="T40" s="52"/>
      <c r="U40" s="84">
        <v>0</v>
      </c>
      <c r="V40" s="84"/>
      <c r="W40" s="84">
        <v>0</v>
      </c>
      <c r="X40" s="84"/>
      <c r="Y40" s="84">
        <v>0</v>
      </c>
      <c r="Z40" s="84"/>
      <c r="AA40" s="84">
        <v>0</v>
      </c>
      <c r="AB40" s="84"/>
      <c r="AC40" s="52">
        <f t="shared" si="0"/>
        <v>0</v>
      </c>
      <c r="AD40" s="33"/>
      <c r="AE40" s="67"/>
      <c r="AI40" s="56"/>
      <c r="AK40" s="106">
        <f>+GenRev!Q40-GenExp!AC40-AE40+GenRev!S40+AG40+AI40-'Gen Fd BS'!O42</f>
        <v>0</v>
      </c>
    </row>
    <row r="41" spans="1:37" s="106" customFormat="1" ht="12.75">
      <c r="A41" s="26" t="s">
        <v>40</v>
      </c>
      <c r="B41" s="26"/>
      <c r="C41" s="84">
        <v>1308346</v>
      </c>
      <c r="D41" s="84"/>
      <c r="E41" s="84">
        <v>833956</v>
      </c>
      <c r="F41" s="84"/>
      <c r="G41" s="84">
        <v>1839381</v>
      </c>
      <c r="H41" s="84"/>
      <c r="I41" s="84">
        <v>519173</v>
      </c>
      <c r="J41" s="84"/>
      <c r="K41" s="84">
        <v>33455</v>
      </c>
      <c r="L41" s="84"/>
      <c r="M41" s="84">
        <v>280154</v>
      </c>
      <c r="N41" s="84"/>
      <c r="O41" s="84">
        <v>213</v>
      </c>
      <c r="P41" s="84"/>
      <c r="Q41" s="84">
        <v>0</v>
      </c>
      <c r="R41" s="84"/>
      <c r="S41" s="52">
        <v>1187313</v>
      </c>
      <c r="T41" s="52"/>
      <c r="U41" s="84">
        <v>13515</v>
      </c>
      <c r="V41" s="84"/>
      <c r="W41" s="84">
        <v>0</v>
      </c>
      <c r="X41" s="84"/>
      <c r="Y41" s="84">
        <v>0</v>
      </c>
      <c r="Z41" s="84"/>
      <c r="AA41" s="84">
        <v>0</v>
      </c>
      <c r="AB41" s="84"/>
      <c r="AC41" s="52">
        <f t="shared" si="0"/>
        <v>6015506</v>
      </c>
      <c r="AD41" s="33"/>
      <c r="AE41" s="67">
        <v>645667</v>
      </c>
      <c r="AG41" s="106">
        <v>2418584</v>
      </c>
      <c r="AI41" s="56"/>
      <c r="AK41" s="106">
        <f>+GenRev!Q41-GenExp!AC41-AE41+GenRev!S41+AG41+AI41-'Gen Fd BS'!O43</f>
        <v>0</v>
      </c>
    </row>
    <row r="42" spans="1:37" s="106" customFormat="1" ht="12.75" hidden="1">
      <c r="A42" s="26" t="s">
        <v>41</v>
      </c>
      <c r="B42" s="26"/>
      <c r="C42" s="84">
        <v>0</v>
      </c>
      <c r="D42" s="84"/>
      <c r="E42" s="84">
        <v>0</v>
      </c>
      <c r="F42" s="84"/>
      <c r="G42" s="84">
        <v>0</v>
      </c>
      <c r="H42" s="84"/>
      <c r="I42" s="84">
        <v>0</v>
      </c>
      <c r="J42" s="84"/>
      <c r="K42" s="84">
        <v>0</v>
      </c>
      <c r="L42" s="84"/>
      <c r="M42" s="84">
        <v>0</v>
      </c>
      <c r="N42" s="84"/>
      <c r="O42" s="84">
        <v>0</v>
      </c>
      <c r="P42" s="84"/>
      <c r="Q42" s="84">
        <v>0</v>
      </c>
      <c r="R42" s="84"/>
      <c r="S42" s="52">
        <v>0</v>
      </c>
      <c r="T42" s="52"/>
      <c r="U42" s="84">
        <v>0</v>
      </c>
      <c r="V42" s="84"/>
      <c r="W42" s="84">
        <v>0</v>
      </c>
      <c r="X42" s="84"/>
      <c r="Y42" s="84">
        <v>0</v>
      </c>
      <c r="Z42" s="84"/>
      <c r="AA42" s="84">
        <v>0</v>
      </c>
      <c r="AB42" s="84"/>
      <c r="AC42" s="52">
        <f t="shared" si="0"/>
        <v>0</v>
      </c>
      <c r="AD42" s="33"/>
      <c r="AE42" s="67"/>
      <c r="AI42" s="56"/>
      <c r="AK42" s="106">
        <f>+GenRev!Q42-GenExp!AC42-AE42+GenRev!S42+AG42+AI42-'Gen Fd BS'!O44</f>
        <v>0</v>
      </c>
    </row>
    <row r="43" spans="1:37" s="106" customFormat="1" ht="12.75">
      <c r="A43" s="26" t="s">
        <v>42</v>
      </c>
      <c r="B43" s="26"/>
      <c r="C43" s="84">
        <v>1551301</v>
      </c>
      <c r="D43" s="84"/>
      <c r="E43" s="84">
        <v>1073410</v>
      </c>
      <c r="F43" s="84"/>
      <c r="G43" s="84">
        <v>1644746</v>
      </c>
      <c r="H43" s="84"/>
      <c r="I43" s="84">
        <v>23177</v>
      </c>
      <c r="J43" s="84"/>
      <c r="K43" s="84">
        <v>43962</v>
      </c>
      <c r="L43" s="84"/>
      <c r="M43" s="84">
        <v>182492</v>
      </c>
      <c r="N43" s="84"/>
      <c r="O43" s="84">
        <v>68235</v>
      </c>
      <c r="P43" s="84"/>
      <c r="Q43" s="84">
        <v>212858</v>
      </c>
      <c r="R43" s="84"/>
      <c r="S43" s="52">
        <v>628015</v>
      </c>
      <c r="T43" s="52"/>
      <c r="U43" s="84">
        <v>40712</v>
      </c>
      <c r="V43" s="84"/>
      <c r="W43" s="84">
        <v>0</v>
      </c>
      <c r="X43" s="84"/>
      <c r="Y43" s="84">
        <v>40959</v>
      </c>
      <c r="Z43" s="84"/>
      <c r="AA43" s="84">
        <v>2901</v>
      </c>
      <c r="AB43" s="84"/>
      <c r="AC43" s="52">
        <f t="shared" si="0"/>
        <v>5512768</v>
      </c>
      <c r="AD43" s="33"/>
      <c r="AE43" s="67">
        <v>66877</v>
      </c>
      <c r="AG43" s="106">
        <v>1615614</v>
      </c>
      <c r="AI43" s="56"/>
      <c r="AK43" s="106">
        <f>+GenRev!Q43-GenExp!AC43-AE43+GenRev!S43+AG43+AI43-'Gen Fd BS'!O45</f>
        <v>0</v>
      </c>
    </row>
    <row r="44" spans="1:37" s="106" customFormat="1" ht="12.75">
      <c r="A44" s="26" t="s">
        <v>43</v>
      </c>
      <c r="B44" s="26"/>
      <c r="C44" s="84">
        <v>2549786</v>
      </c>
      <c r="D44" s="84"/>
      <c r="E44" s="84">
        <v>1539556</v>
      </c>
      <c r="F44" s="84"/>
      <c r="G44" s="84">
        <v>3475098</v>
      </c>
      <c r="H44" s="84"/>
      <c r="I44" s="84">
        <v>34085</v>
      </c>
      <c r="J44" s="84"/>
      <c r="K44" s="84">
        <v>57986</v>
      </c>
      <c r="L44" s="84"/>
      <c r="M44" s="84">
        <v>265779</v>
      </c>
      <c r="N44" s="84"/>
      <c r="O44" s="84">
        <v>0</v>
      </c>
      <c r="P44" s="84"/>
      <c r="Q44" s="84">
        <v>336800</v>
      </c>
      <c r="R44" s="84"/>
      <c r="S44" s="52">
        <v>880</v>
      </c>
      <c r="T44" s="52"/>
      <c r="U44" s="84">
        <v>0</v>
      </c>
      <c r="V44" s="84"/>
      <c r="W44" s="84">
        <v>220981</v>
      </c>
      <c r="X44" s="84"/>
      <c r="Y44" s="84">
        <v>0</v>
      </c>
      <c r="Z44" s="84"/>
      <c r="AA44" s="84">
        <v>0</v>
      </c>
      <c r="AB44" s="84"/>
      <c r="AC44" s="52">
        <f t="shared" si="0"/>
        <v>8480951</v>
      </c>
      <c r="AD44" s="33"/>
      <c r="AE44" s="67">
        <v>933469</v>
      </c>
      <c r="AG44" s="106">
        <v>1755023</v>
      </c>
      <c r="AI44" s="56"/>
      <c r="AK44" s="106">
        <f>+GenRev!Q44-GenExp!AC44-AE44+GenRev!S44+AG44+AI44-'Gen Fd BS'!O46</f>
        <v>0</v>
      </c>
    </row>
    <row r="45" spans="1:37" s="106" customFormat="1" ht="12.75">
      <c r="A45" s="26" t="s">
        <v>44</v>
      </c>
      <c r="B45" s="26"/>
      <c r="C45" s="84">
        <v>4576918</v>
      </c>
      <c r="D45" s="84"/>
      <c r="E45" s="84">
        <v>1950587</v>
      </c>
      <c r="F45" s="84"/>
      <c r="G45" s="84">
        <v>4620499</v>
      </c>
      <c r="H45" s="84"/>
      <c r="I45" s="84">
        <v>0</v>
      </c>
      <c r="J45" s="84"/>
      <c r="K45" s="84">
        <v>106551</v>
      </c>
      <c r="L45" s="84"/>
      <c r="M45" s="84">
        <v>1138771</v>
      </c>
      <c r="N45" s="84"/>
      <c r="O45" s="84">
        <v>0</v>
      </c>
      <c r="P45" s="84"/>
      <c r="Q45" s="84">
        <v>0</v>
      </c>
      <c r="R45" s="84"/>
      <c r="S45" s="52">
        <v>382000</v>
      </c>
      <c r="T45" s="52"/>
      <c r="U45" s="84">
        <v>49837</v>
      </c>
      <c r="V45" s="84"/>
      <c r="W45" s="84">
        <v>0</v>
      </c>
      <c r="X45" s="84"/>
      <c r="Y45" s="84">
        <v>0</v>
      </c>
      <c r="Z45" s="84"/>
      <c r="AA45" s="84">
        <v>0</v>
      </c>
      <c r="AB45" s="84"/>
      <c r="AC45" s="52">
        <f t="shared" si="0"/>
        <v>12825163</v>
      </c>
      <c r="AD45" s="33"/>
      <c r="AE45" s="67">
        <v>764500</v>
      </c>
      <c r="AG45" s="106">
        <v>4395199</v>
      </c>
      <c r="AI45" s="56"/>
      <c r="AK45" s="106">
        <f>+GenRev!Q45-GenExp!AC45-AE45+GenRev!S45+AG45+AI45-'Gen Fd BS'!O47</f>
        <v>0</v>
      </c>
    </row>
    <row r="46" spans="1:37" s="106" customFormat="1" ht="12.75" hidden="1">
      <c r="A46" s="26" t="s">
        <v>45</v>
      </c>
      <c r="B46" s="26"/>
      <c r="C46" s="84">
        <v>0</v>
      </c>
      <c r="D46" s="84"/>
      <c r="E46" s="84">
        <v>0</v>
      </c>
      <c r="F46" s="84"/>
      <c r="G46" s="84">
        <v>0</v>
      </c>
      <c r="H46" s="84"/>
      <c r="I46" s="84">
        <v>0</v>
      </c>
      <c r="J46" s="84"/>
      <c r="K46" s="84">
        <v>0</v>
      </c>
      <c r="L46" s="84"/>
      <c r="M46" s="84">
        <v>0</v>
      </c>
      <c r="N46" s="84"/>
      <c r="O46" s="84">
        <v>0</v>
      </c>
      <c r="P46" s="84"/>
      <c r="Q46" s="84">
        <v>0</v>
      </c>
      <c r="R46" s="84"/>
      <c r="S46" s="52">
        <v>0</v>
      </c>
      <c r="T46" s="52"/>
      <c r="U46" s="84">
        <v>0</v>
      </c>
      <c r="V46" s="84"/>
      <c r="W46" s="84">
        <v>0</v>
      </c>
      <c r="X46" s="84"/>
      <c r="Y46" s="84">
        <v>0</v>
      </c>
      <c r="Z46" s="84"/>
      <c r="AA46" s="84">
        <v>0</v>
      </c>
      <c r="AB46" s="84"/>
      <c r="AC46" s="52">
        <f t="shared" si="0"/>
        <v>0</v>
      </c>
      <c r="AD46" s="33"/>
      <c r="AE46" s="67"/>
      <c r="AI46" s="56"/>
      <c r="AK46" s="106">
        <f>+GenRev!Q46-GenExp!AC46-AE46+GenRev!S46+AG46+AI46-'Gen Fd BS'!O48</f>
        <v>0</v>
      </c>
    </row>
    <row r="47" spans="1:37" s="106" customFormat="1" ht="12.75">
      <c r="A47" s="26" t="s">
        <v>46</v>
      </c>
      <c r="B47" s="26"/>
      <c r="C47" s="84">
        <v>4719734</v>
      </c>
      <c r="D47" s="84"/>
      <c r="E47" s="84">
        <v>3541116</v>
      </c>
      <c r="F47" s="84"/>
      <c r="G47" s="84">
        <v>709081</v>
      </c>
      <c r="H47" s="84"/>
      <c r="I47" s="84">
        <v>0</v>
      </c>
      <c r="J47" s="84"/>
      <c r="K47" s="84">
        <v>227774</v>
      </c>
      <c r="L47" s="84"/>
      <c r="M47" s="84">
        <v>990784</v>
      </c>
      <c r="N47" s="84"/>
      <c r="O47" s="84">
        <v>0</v>
      </c>
      <c r="P47" s="84"/>
      <c r="Q47" s="84">
        <v>0</v>
      </c>
      <c r="R47" s="84"/>
      <c r="S47" s="52">
        <v>611041</v>
      </c>
      <c r="T47" s="52"/>
      <c r="U47" s="84">
        <v>24663</v>
      </c>
      <c r="V47" s="84"/>
      <c r="W47" s="84">
        <v>59999</v>
      </c>
      <c r="X47" s="84"/>
      <c r="Y47" s="84">
        <v>23877</v>
      </c>
      <c r="Z47" s="84"/>
      <c r="AA47" s="84">
        <v>3163</v>
      </c>
      <c r="AB47" s="84"/>
      <c r="AC47" s="52">
        <f t="shared" si="0"/>
        <v>10911232</v>
      </c>
      <c r="AD47" s="33"/>
      <c r="AE47" s="67">
        <v>1582487</v>
      </c>
      <c r="AG47" s="106">
        <v>2871803</v>
      </c>
      <c r="AI47" s="56"/>
      <c r="AK47" s="106">
        <f>+GenRev!Q47-GenExp!AC47-AE47+GenRev!S47+AG47+AI47-'Gen Fd BS'!O49</f>
        <v>0</v>
      </c>
    </row>
    <row r="48" spans="1:37" s="106" customFormat="1" ht="12.75">
      <c r="A48" s="26" t="s">
        <v>47</v>
      </c>
      <c r="B48" s="26"/>
      <c r="C48" s="84">
        <v>4746333</v>
      </c>
      <c r="D48" s="84"/>
      <c r="E48" s="84">
        <v>1575402</v>
      </c>
      <c r="F48" s="84"/>
      <c r="G48" s="84">
        <v>3115895</v>
      </c>
      <c r="H48" s="84"/>
      <c r="I48" s="84">
        <v>104547</v>
      </c>
      <c r="J48" s="84"/>
      <c r="K48" s="84">
        <v>180346</v>
      </c>
      <c r="L48" s="84"/>
      <c r="M48" s="84">
        <v>770722</v>
      </c>
      <c r="N48" s="84"/>
      <c r="O48" s="84">
        <v>0</v>
      </c>
      <c r="P48" s="84"/>
      <c r="Q48" s="84">
        <v>0</v>
      </c>
      <c r="R48" s="84"/>
      <c r="S48" s="52">
        <v>0</v>
      </c>
      <c r="T48" s="52"/>
      <c r="U48" s="84">
        <v>224796</v>
      </c>
      <c r="V48" s="84"/>
      <c r="W48" s="84">
        <v>0</v>
      </c>
      <c r="X48" s="84"/>
      <c r="Y48" s="84">
        <v>1480</v>
      </c>
      <c r="Z48" s="84"/>
      <c r="AA48" s="84">
        <v>318</v>
      </c>
      <c r="AB48" s="84"/>
      <c r="AC48" s="52">
        <f t="shared" si="0"/>
        <v>10719839</v>
      </c>
      <c r="AD48" s="33"/>
      <c r="AE48" s="67">
        <v>990712</v>
      </c>
      <c r="AG48" s="106">
        <v>3717988</v>
      </c>
      <c r="AI48" s="56">
        <v>1618</v>
      </c>
      <c r="AK48" s="106">
        <f>+GenRev!Q48-GenExp!AC48-AE48+GenRev!S48+AG48+AI48-'Gen Fd BS'!O50</f>
        <v>0</v>
      </c>
    </row>
    <row r="49" spans="1:37" s="106" customFormat="1" ht="12.75">
      <c r="A49" s="26" t="s">
        <v>48</v>
      </c>
      <c r="B49" s="26"/>
      <c r="C49" s="84">
        <v>11149091</v>
      </c>
      <c r="D49" s="84"/>
      <c r="E49" s="84">
        <v>28943292</v>
      </c>
      <c r="F49" s="84"/>
      <c r="G49" s="84">
        <v>0</v>
      </c>
      <c r="H49" s="84"/>
      <c r="I49" s="84">
        <v>331982</v>
      </c>
      <c r="J49" s="84"/>
      <c r="K49" s="84">
        <v>156185</v>
      </c>
      <c r="L49" s="84"/>
      <c r="M49" s="84">
        <v>1050120</v>
      </c>
      <c r="N49" s="84"/>
      <c r="O49" s="84">
        <v>166000</v>
      </c>
      <c r="P49" s="84"/>
      <c r="Q49" s="84">
        <v>0</v>
      </c>
      <c r="R49" s="84"/>
      <c r="S49" s="52">
        <v>0</v>
      </c>
      <c r="T49" s="52"/>
      <c r="U49" s="84">
        <v>0</v>
      </c>
      <c r="V49" s="84"/>
      <c r="W49" s="84">
        <v>0</v>
      </c>
      <c r="X49" s="84"/>
      <c r="Y49" s="84">
        <v>0</v>
      </c>
      <c r="Z49" s="84"/>
      <c r="AA49" s="84">
        <v>0</v>
      </c>
      <c r="AB49" s="84"/>
      <c r="AC49" s="52">
        <f t="shared" si="0"/>
        <v>41796670</v>
      </c>
      <c r="AD49" s="33"/>
      <c r="AE49" s="67">
        <v>5905486</v>
      </c>
      <c r="AG49" s="106">
        <v>25879662</v>
      </c>
      <c r="AI49" s="56"/>
      <c r="AK49" s="106">
        <f>+GenRev!Q49-GenExp!AC49-AE49+GenRev!S49+AG49+AI49-'Gen Fd BS'!O51</f>
        <v>0</v>
      </c>
    </row>
    <row r="50" spans="1:37" s="106" customFormat="1" ht="12.75" hidden="1">
      <c r="A50" s="26" t="s">
        <v>247</v>
      </c>
      <c r="B50" s="26"/>
      <c r="C50" s="84">
        <v>0</v>
      </c>
      <c r="D50" s="84"/>
      <c r="E50" s="84">
        <v>0</v>
      </c>
      <c r="F50" s="84"/>
      <c r="G50" s="84">
        <v>0</v>
      </c>
      <c r="H50" s="84"/>
      <c r="I50" s="84">
        <v>0</v>
      </c>
      <c r="J50" s="84"/>
      <c r="K50" s="84">
        <v>0</v>
      </c>
      <c r="L50" s="84"/>
      <c r="M50" s="84">
        <v>0</v>
      </c>
      <c r="N50" s="84"/>
      <c r="O50" s="84">
        <v>0</v>
      </c>
      <c r="P50" s="84"/>
      <c r="Q50" s="84">
        <v>0</v>
      </c>
      <c r="R50" s="84"/>
      <c r="S50" s="52">
        <v>0</v>
      </c>
      <c r="T50" s="52"/>
      <c r="U50" s="84">
        <v>0</v>
      </c>
      <c r="V50" s="84"/>
      <c r="W50" s="84">
        <v>0</v>
      </c>
      <c r="X50" s="84"/>
      <c r="Y50" s="84">
        <v>0</v>
      </c>
      <c r="Z50" s="84"/>
      <c r="AA50" s="84">
        <v>0</v>
      </c>
      <c r="AB50" s="84"/>
      <c r="AC50" s="52">
        <f t="shared" si="0"/>
        <v>0</v>
      </c>
      <c r="AD50" s="33"/>
      <c r="AE50" s="67"/>
      <c r="AI50" s="56"/>
      <c r="AK50" s="106">
        <f>+GenRev!Q50-GenExp!AC50-AE50+GenRev!S50+AG50+AI50-'Gen Fd BS'!O52</f>
        <v>0</v>
      </c>
    </row>
    <row r="51" spans="1:37" s="106" customFormat="1" ht="12.75">
      <c r="A51" s="26" t="s">
        <v>49</v>
      </c>
      <c r="B51" s="26"/>
      <c r="C51" s="84">
        <v>14380298</v>
      </c>
      <c r="D51" s="84"/>
      <c r="E51" s="84">
        <v>0</v>
      </c>
      <c r="F51" s="84"/>
      <c r="G51" s="84">
        <v>14292887</v>
      </c>
      <c r="H51" s="84"/>
      <c r="I51" s="84">
        <v>74383</v>
      </c>
      <c r="J51" s="84"/>
      <c r="K51" s="84">
        <v>254779</v>
      </c>
      <c r="L51" s="84"/>
      <c r="M51" s="84">
        <v>1402272</v>
      </c>
      <c r="N51" s="84"/>
      <c r="O51" s="84">
        <v>563540</v>
      </c>
      <c r="P51" s="84"/>
      <c r="Q51" s="84">
        <v>0</v>
      </c>
      <c r="R51" s="84"/>
      <c r="S51" s="52">
        <v>0</v>
      </c>
      <c r="T51" s="52"/>
      <c r="U51" s="84">
        <v>0</v>
      </c>
      <c r="V51" s="84"/>
      <c r="W51" s="84">
        <v>535855</v>
      </c>
      <c r="X51" s="84"/>
      <c r="Y51" s="84">
        <v>0</v>
      </c>
      <c r="Z51" s="84"/>
      <c r="AA51" s="84">
        <v>0</v>
      </c>
      <c r="AB51" s="84"/>
      <c r="AC51" s="52">
        <f t="shared" si="0"/>
        <v>31504014</v>
      </c>
      <c r="AD51" s="33"/>
      <c r="AE51" s="67">
        <v>3212567</v>
      </c>
      <c r="AG51" s="106">
        <v>10377970</v>
      </c>
      <c r="AI51" s="56">
        <v>-2170</v>
      </c>
      <c r="AK51" s="106">
        <f>+GenRev!Q51-GenExp!AC51-AE51+GenRev!S51+AG51+AI51-'Gen Fd BS'!O53</f>
        <v>0</v>
      </c>
    </row>
    <row r="52" spans="1:37" s="106" customFormat="1" ht="12.75">
      <c r="A52" s="26" t="s">
        <v>50</v>
      </c>
      <c r="B52" s="26"/>
      <c r="C52" s="84">
        <v>3245485</v>
      </c>
      <c r="D52" s="84"/>
      <c r="E52" s="84">
        <v>1822681</v>
      </c>
      <c r="F52" s="84"/>
      <c r="G52" s="84">
        <v>5821484</v>
      </c>
      <c r="H52" s="84"/>
      <c r="I52" s="84">
        <v>2490053</v>
      </c>
      <c r="J52" s="84"/>
      <c r="K52" s="84">
        <v>64478</v>
      </c>
      <c r="L52" s="84"/>
      <c r="M52" s="84">
        <v>198855</v>
      </c>
      <c r="N52" s="84"/>
      <c r="O52" s="84">
        <v>0</v>
      </c>
      <c r="P52" s="84"/>
      <c r="Q52" s="84">
        <v>418640</v>
      </c>
      <c r="R52" s="84"/>
      <c r="S52" s="52">
        <v>1407612</v>
      </c>
      <c r="T52" s="52"/>
      <c r="U52" s="84">
        <v>376398</v>
      </c>
      <c r="V52" s="84"/>
      <c r="W52" s="84">
        <v>0</v>
      </c>
      <c r="X52" s="84"/>
      <c r="Y52" s="84">
        <v>32090</v>
      </c>
      <c r="Z52" s="84"/>
      <c r="AA52" s="84">
        <v>6130</v>
      </c>
      <c r="AB52" s="84"/>
      <c r="AC52" s="52">
        <f t="shared" si="0"/>
        <v>15883906</v>
      </c>
      <c r="AD52" s="33"/>
      <c r="AE52" s="67">
        <v>321743</v>
      </c>
      <c r="AG52" s="106">
        <v>8299276</v>
      </c>
      <c r="AI52" s="56">
        <v>-14037</v>
      </c>
      <c r="AK52" s="106">
        <f>+GenRev!Q52-GenExp!AC52-AE52+GenRev!S52+AG52+AI52-'Gen Fd BS'!O54</f>
        <v>0</v>
      </c>
    </row>
    <row r="53" spans="1:37" s="106" customFormat="1" ht="12.75">
      <c r="A53" s="26" t="s">
        <v>51</v>
      </c>
      <c r="B53" s="26"/>
      <c r="C53" s="84">
        <v>24578893</v>
      </c>
      <c r="D53" s="84"/>
      <c r="E53" s="84">
        <v>13780807</v>
      </c>
      <c r="F53" s="84"/>
      <c r="G53" s="84">
        <v>6506388</v>
      </c>
      <c r="H53" s="84"/>
      <c r="I53" s="84">
        <v>265608</v>
      </c>
      <c r="J53" s="84"/>
      <c r="K53" s="84">
        <v>7106</v>
      </c>
      <c r="L53" s="84"/>
      <c r="M53" s="84">
        <v>2206427</v>
      </c>
      <c r="N53" s="84"/>
      <c r="O53" s="84">
        <v>373</v>
      </c>
      <c r="P53" s="84"/>
      <c r="Q53" s="84">
        <v>0</v>
      </c>
      <c r="R53" s="84"/>
      <c r="S53" s="52">
        <v>60</v>
      </c>
      <c r="T53" s="52"/>
      <c r="U53" s="84">
        <v>240652</v>
      </c>
      <c r="V53" s="84"/>
      <c r="W53" s="84">
        <v>555155</v>
      </c>
      <c r="X53" s="84"/>
      <c r="Y53" s="84">
        <v>0</v>
      </c>
      <c r="Z53" s="84"/>
      <c r="AA53" s="84">
        <v>0</v>
      </c>
      <c r="AB53" s="84"/>
      <c r="AC53" s="52">
        <f t="shared" si="0"/>
        <v>48141469</v>
      </c>
      <c r="AD53" s="33"/>
      <c r="AE53" s="67">
        <v>3091292</v>
      </c>
      <c r="AG53" s="106">
        <v>39933778</v>
      </c>
      <c r="AI53" s="56">
        <v>-48552</v>
      </c>
      <c r="AK53" s="106">
        <f>+GenRev!Q53-GenExp!AC53-AE53+GenRev!S53+AG53+AI53-'Gen Fd BS'!O55</f>
        <v>0</v>
      </c>
    </row>
    <row r="54" spans="1:37" s="106" customFormat="1" ht="12.75">
      <c r="A54" s="26" t="s">
        <v>195</v>
      </c>
      <c r="B54" s="26"/>
      <c r="C54" s="84">
        <v>25153</v>
      </c>
      <c r="D54" s="84"/>
      <c r="E54" s="84">
        <v>40079</v>
      </c>
      <c r="F54" s="84"/>
      <c r="G54" s="84">
        <v>36374</v>
      </c>
      <c r="H54" s="84"/>
      <c r="I54" s="84">
        <v>245</v>
      </c>
      <c r="J54" s="84"/>
      <c r="K54" s="84">
        <v>867</v>
      </c>
      <c r="L54" s="84"/>
      <c r="M54" s="84">
        <v>1578</v>
      </c>
      <c r="N54" s="84"/>
      <c r="O54" s="84">
        <v>0</v>
      </c>
      <c r="P54" s="84"/>
      <c r="Q54" s="84">
        <v>1470</v>
      </c>
      <c r="R54" s="84"/>
      <c r="S54" s="52">
        <v>471</v>
      </c>
      <c r="T54" s="52"/>
      <c r="U54" s="84">
        <v>0</v>
      </c>
      <c r="V54" s="84"/>
      <c r="W54" s="84">
        <v>0</v>
      </c>
      <c r="X54" s="84"/>
      <c r="Y54" s="84">
        <v>0</v>
      </c>
      <c r="Z54" s="84"/>
      <c r="AA54" s="84">
        <v>0</v>
      </c>
      <c r="AB54" s="84"/>
      <c r="AC54" s="52">
        <f t="shared" si="0"/>
        <v>106237</v>
      </c>
      <c r="AD54" s="33"/>
      <c r="AE54" s="67">
        <v>23377</v>
      </c>
      <c r="AG54" s="106">
        <v>37564</v>
      </c>
      <c r="AI54" s="56"/>
      <c r="AK54" s="106">
        <f>+GenRev!Q54-GenExp!AC54-AE54+GenRev!S54+AG54+AI54-'Gen Fd BS'!O56</f>
        <v>0</v>
      </c>
    </row>
    <row r="55" spans="1:37" s="106" customFormat="1" ht="12.75" hidden="1">
      <c r="A55" s="26" t="s">
        <v>52</v>
      </c>
      <c r="B55" s="26"/>
      <c r="C55" s="84">
        <v>0</v>
      </c>
      <c r="D55" s="84"/>
      <c r="E55" s="84">
        <v>0</v>
      </c>
      <c r="F55" s="84"/>
      <c r="G55" s="84">
        <v>0</v>
      </c>
      <c r="H55" s="84"/>
      <c r="I55" s="84">
        <v>0</v>
      </c>
      <c r="J55" s="84"/>
      <c r="K55" s="84">
        <v>0</v>
      </c>
      <c r="L55" s="84"/>
      <c r="M55" s="84">
        <v>0</v>
      </c>
      <c r="N55" s="84"/>
      <c r="O55" s="84">
        <v>0</v>
      </c>
      <c r="P55" s="84"/>
      <c r="Q55" s="84">
        <v>0</v>
      </c>
      <c r="R55" s="84"/>
      <c r="S55" s="52">
        <v>0</v>
      </c>
      <c r="T55" s="52"/>
      <c r="U55" s="84">
        <v>0</v>
      </c>
      <c r="V55" s="84"/>
      <c r="W55" s="84">
        <v>0</v>
      </c>
      <c r="X55" s="84"/>
      <c r="Y55" s="84">
        <v>0</v>
      </c>
      <c r="Z55" s="84"/>
      <c r="AA55" s="84">
        <v>0</v>
      </c>
      <c r="AB55" s="84"/>
      <c r="AC55" s="52">
        <f t="shared" si="0"/>
        <v>0</v>
      </c>
      <c r="AD55" s="33"/>
      <c r="AE55" s="67"/>
      <c r="AI55" s="56"/>
      <c r="AK55" s="106">
        <f>+GenRev!Q55-GenExp!AC55-AE55+GenRev!S55+AG55+AI55-'Gen Fd BS'!O57</f>
        <v>0</v>
      </c>
    </row>
    <row r="56" spans="1:37" s="106" customFormat="1" ht="12.75">
      <c r="A56" s="26" t="s">
        <v>53</v>
      </c>
      <c r="B56" s="26"/>
      <c r="C56" s="84">
        <v>11295007</v>
      </c>
      <c r="D56" s="84"/>
      <c r="E56" s="84">
        <v>14427797</v>
      </c>
      <c r="F56" s="84"/>
      <c r="G56" s="84">
        <v>16870182</v>
      </c>
      <c r="H56" s="84"/>
      <c r="I56" s="84">
        <v>0</v>
      </c>
      <c r="J56" s="84"/>
      <c r="K56" s="84">
        <v>0</v>
      </c>
      <c r="L56" s="84"/>
      <c r="M56" s="84">
        <v>898581</v>
      </c>
      <c r="N56" s="84"/>
      <c r="O56" s="84">
        <v>0</v>
      </c>
      <c r="P56" s="84"/>
      <c r="Q56" s="84">
        <v>0</v>
      </c>
      <c r="R56" s="84"/>
      <c r="S56" s="52">
        <v>0</v>
      </c>
      <c r="T56" s="52"/>
      <c r="U56" s="84">
        <v>1240812</v>
      </c>
      <c r="V56" s="84"/>
      <c r="W56" s="84">
        <v>0</v>
      </c>
      <c r="X56" s="84"/>
      <c r="Y56" s="84">
        <v>0</v>
      </c>
      <c r="Z56" s="84"/>
      <c r="AA56" s="84">
        <v>0</v>
      </c>
      <c r="AB56" s="84"/>
      <c r="AC56" s="52">
        <f t="shared" si="0"/>
        <v>44732379</v>
      </c>
      <c r="AD56" s="33"/>
      <c r="AE56" s="67">
        <v>5917016</v>
      </c>
      <c r="AG56" s="106">
        <v>10597735</v>
      </c>
      <c r="AI56" s="56"/>
      <c r="AK56" s="106">
        <f>+GenRev!Q56-GenExp!AC56-AE56+GenRev!S56+AG56+AI56-'Gen Fd BS'!O58</f>
        <v>0</v>
      </c>
    </row>
    <row r="57" spans="1:37" s="106" customFormat="1" ht="12.75">
      <c r="A57" s="26" t="s">
        <v>54</v>
      </c>
      <c r="B57" s="26"/>
      <c r="C57" s="84">
        <v>4469496</v>
      </c>
      <c r="D57" s="84"/>
      <c r="E57" s="84">
        <v>1615177</v>
      </c>
      <c r="F57" s="84"/>
      <c r="G57" s="84">
        <v>6373928</v>
      </c>
      <c r="H57" s="84"/>
      <c r="I57" s="84">
        <v>12918</v>
      </c>
      <c r="J57" s="84"/>
      <c r="K57" s="84">
        <v>314430</v>
      </c>
      <c r="L57" s="84"/>
      <c r="M57" s="84">
        <v>265877</v>
      </c>
      <c r="N57" s="84"/>
      <c r="O57" s="84">
        <v>0</v>
      </c>
      <c r="P57" s="84"/>
      <c r="Q57" s="84">
        <v>15000</v>
      </c>
      <c r="R57" s="84"/>
      <c r="S57" s="52">
        <v>647380</v>
      </c>
      <c r="T57" s="52"/>
      <c r="U57" s="84">
        <v>105828</v>
      </c>
      <c r="V57" s="84"/>
      <c r="W57" s="84">
        <v>222142</v>
      </c>
      <c r="X57" s="84"/>
      <c r="Y57" s="84">
        <v>76558</v>
      </c>
      <c r="Z57" s="84"/>
      <c r="AA57" s="84">
        <v>3589</v>
      </c>
      <c r="AB57" s="84"/>
      <c r="AC57" s="52">
        <f t="shared" si="0"/>
        <v>14122323</v>
      </c>
      <c r="AD57" s="33"/>
      <c r="AE57" s="67">
        <v>1137693</v>
      </c>
      <c r="AG57" s="106">
        <v>4981788</v>
      </c>
      <c r="AI57" s="56"/>
      <c r="AK57" s="106">
        <f>+GenRev!Q57-GenExp!AC57-AE57+GenRev!S57+AG57+AI57-'Gen Fd BS'!O59</f>
        <v>0</v>
      </c>
    </row>
    <row r="58" spans="1:37" s="106" customFormat="1" ht="12.75">
      <c r="A58" s="26" t="s">
        <v>55</v>
      </c>
      <c r="B58" s="26"/>
      <c r="C58" s="84">
        <v>9080786</v>
      </c>
      <c r="D58" s="84"/>
      <c r="E58" s="84">
        <v>5748567</v>
      </c>
      <c r="F58" s="84"/>
      <c r="G58" s="84">
        <v>14696281</v>
      </c>
      <c r="H58" s="84"/>
      <c r="I58" s="84">
        <v>235109</v>
      </c>
      <c r="J58" s="84"/>
      <c r="K58" s="84">
        <v>8393</v>
      </c>
      <c r="L58" s="84"/>
      <c r="M58" s="84">
        <v>1328760</v>
      </c>
      <c r="N58" s="84"/>
      <c r="O58" s="84">
        <v>65888</v>
      </c>
      <c r="P58" s="84"/>
      <c r="Q58" s="84">
        <v>0</v>
      </c>
      <c r="R58" s="84"/>
      <c r="S58" s="52">
        <v>0</v>
      </c>
      <c r="T58" s="52"/>
      <c r="U58" s="84">
        <v>0</v>
      </c>
      <c r="V58" s="84"/>
      <c r="W58" s="84">
        <v>541350</v>
      </c>
      <c r="X58" s="84"/>
      <c r="Y58" s="84">
        <v>0</v>
      </c>
      <c r="Z58" s="84"/>
      <c r="AA58" s="84">
        <v>0</v>
      </c>
      <c r="AB58" s="84"/>
      <c r="AC58" s="52">
        <f t="shared" si="0"/>
        <v>31705134</v>
      </c>
      <c r="AD58" s="33"/>
      <c r="AE58" s="67">
        <v>2997279</v>
      </c>
      <c r="AG58" s="106">
        <v>10039441</v>
      </c>
      <c r="AI58" s="56"/>
      <c r="AK58" s="106">
        <f>+GenRev!Q58-GenExp!AC58-AE58+GenRev!S58+AG58+AI58-'Gen Fd BS'!O60</f>
        <v>0</v>
      </c>
    </row>
    <row r="59" spans="1:37" s="106" customFormat="1" ht="12.75" hidden="1">
      <c r="A59" s="26" t="s">
        <v>180</v>
      </c>
      <c r="B59" s="26"/>
      <c r="C59" s="84">
        <v>0</v>
      </c>
      <c r="D59" s="84"/>
      <c r="E59" s="84">
        <v>0</v>
      </c>
      <c r="F59" s="84"/>
      <c r="G59" s="84">
        <v>0</v>
      </c>
      <c r="H59" s="84"/>
      <c r="I59" s="84">
        <v>0</v>
      </c>
      <c r="J59" s="84"/>
      <c r="K59" s="84">
        <v>0</v>
      </c>
      <c r="L59" s="84"/>
      <c r="M59" s="84">
        <v>0</v>
      </c>
      <c r="N59" s="84"/>
      <c r="O59" s="84">
        <v>0</v>
      </c>
      <c r="P59" s="84"/>
      <c r="Q59" s="84">
        <v>0</v>
      </c>
      <c r="R59" s="84"/>
      <c r="S59" s="52">
        <v>0</v>
      </c>
      <c r="T59" s="52"/>
      <c r="U59" s="84">
        <v>0</v>
      </c>
      <c r="V59" s="84"/>
      <c r="W59" s="84">
        <v>0</v>
      </c>
      <c r="X59" s="84"/>
      <c r="Y59" s="84">
        <v>0</v>
      </c>
      <c r="Z59" s="84"/>
      <c r="AA59" s="84">
        <v>0</v>
      </c>
      <c r="AB59" s="84"/>
      <c r="AC59" s="52">
        <f t="shared" si="0"/>
        <v>0</v>
      </c>
      <c r="AD59" s="33"/>
      <c r="AE59" s="67"/>
      <c r="AI59" s="56"/>
      <c r="AK59" s="106">
        <f>+GenRev!Q59-GenExp!AC59-AE59+GenRev!S59+AG59+AI59-'Gen Fd BS'!O61</f>
        <v>0</v>
      </c>
    </row>
    <row r="60" spans="1:37" s="106" customFormat="1" ht="12.75" hidden="1">
      <c r="A60" s="26" t="s">
        <v>56</v>
      </c>
      <c r="B60" s="26"/>
      <c r="C60" s="84">
        <v>0</v>
      </c>
      <c r="D60" s="84"/>
      <c r="E60" s="84">
        <v>0</v>
      </c>
      <c r="F60" s="84"/>
      <c r="G60" s="84">
        <v>0</v>
      </c>
      <c r="H60" s="84"/>
      <c r="I60" s="84">
        <v>0</v>
      </c>
      <c r="J60" s="84"/>
      <c r="K60" s="84">
        <v>0</v>
      </c>
      <c r="L60" s="84"/>
      <c r="M60" s="84">
        <v>0</v>
      </c>
      <c r="N60" s="84"/>
      <c r="O60" s="84">
        <v>0</v>
      </c>
      <c r="P60" s="84"/>
      <c r="Q60" s="84">
        <v>0</v>
      </c>
      <c r="R60" s="84"/>
      <c r="S60" s="52">
        <v>0</v>
      </c>
      <c r="T60" s="52"/>
      <c r="U60" s="84">
        <v>0</v>
      </c>
      <c r="V60" s="84"/>
      <c r="W60" s="84">
        <v>0</v>
      </c>
      <c r="X60" s="84"/>
      <c r="Y60" s="84">
        <v>0</v>
      </c>
      <c r="Z60" s="84"/>
      <c r="AA60" s="84">
        <v>0</v>
      </c>
      <c r="AB60" s="84"/>
      <c r="AC60" s="52">
        <f t="shared" si="0"/>
        <v>0</v>
      </c>
      <c r="AD60" s="33"/>
      <c r="AE60" s="67"/>
      <c r="AI60" s="56"/>
      <c r="AK60" s="106">
        <f>+GenRev!Q60-GenExp!AC60-AE60+GenRev!S60+AG60+AI60-'Gen Fd BS'!O62</f>
        <v>0</v>
      </c>
    </row>
    <row r="61" spans="1:37" s="106" customFormat="1" ht="12.75">
      <c r="A61" s="26" t="s">
        <v>57</v>
      </c>
      <c r="B61" s="26"/>
      <c r="C61" s="84">
        <v>9939595</v>
      </c>
      <c r="D61" s="84"/>
      <c r="E61" s="84">
        <v>0</v>
      </c>
      <c r="F61" s="84"/>
      <c r="G61" s="84">
        <v>9596298</v>
      </c>
      <c r="H61" s="84"/>
      <c r="I61" s="84">
        <v>36131</v>
      </c>
      <c r="J61" s="84"/>
      <c r="K61" s="84">
        <v>193201</v>
      </c>
      <c r="L61" s="84"/>
      <c r="M61" s="84">
        <v>1823337</v>
      </c>
      <c r="N61" s="84"/>
      <c r="O61" s="84">
        <v>0</v>
      </c>
      <c r="P61" s="84"/>
      <c r="Q61" s="84">
        <v>404451</v>
      </c>
      <c r="R61" s="84"/>
      <c r="S61" s="52">
        <v>0</v>
      </c>
      <c r="T61" s="52"/>
      <c r="U61" s="84">
        <v>0</v>
      </c>
      <c r="V61" s="84"/>
      <c r="W61" s="84">
        <v>0</v>
      </c>
      <c r="X61" s="84"/>
      <c r="Y61" s="84">
        <v>0</v>
      </c>
      <c r="Z61" s="84"/>
      <c r="AA61" s="84">
        <v>0</v>
      </c>
      <c r="AB61" s="84"/>
      <c r="AC61" s="52">
        <f t="shared" si="0"/>
        <v>21993013</v>
      </c>
      <c r="AD61" s="33"/>
      <c r="AE61" s="67"/>
      <c r="AG61" s="106">
        <v>17866341</v>
      </c>
      <c r="AI61" s="56"/>
      <c r="AK61" s="106">
        <f>+GenRev!Q61-GenExp!AC61-AE61+GenRev!S61+AG61+AI61-'Gen Fd BS'!O63</f>
        <v>0</v>
      </c>
    </row>
    <row r="62" spans="1:37" s="106" customFormat="1" ht="12.75">
      <c r="A62" s="26" t="s">
        <v>58</v>
      </c>
      <c r="B62" s="26"/>
      <c r="C62" s="84">
        <v>1067058</v>
      </c>
      <c r="D62" s="84"/>
      <c r="E62" s="84">
        <v>416623</v>
      </c>
      <c r="F62" s="84"/>
      <c r="G62" s="84">
        <v>1188077</v>
      </c>
      <c r="H62" s="84"/>
      <c r="I62" s="84">
        <v>0</v>
      </c>
      <c r="J62" s="84"/>
      <c r="K62" s="84">
        <v>0</v>
      </c>
      <c r="L62" s="84"/>
      <c r="M62" s="84">
        <v>126021</v>
      </c>
      <c r="N62" s="84"/>
      <c r="O62" s="84">
        <v>0</v>
      </c>
      <c r="P62" s="84"/>
      <c r="Q62" s="84">
        <v>0</v>
      </c>
      <c r="R62" s="84"/>
      <c r="S62" s="52">
        <v>568850</v>
      </c>
      <c r="T62" s="52"/>
      <c r="U62" s="84">
        <v>0</v>
      </c>
      <c r="V62" s="84"/>
      <c r="W62" s="84">
        <v>0</v>
      </c>
      <c r="X62" s="84"/>
      <c r="Y62" s="84">
        <v>1928</v>
      </c>
      <c r="Z62" s="84"/>
      <c r="AA62" s="84">
        <v>223</v>
      </c>
      <c r="AB62" s="84"/>
      <c r="AC62" s="52">
        <f t="shared" si="0"/>
        <v>3368780</v>
      </c>
      <c r="AD62" s="33"/>
      <c r="AE62" s="67">
        <v>349070</v>
      </c>
      <c r="AG62" s="106">
        <v>331301</v>
      </c>
      <c r="AI62" s="56"/>
      <c r="AK62" s="106">
        <f>+GenRev!Q62-GenExp!AC62-AE62+GenRev!S62+AG62+AI62-'Gen Fd BS'!O64</f>
        <v>0</v>
      </c>
    </row>
    <row r="63" spans="1:37" s="106" customFormat="1" ht="12.75">
      <c r="A63" s="26" t="s">
        <v>59</v>
      </c>
      <c r="B63" s="26"/>
      <c r="C63" s="84">
        <v>20959030</v>
      </c>
      <c r="D63" s="84"/>
      <c r="E63" s="84">
        <v>87061509</v>
      </c>
      <c r="F63" s="84"/>
      <c r="G63" s="84">
        <v>0</v>
      </c>
      <c r="H63" s="84"/>
      <c r="I63" s="84">
        <v>484470</v>
      </c>
      <c r="J63" s="84"/>
      <c r="K63" s="84">
        <v>0</v>
      </c>
      <c r="L63" s="84"/>
      <c r="M63" s="84">
        <v>3666856</v>
      </c>
      <c r="N63" s="84"/>
      <c r="O63" s="84">
        <v>3072388</v>
      </c>
      <c r="P63" s="84"/>
      <c r="Q63" s="84">
        <v>0</v>
      </c>
      <c r="R63" s="84"/>
      <c r="S63" s="52">
        <v>0</v>
      </c>
      <c r="T63" s="52"/>
      <c r="U63" s="84">
        <v>0</v>
      </c>
      <c r="V63" s="84"/>
      <c r="W63" s="84">
        <f>103300+153000+2120000+232744</f>
        <v>2609044</v>
      </c>
      <c r="X63" s="84"/>
      <c r="Y63" s="84">
        <v>124362</v>
      </c>
      <c r="Z63" s="84"/>
      <c r="AA63" s="84">
        <v>15942</v>
      </c>
      <c r="AB63" s="84"/>
      <c r="AC63" s="52">
        <f t="shared" si="0"/>
        <v>117993601</v>
      </c>
      <c r="AD63" s="33"/>
      <c r="AE63" s="67">
        <v>33233458</v>
      </c>
      <c r="AG63" s="106">
        <v>70946582</v>
      </c>
      <c r="AI63" s="56"/>
      <c r="AK63" s="106">
        <f>+GenRev!Q63-GenExp!AC63-AE63+GenRev!S63+AG63+AI63-'Gen Fd BS'!O65</f>
        <v>0</v>
      </c>
    </row>
    <row r="64" spans="1:37" s="106" customFormat="1" ht="12.75" hidden="1">
      <c r="A64" s="26" t="s">
        <v>60</v>
      </c>
      <c r="B64" s="26"/>
      <c r="C64" s="84">
        <v>0</v>
      </c>
      <c r="D64" s="84"/>
      <c r="E64" s="84">
        <v>0</v>
      </c>
      <c r="F64" s="84"/>
      <c r="G64" s="84">
        <v>0</v>
      </c>
      <c r="H64" s="84"/>
      <c r="I64" s="84">
        <v>0</v>
      </c>
      <c r="J64" s="84"/>
      <c r="K64" s="84">
        <v>0</v>
      </c>
      <c r="L64" s="84"/>
      <c r="M64" s="84">
        <v>0</v>
      </c>
      <c r="N64" s="84"/>
      <c r="O64" s="84">
        <v>0</v>
      </c>
      <c r="P64" s="84"/>
      <c r="Q64" s="84">
        <v>0</v>
      </c>
      <c r="R64" s="84"/>
      <c r="S64" s="52">
        <v>0</v>
      </c>
      <c r="T64" s="52"/>
      <c r="U64" s="84">
        <v>0</v>
      </c>
      <c r="V64" s="84"/>
      <c r="W64" s="84">
        <v>0</v>
      </c>
      <c r="X64" s="84"/>
      <c r="Y64" s="84">
        <v>0</v>
      </c>
      <c r="Z64" s="84"/>
      <c r="AA64" s="84">
        <v>0</v>
      </c>
      <c r="AB64" s="84"/>
      <c r="AC64" s="52">
        <f t="shared" si="0"/>
        <v>0</v>
      </c>
      <c r="AD64" s="33"/>
      <c r="AE64" s="67"/>
      <c r="AI64" s="56"/>
      <c r="AK64" s="106">
        <f>+GenRev!Q64-GenExp!AC64-AE64+GenRev!S64+AG64+AI64-'Gen Fd BS'!O66</f>
        <v>0</v>
      </c>
    </row>
    <row r="65" spans="1:37" s="106" customFormat="1" ht="12.75">
      <c r="A65" s="26" t="s">
        <v>98</v>
      </c>
      <c r="B65" s="26"/>
      <c r="C65" s="84">
        <v>2829278</v>
      </c>
      <c r="D65" s="84"/>
      <c r="E65" s="84">
        <v>697343</v>
      </c>
      <c r="F65" s="84"/>
      <c r="G65" s="84">
        <v>3384167</v>
      </c>
      <c r="H65" s="84"/>
      <c r="I65" s="84">
        <v>0</v>
      </c>
      <c r="J65" s="84"/>
      <c r="K65" s="84">
        <v>33093</v>
      </c>
      <c r="L65" s="84"/>
      <c r="M65" s="84">
        <v>338818</v>
      </c>
      <c r="N65" s="84"/>
      <c r="O65" s="84">
        <v>54223</v>
      </c>
      <c r="P65" s="84"/>
      <c r="Q65" s="84">
        <v>0</v>
      </c>
      <c r="R65" s="84"/>
      <c r="S65" s="52">
        <v>133538</v>
      </c>
      <c r="T65" s="52"/>
      <c r="U65" s="84">
        <v>21277</v>
      </c>
      <c r="V65" s="84"/>
      <c r="W65" s="84">
        <v>217000</v>
      </c>
      <c r="X65" s="84"/>
      <c r="Y65" s="84">
        <v>370</v>
      </c>
      <c r="Z65" s="84"/>
      <c r="AA65" s="84">
        <v>180</v>
      </c>
      <c r="AB65" s="84"/>
      <c r="AC65" s="52">
        <f t="shared" si="0"/>
        <v>7709287</v>
      </c>
      <c r="AD65" s="33"/>
      <c r="AE65" s="67">
        <v>161810</v>
      </c>
      <c r="AG65" s="106">
        <v>1081159</v>
      </c>
      <c r="AI65" s="56"/>
      <c r="AK65" s="106">
        <f>+GenRev!Q65-GenExp!AC65-AE65+GenRev!S65+AG65+AI65-'Gen Fd BS'!O67</f>
        <v>0</v>
      </c>
    </row>
    <row r="66" spans="1:37" s="106" customFormat="1" ht="12.75">
      <c r="A66" s="26" t="s">
        <v>62</v>
      </c>
      <c r="B66" s="26"/>
      <c r="C66" s="84">
        <v>10077385</v>
      </c>
      <c r="D66" s="84"/>
      <c r="E66" s="84">
        <v>5116264</v>
      </c>
      <c r="F66" s="84"/>
      <c r="G66" s="84">
        <v>6557395</v>
      </c>
      <c r="H66" s="84"/>
      <c r="I66" s="84">
        <v>302449</v>
      </c>
      <c r="J66" s="84"/>
      <c r="K66" s="84">
        <v>473403</v>
      </c>
      <c r="L66" s="84"/>
      <c r="M66" s="84">
        <v>437689</v>
      </c>
      <c r="N66" s="84"/>
      <c r="O66" s="84">
        <v>0</v>
      </c>
      <c r="P66" s="84"/>
      <c r="Q66" s="84">
        <v>0</v>
      </c>
      <c r="R66" s="84"/>
      <c r="S66" s="52">
        <v>0</v>
      </c>
      <c r="T66" s="52"/>
      <c r="U66" s="84">
        <v>0</v>
      </c>
      <c r="V66" s="84"/>
      <c r="W66" s="84">
        <v>466553</v>
      </c>
      <c r="X66" s="84"/>
      <c r="Y66" s="84">
        <v>26459</v>
      </c>
      <c r="Z66" s="84"/>
      <c r="AA66" s="84">
        <v>8317</v>
      </c>
      <c r="AB66" s="84"/>
      <c r="AC66" s="52">
        <f t="shared" si="0"/>
        <v>23465914</v>
      </c>
      <c r="AD66" s="33"/>
      <c r="AE66" s="67">
        <v>3288801</v>
      </c>
      <c r="AG66" s="106">
        <v>10558446</v>
      </c>
      <c r="AI66" s="56"/>
      <c r="AK66" s="106">
        <f>+GenRev!Q66-GenExp!AC66-AE66+GenRev!S66+AG66+AI66-'Gen Fd BS'!O68</f>
        <v>0</v>
      </c>
    </row>
    <row r="67" spans="1:37" s="106" customFormat="1" ht="12.75">
      <c r="A67" s="26" t="s">
        <v>63</v>
      </c>
      <c r="B67" s="26"/>
      <c r="C67" s="84">
        <v>1356571</v>
      </c>
      <c r="D67" s="84"/>
      <c r="E67" s="84">
        <v>294163</v>
      </c>
      <c r="F67" s="84"/>
      <c r="G67" s="84">
        <v>889841</v>
      </c>
      <c r="H67" s="84"/>
      <c r="I67" s="84">
        <v>1000</v>
      </c>
      <c r="J67" s="84"/>
      <c r="K67" s="84">
        <v>20108</v>
      </c>
      <c r="L67" s="84"/>
      <c r="M67" s="84">
        <v>91229</v>
      </c>
      <c r="N67" s="84"/>
      <c r="O67" s="84">
        <v>0</v>
      </c>
      <c r="P67" s="84"/>
      <c r="Q67" s="84">
        <v>0</v>
      </c>
      <c r="R67" s="84"/>
      <c r="S67" s="52">
        <v>3884</v>
      </c>
      <c r="T67" s="52"/>
      <c r="U67" s="84">
        <v>0</v>
      </c>
      <c r="V67" s="84"/>
      <c r="W67" s="84">
        <v>0</v>
      </c>
      <c r="X67" s="84"/>
      <c r="Y67" s="84">
        <v>2280</v>
      </c>
      <c r="Z67" s="84"/>
      <c r="AA67" s="84">
        <v>558</v>
      </c>
      <c r="AB67" s="84"/>
      <c r="AC67" s="52">
        <f t="shared" si="0"/>
        <v>2659634</v>
      </c>
      <c r="AD67" s="33"/>
      <c r="AE67" s="67">
        <v>120447</v>
      </c>
      <c r="AG67" s="106">
        <v>488538</v>
      </c>
      <c r="AI67" s="56"/>
      <c r="AK67" s="106">
        <f>+GenRev!Q67-GenExp!AC67-AE67+GenRev!S67+AG67+AI67-'Gen Fd BS'!O69</f>
        <v>0</v>
      </c>
    </row>
    <row r="68" spans="1:37" s="106" customFormat="1" ht="12.75">
      <c r="A68" s="26" t="s">
        <v>64</v>
      </c>
      <c r="B68" s="26"/>
      <c r="C68" s="84">
        <v>3839833</v>
      </c>
      <c r="D68" s="84"/>
      <c r="E68" s="84">
        <v>2144718</v>
      </c>
      <c r="F68" s="84"/>
      <c r="G68" s="84">
        <f>417495+3987343+804934</f>
        <v>5209772</v>
      </c>
      <c r="H68" s="84"/>
      <c r="I68" s="84">
        <v>29946</v>
      </c>
      <c r="J68" s="84"/>
      <c r="K68" s="84">
        <v>403731</v>
      </c>
      <c r="L68" s="84"/>
      <c r="M68" s="84">
        <v>0</v>
      </c>
      <c r="N68" s="84"/>
      <c r="O68" s="84">
        <v>0</v>
      </c>
      <c r="P68" s="84"/>
      <c r="Q68" s="84">
        <v>919174</v>
      </c>
      <c r="R68" s="84"/>
      <c r="S68" s="52">
        <v>0</v>
      </c>
      <c r="T68" s="52"/>
      <c r="U68" s="84">
        <v>0</v>
      </c>
      <c r="V68" s="84"/>
      <c r="W68" s="84">
        <v>0</v>
      </c>
      <c r="X68" s="84"/>
      <c r="Y68" s="84">
        <v>0</v>
      </c>
      <c r="Z68" s="84"/>
      <c r="AA68" s="84">
        <v>0</v>
      </c>
      <c r="AB68" s="84"/>
      <c r="AC68" s="52">
        <f t="shared" si="0"/>
        <v>12547174</v>
      </c>
      <c r="AD68" s="33"/>
      <c r="AE68" s="67">
        <v>875595</v>
      </c>
      <c r="AG68" s="106">
        <v>4317585</v>
      </c>
      <c r="AI68" s="56"/>
      <c r="AK68" s="106">
        <f>+GenRev!Q68-GenExp!AC68-AE68+GenRev!S68+AG68+AI68-'Gen Fd BS'!O70</f>
        <v>0</v>
      </c>
    </row>
    <row r="69" spans="1:37" s="106" customFormat="1" ht="12.75" hidden="1">
      <c r="A69" s="26" t="s">
        <v>137</v>
      </c>
      <c r="B69" s="26"/>
      <c r="C69" s="84">
        <v>0</v>
      </c>
      <c r="D69" s="84"/>
      <c r="E69" s="84">
        <v>0</v>
      </c>
      <c r="F69" s="84"/>
      <c r="G69" s="84">
        <v>0</v>
      </c>
      <c r="H69" s="84"/>
      <c r="I69" s="84">
        <v>0</v>
      </c>
      <c r="J69" s="84"/>
      <c r="K69" s="84">
        <v>0</v>
      </c>
      <c r="L69" s="84"/>
      <c r="M69" s="84">
        <v>0</v>
      </c>
      <c r="N69" s="84"/>
      <c r="O69" s="84">
        <v>0</v>
      </c>
      <c r="P69" s="84"/>
      <c r="Q69" s="84">
        <v>0</v>
      </c>
      <c r="R69" s="84"/>
      <c r="S69" s="52">
        <v>0</v>
      </c>
      <c r="T69" s="52"/>
      <c r="U69" s="84">
        <v>0</v>
      </c>
      <c r="V69" s="84"/>
      <c r="W69" s="84">
        <v>0</v>
      </c>
      <c r="X69" s="84"/>
      <c r="Y69" s="84">
        <v>0</v>
      </c>
      <c r="Z69" s="84"/>
      <c r="AA69" s="84">
        <v>0</v>
      </c>
      <c r="AB69" s="84"/>
      <c r="AC69" s="52">
        <f t="shared" si="0"/>
        <v>0</v>
      </c>
      <c r="AD69" s="33"/>
      <c r="AE69" s="67"/>
      <c r="AI69" s="56"/>
      <c r="AK69" s="106">
        <f>+GenRev!Q69-GenExp!AC69-AE69+GenRev!S69+AG69+AI69-'Gen Fd BS'!O71</f>
        <v>0</v>
      </c>
    </row>
    <row r="70" spans="1:37" s="106" customFormat="1" ht="12.75" hidden="1">
      <c r="A70" s="26" t="s">
        <v>65</v>
      </c>
      <c r="B70" s="26"/>
      <c r="C70" s="84">
        <v>0</v>
      </c>
      <c r="D70" s="84"/>
      <c r="E70" s="84">
        <v>0</v>
      </c>
      <c r="F70" s="84"/>
      <c r="G70" s="84">
        <v>0</v>
      </c>
      <c r="H70" s="84"/>
      <c r="I70" s="84">
        <v>0</v>
      </c>
      <c r="J70" s="84"/>
      <c r="K70" s="84">
        <v>0</v>
      </c>
      <c r="L70" s="84"/>
      <c r="M70" s="84">
        <v>0</v>
      </c>
      <c r="N70" s="84"/>
      <c r="O70" s="84">
        <v>0</v>
      </c>
      <c r="P70" s="84"/>
      <c r="Q70" s="84">
        <v>0</v>
      </c>
      <c r="R70" s="84"/>
      <c r="S70" s="52">
        <v>0</v>
      </c>
      <c r="T70" s="52"/>
      <c r="U70" s="84">
        <v>0</v>
      </c>
      <c r="V70" s="84"/>
      <c r="W70" s="84">
        <v>0</v>
      </c>
      <c r="X70" s="84"/>
      <c r="Y70" s="84">
        <v>0</v>
      </c>
      <c r="Z70" s="84"/>
      <c r="AA70" s="84">
        <v>0</v>
      </c>
      <c r="AB70" s="84"/>
      <c r="AC70" s="52">
        <f t="shared" si="0"/>
        <v>0</v>
      </c>
      <c r="AD70" s="33"/>
      <c r="AE70" s="67"/>
      <c r="AI70" s="56"/>
      <c r="AK70" s="106">
        <f>+GenRev!Q70-GenExp!AC70-AE70+GenRev!S70+AG70+AI70-'Gen Fd BS'!O72</f>
        <v>0</v>
      </c>
    </row>
    <row r="71" spans="1:37" s="106" customFormat="1" ht="12.75">
      <c r="A71" s="26" t="s">
        <v>66</v>
      </c>
      <c r="B71" s="26"/>
      <c r="C71" s="84">
        <v>3517420</v>
      </c>
      <c r="D71" s="84"/>
      <c r="E71" s="84">
        <v>1301339</v>
      </c>
      <c r="F71" s="84"/>
      <c r="G71" s="84">
        <v>4713122</v>
      </c>
      <c r="H71" s="84"/>
      <c r="I71" s="84">
        <v>132922</v>
      </c>
      <c r="J71" s="84"/>
      <c r="K71" s="84">
        <v>86447</v>
      </c>
      <c r="L71" s="84"/>
      <c r="M71" s="84">
        <v>418381</v>
      </c>
      <c r="N71" s="84"/>
      <c r="O71" s="84">
        <v>0</v>
      </c>
      <c r="P71" s="84"/>
      <c r="Q71" s="84">
        <v>351991</v>
      </c>
      <c r="R71" s="84"/>
      <c r="S71" s="52">
        <v>210310</v>
      </c>
      <c r="T71" s="52"/>
      <c r="U71" s="84">
        <v>64539</v>
      </c>
      <c r="V71" s="84"/>
      <c r="W71" s="84">
        <v>0</v>
      </c>
      <c r="X71" s="84"/>
      <c r="Y71" s="84">
        <v>150109</v>
      </c>
      <c r="Z71" s="84"/>
      <c r="AA71" s="84">
        <v>26706</v>
      </c>
      <c r="AB71" s="84"/>
      <c r="AC71" s="52">
        <f t="shared" si="0"/>
        <v>10973286</v>
      </c>
      <c r="AD71" s="33"/>
      <c r="AE71" s="67">
        <v>778850</v>
      </c>
      <c r="AG71" s="106">
        <v>3135725</v>
      </c>
      <c r="AI71" s="56"/>
      <c r="AK71" s="106">
        <f>+GenRev!Q71-GenExp!AC71-AE71+GenRev!S71+AG71+AI71-'Gen Fd BS'!O73</f>
        <v>0</v>
      </c>
    </row>
    <row r="72" spans="1:37" s="106" customFormat="1" ht="12.75">
      <c r="A72" s="26" t="s">
        <v>67</v>
      </c>
      <c r="B72" s="26"/>
      <c r="C72" s="84">
        <v>2316954</v>
      </c>
      <c r="D72" s="84"/>
      <c r="E72" s="84">
        <v>746554</v>
      </c>
      <c r="F72" s="84"/>
      <c r="G72" s="84">
        <v>1615024</v>
      </c>
      <c r="H72" s="84"/>
      <c r="I72" s="84">
        <v>95641</v>
      </c>
      <c r="J72" s="84"/>
      <c r="K72" s="84">
        <v>37406</v>
      </c>
      <c r="L72" s="84"/>
      <c r="M72" s="84">
        <v>454553</v>
      </c>
      <c r="N72" s="84"/>
      <c r="O72" s="84">
        <v>0</v>
      </c>
      <c r="P72" s="84"/>
      <c r="Q72" s="84">
        <v>210532</v>
      </c>
      <c r="R72" s="84"/>
      <c r="S72" s="52">
        <v>403</v>
      </c>
      <c r="T72" s="52"/>
      <c r="U72" s="84">
        <v>165443</v>
      </c>
      <c r="V72" s="84"/>
      <c r="W72" s="84">
        <v>0</v>
      </c>
      <c r="X72" s="84"/>
      <c r="Y72" s="84">
        <v>13339</v>
      </c>
      <c r="Z72" s="84"/>
      <c r="AA72" s="84">
        <v>2985</v>
      </c>
      <c r="AB72" s="84"/>
      <c r="AC72" s="52">
        <f t="shared" si="0"/>
        <v>5658834</v>
      </c>
      <c r="AD72" s="33"/>
      <c r="AE72" s="67">
        <v>592393</v>
      </c>
      <c r="AG72" s="106">
        <v>3692560</v>
      </c>
      <c r="AI72" s="56"/>
      <c r="AK72" s="106">
        <f>+GenRev!Q72-GenExp!AC72-AE72+GenRev!S72+AG72+AI72-'Gen Fd BS'!O74</f>
        <v>0</v>
      </c>
    </row>
    <row r="73" spans="1:37" s="106" customFormat="1" ht="12.75">
      <c r="A73" s="26" t="s">
        <v>68</v>
      </c>
      <c r="B73" s="26"/>
      <c r="C73" s="84">
        <v>11515892</v>
      </c>
      <c r="D73" s="84"/>
      <c r="E73" s="84">
        <v>8676054</v>
      </c>
      <c r="F73" s="84"/>
      <c r="G73" s="84">
        <v>12267116</v>
      </c>
      <c r="H73" s="84"/>
      <c r="I73" s="84">
        <v>178173</v>
      </c>
      <c r="J73" s="84"/>
      <c r="K73" s="84">
        <v>248391</v>
      </c>
      <c r="L73" s="84"/>
      <c r="M73" s="84">
        <v>828201</v>
      </c>
      <c r="N73" s="84"/>
      <c r="O73" s="84">
        <v>0</v>
      </c>
      <c r="P73" s="84"/>
      <c r="Q73" s="84">
        <v>0</v>
      </c>
      <c r="R73" s="84"/>
      <c r="S73" s="52">
        <v>335613</v>
      </c>
      <c r="T73" s="52"/>
      <c r="U73" s="84">
        <v>0</v>
      </c>
      <c r="V73" s="84"/>
      <c r="W73" s="84">
        <v>13676</v>
      </c>
      <c r="X73" s="84"/>
      <c r="Y73" s="84">
        <v>0</v>
      </c>
      <c r="Z73" s="84"/>
      <c r="AA73" s="84">
        <v>0</v>
      </c>
      <c r="AB73" s="84"/>
      <c r="AC73" s="52">
        <f aca="true" t="shared" si="1" ref="AC73:AC93">SUM(C73:AA73)</f>
        <v>34063116</v>
      </c>
      <c r="AD73" s="33"/>
      <c r="AE73" s="67">
        <v>53337</v>
      </c>
      <c r="AG73" s="106">
        <v>13748312</v>
      </c>
      <c r="AI73" s="56"/>
      <c r="AK73" s="106">
        <f>+GenRev!Q73-GenExp!AC73-AE73+GenRev!S73+AG73+AI73-'Gen Fd BS'!O75</f>
        <v>0</v>
      </c>
    </row>
    <row r="74" spans="1:37" s="106" customFormat="1" ht="12.75">
      <c r="A74" s="26" t="s">
        <v>69</v>
      </c>
      <c r="B74" s="26"/>
      <c r="C74" s="84">
        <v>2949287</v>
      </c>
      <c r="D74" s="84"/>
      <c r="E74" s="84">
        <v>1128075</v>
      </c>
      <c r="F74" s="84"/>
      <c r="G74" s="84">
        <v>3827726</v>
      </c>
      <c r="H74" s="84"/>
      <c r="I74" s="84">
        <v>24840</v>
      </c>
      <c r="J74" s="84"/>
      <c r="K74" s="84">
        <v>76343</v>
      </c>
      <c r="L74" s="84"/>
      <c r="M74" s="84">
        <v>247877</v>
      </c>
      <c r="N74" s="84"/>
      <c r="O74" s="84">
        <v>0</v>
      </c>
      <c r="P74" s="84"/>
      <c r="Q74" s="84">
        <v>0</v>
      </c>
      <c r="R74" s="84"/>
      <c r="S74" s="52">
        <v>351325</v>
      </c>
      <c r="T74" s="52"/>
      <c r="U74" s="84">
        <v>0</v>
      </c>
      <c r="V74" s="84"/>
      <c r="W74" s="84">
        <v>277162</v>
      </c>
      <c r="X74" s="84"/>
      <c r="Y74" s="84">
        <v>0</v>
      </c>
      <c r="Z74" s="84"/>
      <c r="AA74" s="84">
        <v>0</v>
      </c>
      <c r="AB74" s="84"/>
      <c r="AC74" s="52">
        <f t="shared" si="1"/>
        <v>8882635</v>
      </c>
      <c r="AD74" s="33"/>
      <c r="AE74" s="67">
        <v>179068</v>
      </c>
      <c r="AG74" s="106">
        <v>2720242</v>
      </c>
      <c r="AI74" s="56"/>
      <c r="AK74" s="106">
        <f>+GenRev!Q74-GenExp!AC74-AE74+GenRev!S74+AG74+AI74-'Gen Fd BS'!O76</f>
        <v>0</v>
      </c>
    </row>
    <row r="75" spans="1:37" s="106" customFormat="1" ht="12.75" hidden="1">
      <c r="A75" s="26" t="s">
        <v>185</v>
      </c>
      <c r="B75" s="26"/>
      <c r="C75" s="84">
        <v>0</v>
      </c>
      <c r="D75" s="84"/>
      <c r="E75" s="84">
        <v>0</v>
      </c>
      <c r="F75" s="84"/>
      <c r="G75" s="84">
        <v>0</v>
      </c>
      <c r="H75" s="84"/>
      <c r="I75" s="84">
        <v>0</v>
      </c>
      <c r="J75" s="84"/>
      <c r="K75" s="84">
        <v>0</v>
      </c>
      <c r="L75" s="84"/>
      <c r="M75" s="84">
        <v>0</v>
      </c>
      <c r="N75" s="84"/>
      <c r="O75" s="84">
        <v>0</v>
      </c>
      <c r="P75" s="84"/>
      <c r="Q75" s="84">
        <v>0</v>
      </c>
      <c r="R75" s="84"/>
      <c r="S75" s="52">
        <v>0</v>
      </c>
      <c r="T75" s="52"/>
      <c r="U75" s="84">
        <v>0</v>
      </c>
      <c r="V75" s="84"/>
      <c r="W75" s="84">
        <v>0</v>
      </c>
      <c r="X75" s="84"/>
      <c r="Y75" s="84">
        <v>0</v>
      </c>
      <c r="Z75" s="84"/>
      <c r="AA75" s="84">
        <v>0</v>
      </c>
      <c r="AB75" s="84"/>
      <c r="AC75" s="52">
        <f t="shared" si="1"/>
        <v>0</v>
      </c>
      <c r="AD75" s="33"/>
      <c r="AE75" s="67"/>
      <c r="AI75" s="56"/>
      <c r="AK75" s="106">
        <f>+GenRev!Q75-GenExp!AC75-AE75+GenRev!S75+AG75+AI75-'Gen Fd BS'!O77</f>
        <v>0</v>
      </c>
    </row>
    <row r="76" spans="1:37" s="106" customFormat="1" ht="12.75">
      <c r="A76" s="26" t="s">
        <v>190</v>
      </c>
      <c r="B76" s="26"/>
      <c r="C76" s="84">
        <v>6783834</v>
      </c>
      <c r="D76" s="84"/>
      <c r="E76" s="84">
        <v>4099023</v>
      </c>
      <c r="F76" s="84"/>
      <c r="G76" s="84">
        <v>9937457</v>
      </c>
      <c r="H76" s="84"/>
      <c r="I76" s="84">
        <v>489315</v>
      </c>
      <c r="J76" s="84"/>
      <c r="K76" s="84">
        <v>1394685</v>
      </c>
      <c r="L76" s="84"/>
      <c r="M76" s="84">
        <v>562673</v>
      </c>
      <c r="N76" s="84"/>
      <c r="O76" s="84">
        <v>0</v>
      </c>
      <c r="P76" s="84"/>
      <c r="Q76" s="84">
        <v>160223</v>
      </c>
      <c r="R76" s="84"/>
      <c r="S76" s="52">
        <v>72934</v>
      </c>
      <c r="T76" s="52"/>
      <c r="U76" s="84">
        <v>0</v>
      </c>
      <c r="V76" s="84"/>
      <c r="W76" s="84">
        <v>1465399</v>
      </c>
      <c r="X76" s="84"/>
      <c r="Y76" s="84">
        <v>0</v>
      </c>
      <c r="Z76" s="84"/>
      <c r="AA76" s="84">
        <v>0</v>
      </c>
      <c r="AB76" s="84"/>
      <c r="AC76" s="52">
        <f t="shared" si="1"/>
        <v>24965543</v>
      </c>
      <c r="AD76" s="33"/>
      <c r="AE76" s="67">
        <v>2473728</v>
      </c>
      <c r="AG76" s="106">
        <v>3004086</v>
      </c>
      <c r="AI76" s="56"/>
      <c r="AK76" s="106">
        <f>+GenRev!Q76-GenExp!AC76-AE76+GenRev!S76+AG76+AI76-'Gen Fd BS'!O78</f>
        <v>0</v>
      </c>
    </row>
    <row r="77" spans="1:37" s="106" customFormat="1" ht="12.75">
      <c r="A77" s="26" t="s">
        <v>70</v>
      </c>
      <c r="B77" s="26"/>
      <c r="C77" s="84">
        <v>3462011</v>
      </c>
      <c r="D77" s="84"/>
      <c r="E77" s="84">
        <v>2213316</v>
      </c>
      <c r="F77" s="84"/>
      <c r="G77" s="84">
        <v>913070</v>
      </c>
      <c r="H77" s="84"/>
      <c r="I77" s="84">
        <v>260973</v>
      </c>
      <c r="J77" s="84"/>
      <c r="K77" s="84">
        <v>591009</v>
      </c>
      <c r="L77" s="84"/>
      <c r="M77" s="84">
        <v>420011</v>
      </c>
      <c r="N77" s="84"/>
      <c r="O77" s="84">
        <v>220045</v>
      </c>
      <c r="P77" s="84"/>
      <c r="Q77" s="84">
        <v>0</v>
      </c>
      <c r="R77" s="84"/>
      <c r="S77" s="52">
        <v>2044652</v>
      </c>
      <c r="T77" s="52"/>
      <c r="U77" s="84">
        <v>0</v>
      </c>
      <c r="V77" s="84"/>
      <c r="W77" s="84">
        <v>0</v>
      </c>
      <c r="X77" s="84"/>
      <c r="Y77" s="84">
        <v>81609</v>
      </c>
      <c r="Z77" s="84"/>
      <c r="AA77" s="84">
        <v>39260</v>
      </c>
      <c r="AB77" s="84"/>
      <c r="AC77" s="52">
        <f t="shared" si="1"/>
        <v>10245956</v>
      </c>
      <c r="AD77" s="33"/>
      <c r="AE77" s="67">
        <v>6703627</v>
      </c>
      <c r="AG77" s="106">
        <v>4518220</v>
      </c>
      <c r="AI77" s="56"/>
      <c r="AK77" s="106">
        <f>+GenRev!Q77-GenExp!AC77-AE77+GenRev!S77+AG77+AI77-'Gen Fd BS'!O79</f>
        <v>0</v>
      </c>
    </row>
    <row r="78" spans="1:37" s="106" customFormat="1" ht="12.75">
      <c r="A78" s="26" t="s">
        <v>99</v>
      </c>
      <c r="B78" s="26"/>
      <c r="C78" s="84">
        <v>3517968</v>
      </c>
      <c r="D78" s="84"/>
      <c r="E78" s="84">
        <v>2132838</v>
      </c>
      <c r="F78" s="84"/>
      <c r="G78" s="84">
        <v>6256741</v>
      </c>
      <c r="H78" s="84"/>
      <c r="I78" s="84">
        <v>121512</v>
      </c>
      <c r="J78" s="84"/>
      <c r="K78" s="84">
        <v>117217</v>
      </c>
      <c r="L78" s="84"/>
      <c r="M78" s="84">
        <v>1280146</v>
      </c>
      <c r="N78" s="84"/>
      <c r="O78" s="84">
        <v>0</v>
      </c>
      <c r="P78" s="84"/>
      <c r="Q78" s="84">
        <v>0</v>
      </c>
      <c r="R78" s="84"/>
      <c r="S78" s="52">
        <v>333662</v>
      </c>
      <c r="T78" s="52"/>
      <c r="U78" s="84">
        <v>0</v>
      </c>
      <c r="V78" s="84"/>
      <c r="W78" s="84">
        <v>228400</v>
      </c>
      <c r="X78" s="84"/>
      <c r="Y78" s="84">
        <v>6863</v>
      </c>
      <c r="Z78" s="84"/>
      <c r="AA78" s="84">
        <v>380</v>
      </c>
      <c r="AB78" s="84"/>
      <c r="AC78" s="52">
        <f t="shared" si="1"/>
        <v>13995727</v>
      </c>
      <c r="AD78" s="33"/>
      <c r="AE78" s="67">
        <v>540610</v>
      </c>
      <c r="AG78" s="106">
        <v>4064279</v>
      </c>
      <c r="AI78" s="56"/>
      <c r="AK78" s="106">
        <f>+GenRev!Q78-GenExp!AC78-AE78+GenRev!S78+AG78+AI78-'Gen Fd BS'!O80</f>
        <v>0</v>
      </c>
    </row>
    <row r="79" spans="1:37" s="106" customFormat="1" ht="12.75">
      <c r="A79" s="26" t="s">
        <v>71</v>
      </c>
      <c r="B79" s="26"/>
      <c r="C79" s="84">
        <v>5641969</v>
      </c>
      <c r="D79" s="84"/>
      <c r="E79" s="84">
        <v>2181985</v>
      </c>
      <c r="F79" s="84"/>
      <c r="G79" s="84">
        <f>2811559+335855</f>
        <v>3147414</v>
      </c>
      <c r="H79" s="84"/>
      <c r="I79" s="84">
        <v>218841</v>
      </c>
      <c r="J79" s="84"/>
      <c r="K79" s="84">
        <v>310575</v>
      </c>
      <c r="L79" s="84"/>
      <c r="M79" s="84">
        <v>309157</v>
      </c>
      <c r="N79" s="84"/>
      <c r="O79" s="84">
        <v>96028</v>
      </c>
      <c r="P79" s="84"/>
      <c r="Q79" s="84">
        <v>223640</v>
      </c>
      <c r="R79" s="84"/>
      <c r="S79" s="52">
        <v>0</v>
      </c>
      <c r="T79" s="52"/>
      <c r="U79" s="84">
        <v>0</v>
      </c>
      <c r="V79" s="84"/>
      <c r="W79" s="84">
        <v>0</v>
      </c>
      <c r="X79" s="84"/>
      <c r="Y79" s="84">
        <v>229614</v>
      </c>
      <c r="Z79" s="84"/>
      <c r="AA79" s="84">
        <v>33186</v>
      </c>
      <c r="AB79" s="84"/>
      <c r="AC79" s="52">
        <f t="shared" si="1"/>
        <v>12392409</v>
      </c>
      <c r="AD79" s="33"/>
      <c r="AE79" s="67">
        <v>2113806</v>
      </c>
      <c r="AG79" s="106">
        <v>2158911</v>
      </c>
      <c r="AI79" s="56"/>
      <c r="AK79" s="106">
        <f>+GenRev!Q79-GenExp!AC79-AE79+GenRev!S79+AG79+AI79-'Gen Fd BS'!O81</f>
        <v>0</v>
      </c>
    </row>
    <row r="80" spans="1:37" s="106" customFormat="1" ht="12.75">
      <c r="A80" s="26" t="s">
        <v>72</v>
      </c>
      <c r="B80" s="26"/>
      <c r="C80" s="84">
        <v>3654021</v>
      </c>
      <c r="D80" s="84"/>
      <c r="E80" s="84">
        <v>2027499</v>
      </c>
      <c r="F80" s="84"/>
      <c r="G80" s="84">
        <v>3676006</v>
      </c>
      <c r="H80" s="84"/>
      <c r="I80" s="84">
        <v>30820</v>
      </c>
      <c r="J80" s="84"/>
      <c r="K80" s="84">
        <v>86495</v>
      </c>
      <c r="L80" s="84"/>
      <c r="M80" s="84">
        <v>235621</v>
      </c>
      <c r="N80" s="84"/>
      <c r="O80" s="84">
        <v>486148</v>
      </c>
      <c r="P80" s="84"/>
      <c r="Q80" s="84">
        <v>66827</v>
      </c>
      <c r="R80" s="84"/>
      <c r="S80" s="52">
        <v>0</v>
      </c>
      <c r="T80" s="52"/>
      <c r="U80" s="84">
        <v>254378</v>
      </c>
      <c r="V80" s="84"/>
      <c r="W80" s="84">
        <v>0</v>
      </c>
      <c r="X80" s="84"/>
      <c r="Y80" s="84">
        <v>11023</v>
      </c>
      <c r="Z80" s="84"/>
      <c r="AA80" s="84">
        <v>68</v>
      </c>
      <c r="AB80" s="84"/>
      <c r="AC80" s="52">
        <f t="shared" si="1"/>
        <v>10528906</v>
      </c>
      <c r="AD80" s="33"/>
      <c r="AE80" s="67">
        <v>1034569</v>
      </c>
      <c r="AG80" s="106">
        <v>600744</v>
      </c>
      <c r="AI80" s="56"/>
      <c r="AK80" s="106">
        <f>+GenRev!Q80-GenExp!AC80-AE80+GenRev!S80+AG80+AI80-'Gen Fd BS'!O82</f>
        <v>0</v>
      </c>
    </row>
    <row r="81" spans="1:37" s="106" customFormat="1" ht="12.75">
      <c r="A81" s="26" t="s">
        <v>73</v>
      </c>
      <c r="B81" s="26"/>
      <c r="C81" s="84">
        <v>3426700</v>
      </c>
      <c r="D81" s="84"/>
      <c r="E81" s="84">
        <v>1989120</v>
      </c>
      <c r="F81" s="84"/>
      <c r="G81" s="84">
        <v>3908488</v>
      </c>
      <c r="H81" s="84"/>
      <c r="I81" s="84">
        <v>954280</v>
      </c>
      <c r="J81" s="84"/>
      <c r="K81" s="84">
        <v>96192</v>
      </c>
      <c r="L81" s="84"/>
      <c r="M81" s="84">
        <v>962627</v>
      </c>
      <c r="N81" s="84"/>
      <c r="O81" s="84">
        <v>0</v>
      </c>
      <c r="P81" s="84"/>
      <c r="Q81" s="84">
        <v>0</v>
      </c>
      <c r="R81" s="84"/>
      <c r="S81" s="52">
        <v>0</v>
      </c>
      <c r="T81" s="52"/>
      <c r="U81" s="84">
        <v>0</v>
      </c>
      <c r="V81" s="84"/>
      <c r="W81" s="84">
        <v>483580</v>
      </c>
      <c r="X81" s="84"/>
      <c r="Y81" s="84">
        <v>8081</v>
      </c>
      <c r="Z81" s="84"/>
      <c r="AA81" s="84">
        <v>993</v>
      </c>
      <c r="AB81" s="84"/>
      <c r="AC81" s="52">
        <f t="shared" si="1"/>
        <v>11830061</v>
      </c>
      <c r="AD81" s="33"/>
      <c r="AE81" s="67">
        <v>625657</v>
      </c>
      <c r="AG81" s="106">
        <v>3178230</v>
      </c>
      <c r="AI81" s="56"/>
      <c r="AK81" s="106">
        <f>+GenRev!Q81-GenExp!AC81-AE81+GenRev!S81+AG81+AI81-'Gen Fd BS'!O83</f>
        <v>0</v>
      </c>
    </row>
    <row r="82" spans="1:37" s="106" customFormat="1" ht="12.75">
      <c r="A82" s="26" t="s">
        <v>74</v>
      </c>
      <c r="B82" s="26"/>
      <c r="C82" s="84">
        <v>11918540</v>
      </c>
      <c r="D82" s="84"/>
      <c r="E82" s="84">
        <v>9734511</v>
      </c>
      <c r="F82" s="84"/>
      <c r="G82" s="84">
        <v>15750182</v>
      </c>
      <c r="H82" s="84"/>
      <c r="I82" s="84">
        <v>343441</v>
      </c>
      <c r="J82" s="84"/>
      <c r="K82" s="84">
        <v>0</v>
      </c>
      <c r="L82" s="84"/>
      <c r="M82" s="84">
        <v>818095</v>
      </c>
      <c r="N82" s="84"/>
      <c r="O82" s="84">
        <v>0</v>
      </c>
      <c r="P82" s="84"/>
      <c r="Q82" s="84">
        <v>0</v>
      </c>
      <c r="R82" s="84"/>
      <c r="S82" s="52">
        <v>889611</v>
      </c>
      <c r="T82" s="52"/>
      <c r="U82" s="84">
        <v>0</v>
      </c>
      <c r="V82" s="84"/>
      <c r="W82" s="84">
        <v>5375726</v>
      </c>
      <c r="X82" s="84"/>
      <c r="Y82" s="84">
        <v>79965</v>
      </c>
      <c r="Z82" s="84"/>
      <c r="AA82" s="84">
        <v>1698</v>
      </c>
      <c r="AB82" s="84"/>
      <c r="AC82" s="52">
        <f t="shared" si="1"/>
        <v>44911769</v>
      </c>
      <c r="AD82" s="33"/>
      <c r="AE82" s="67">
        <v>0</v>
      </c>
      <c r="AG82" s="106">
        <v>12222857</v>
      </c>
      <c r="AI82" s="56"/>
      <c r="AK82" s="106">
        <f>+GenRev!Q82-GenExp!AC82-AE82+GenRev!S82+AG82+AI82-'Gen Fd BS'!O84</f>
        <v>0</v>
      </c>
    </row>
    <row r="83" spans="1:37" s="106" customFormat="1" ht="12.75">
      <c r="A83" s="26" t="s">
        <v>75</v>
      </c>
      <c r="B83" s="26"/>
      <c r="C83" s="84">
        <v>22083879</v>
      </c>
      <c r="D83" s="84"/>
      <c r="E83" s="84">
        <v>23234803</v>
      </c>
      <c r="F83" s="84"/>
      <c r="G83" s="84">
        <v>49948904</v>
      </c>
      <c r="H83" s="84"/>
      <c r="I83" s="84">
        <v>0</v>
      </c>
      <c r="J83" s="84"/>
      <c r="K83" s="84">
        <v>416487</v>
      </c>
      <c r="L83" s="84"/>
      <c r="M83" s="84">
        <v>2819912</v>
      </c>
      <c r="N83" s="84"/>
      <c r="O83" s="84">
        <v>4037</v>
      </c>
      <c r="P83" s="84"/>
      <c r="Q83" s="84">
        <v>0</v>
      </c>
      <c r="R83" s="84"/>
      <c r="S83" s="52">
        <v>1542821</v>
      </c>
      <c r="T83" s="52"/>
      <c r="U83" s="84">
        <v>0</v>
      </c>
      <c r="V83" s="84"/>
      <c r="W83" s="84">
        <v>292411</v>
      </c>
      <c r="X83" s="84"/>
      <c r="Y83" s="84">
        <v>0</v>
      </c>
      <c r="Z83" s="84"/>
      <c r="AA83" s="84">
        <v>0</v>
      </c>
      <c r="AB83" s="84"/>
      <c r="AC83" s="52">
        <f t="shared" si="1"/>
        <v>100343254</v>
      </c>
      <c r="AD83" s="33"/>
      <c r="AE83" s="67">
        <v>5280192</v>
      </c>
      <c r="AG83" s="106">
        <v>71167417</v>
      </c>
      <c r="AI83" s="56"/>
      <c r="AK83" s="106">
        <f>+GenRev!Q83-GenExp!AC83-AE83+GenRev!S83+AG83+AI83-'Gen Fd BS'!O85</f>
        <v>0</v>
      </c>
    </row>
    <row r="84" spans="1:37" s="106" customFormat="1" ht="12.75">
      <c r="A84" s="26" t="s">
        <v>76</v>
      </c>
      <c r="B84" s="26"/>
      <c r="C84" s="84">
        <v>14241857</v>
      </c>
      <c r="D84" s="84"/>
      <c r="E84" s="84">
        <v>9298428</v>
      </c>
      <c r="F84" s="84"/>
      <c r="G84" s="84">
        <v>9812373</v>
      </c>
      <c r="H84" s="84"/>
      <c r="I84" s="84">
        <v>0</v>
      </c>
      <c r="J84" s="84"/>
      <c r="K84" s="84">
        <v>0</v>
      </c>
      <c r="L84" s="84"/>
      <c r="M84" s="84">
        <v>673830</v>
      </c>
      <c r="N84" s="84"/>
      <c r="O84" s="84">
        <v>0</v>
      </c>
      <c r="P84" s="84"/>
      <c r="Q84" s="84">
        <v>0</v>
      </c>
      <c r="R84" s="84"/>
      <c r="S84" s="52">
        <v>76960</v>
      </c>
      <c r="T84" s="52"/>
      <c r="U84" s="84">
        <v>0</v>
      </c>
      <c r="V84" s="84"/>
      <c r="W84" s="84">
        <v>0</v>
      </c>
      <c r="X84" s="84"/>
      <c r="Y84" s="84">
        <v>49926</v>
      </c>
      <c r="Z84" s="84"/>
      <c r="AA84" s="84">
        <v>4023</v>
      </c>
      <c r="AB84" s="84"/>
      <c r="AC84" s="52">
        <f t="shared" si="1"/>
        <v>34157397</v>
      </c>
      <c r="AD84" s="33"/>
      <c r="AE84" s="67">
        <v>3171633</v>
      </c>
      <c r="AG84" s="106">
        <v>5700196</v>
      </c>
      <c r="AI84" s="56"/>
      <c r="AK84" s="106">
        <f>+GenRev!Q84-GenExp!AC84-AE84+GenRev!S84+AG84+AI84-'Gen Fd BS'!O86</f>
        <v>0</v>
      </c>
    </row>
    <row r="85" spans="1:37" s="106" customFormat="1" ht="12.75">
      <c r="A85" s="26" t="s">
        <v>77</v>
      </c>
      <c r="B85" s="26"/>
      <c r="C85" s="84">
        <v>4454542</v>
      </c>
      <c r="D85" s="84"/>
      <c r="E85" s="84">
        <v>3415442</v>
      </c>
      <c r="F85" s="84"/>
      <c r="G85" s="84">
        <v>3654427</v>
      </c>
      <c r="H85" s="84"/>
      <c r="I85" s="84">
        <v>144001</v>
      </c>
      <c r="J85" s="84"/>
      <c r="K85" s="84">
        <v>160352</v>
      </c>
      <c r="L85" s="84"/>
      <c r="M85" s="84">
        <v>538056</v>
      </c>
      <c r="N85" s="84"/>
      <c r="O85" s="84">
        <v>0</v>
      </c>
      <c r="P85" s="84"/>
      <c r="Q85" s="84">
        <v>0</v>
      </c>
      <c r="R85" s="84"/>
      <c r="S85" s="52">
        <v>0</v>
      </c>
      <c r="T85" s="52"/>
      <c r="U85" s="84">
        <v>0</v>
      </c>
      <c r="V85" s="84"/>
      <c r="W85" s="84">
        <v>448282</v>
      </c>
      <c r="X85" s="84"/>
      <c r="Y85" s="84">
        <v>30647</v>
      </c>
      <c r="Z85" s="84"/>
      <c r="AA85" s="84">
        <v>5311</v>
      </c>
      <c r="AB85" s="84"/>
      <c r="AC85" s="52">
        <f t="shared" si="1"/>
        <v>12851060</v>
      </c>
      <c r="AD85" s="33"/>
      <c r="AE85" s="67">
        <v>6605545</v>
      </c>
      <c r="AG85" s="106">
        <v>16212655</v>
      </c>
      <c r="AI85" s="56"/>
      <c r="AK85" s="106">
        <f>+GenRev!Q85-GenExp!AC85-AE85+GenRev!S85+AG85+AI85-'Gen Fd BS'!O87</f>
        <v>0</v>
      </c>
    </row>
    <row r="86" spans="1:37" s="106" customFormat="1" ht="12.75">
      <c r="A86" s="26" t="s">
        <v>78</v>
      </c>
      <c r="B86" s="26"/>
      <c r="C86" s="84">
        <v>6185770</v>
      </c>
      <c r="D86" s="84"/>
      <c r="E86" s="84">
        <v>1426832</v>
      </c>
      <c r="F86" s="84"/>
      <c r="G86" s="84">
        <v>4173383</v>
      </c>
      <c r="H86" s="84"/>
      <c r="I86" s="84">
        <v>58128</v>
      </c>
      <c r="J86" s="84"/>
      <c r="K86" s="84">
        <v>155378</v>
      </c>
      <c r="L86" s="84"/>
      <c r="M86" s="84">
        <v>1241694</v>
      </c>
      <c r="N86" s="84"/>
      <c r="O86" s="84">
        <v>154969</v>
      </c>
      <c r="P86" s="84"/>
      <c r="Q86" s="84">
        <v>0</v>
      </c>
      <c r="R86" s="84"/>
      <c r="S86" s="52">
        <v>582096</v>
      </c>
      <c r="T86" s="52"/>
      <c r="U86" s="84">
        <v>0</v>
      </c>
      <c r="V86" s="84"/>
      <c r="W86" s="84">
        <v>0</v>
      </c>
      <c r="X86" s="84"/>
      <c r="Y86" s="84">
        <v>0</v>
      </c>
      <c r="Z86" s="84"/>
      <c r="AA86" s="84">
        <v>0</v>
      </c>
      <c r="AB86" s="84"/>
      <c r="AC86" s="52">
        <f t="shared" si="1"/>
        <v>13978250</v>
      </c>
      <c r="AD86" s="33"/>
      <c r="AE86" s="67">
        <v>1909327</v>
      </c>
      <c r="AG86" s="106">
        <v>3565661</v>
      </c>
      <c r="AI86" s="56">
        <v>-114708</v>
      </c>
      <c r="AK86" s="106">
        <f>+GenRev!Q86-GenExp!AC86-AE86+GenRev!S86+AG86+AI86-'Gen Fd BS'!O88</f>
        <v>0</v>
      </c>
    </row>
    <row r="87" spans="1:37" s="106" customFormat="1" ht="12.75">
      <c r="A87" s="26" t="s">
        <v>79</v>
      </c>
      <c r="B87" s="26"/>
      <c r="C87" s="84">
        <v>2759055</v>
      </c>
      <c r="D87" s="84"/>
      <c r="E87" s="84">
        <v>1213322</v>
      </c>
      <c r="F87" s="84"/>
      <c r="G87" s="84">
        <v>2522308</v>
      </c>
      <c r="H87" s="84"/>
      <c r="I87" s="84">
        <v>328724</v>
      </c>
      <c r="J87" s="84"/>
      <c r="K87" s="84">
        <v>26155</v>
      </c>
      <c r="L87" s="84"/>
      <c r="M87" s="84">
        <v>242844</v>
      </c>
      <c r="N87" s="84"/>
      <c r="O87" s="84">
        <v>37500</v>
      </c>
      <c r="P87" s="84"/>
      <c r="Q87" s="84">
        <v>0</v>
      </c>
      <c r="R87" s="84"/>
      <c r="S87" s="52">
        <v>0</v>
      </c>
      <c r="T87" s="52"/>
      <c r="U87" s="84">
        <v>200558</v>
      </c>
      <c r="V87" s="84"/>
      <c r="W87" s="84">
        <v>305891</v>
      </c>
      <c r="X87" s="84"/>
      <c r="Y87" s="84">
        <v>0</v>
      </c>
      <c r="Z87" s="84"/>
      <c r="AA87" s="84">
        <v>0</v>
      </c>
      <c r="AB87" s="84"/>
      <c r="AC87" s="52">
        <f t="shared" si="1"/>
        <v>7636357</v>
      </c>
      <c r="AD87" s="33"/>
      <c r="AE87" s="67">
        <v>663071</v>
      </c>
      <c r="AG87" s="106">
        <v>2891309</v>
      </c>
      <c r="AI87" s="56"/>
      <c r="AK87" s="106">
        <f>+GenRev!Q87-GenExp!AC87-AE87+GenRev!S87+AG87+AI87-'Gen Fd BS'!O89</f>
        <v>0</v>
      </c>
    </row>
    <row r="88" spans="1:37" s="106" customFormat="1" ht="12.75">
      <c r="A88" s="26" t="s">
        <v>80</v>
      </c>
      <c r="B88" s="26"/>
      <c r="C88" s="84">
        <v>1126380</v>
      </c>
      <c r="D88" s="84"/>
      <c r="E88" s="84">
        <v>413577</v>
      </c>
      <c r="F88" s="84"/>
      <c r="G88" s="84">
        <v>623114</v>
      </c>
      <c r="H88" s="84"/>
      <c r="I88" s="84">
        <v>190544</v>
      </c>
      <c r="J88" s="84"/>
      <c r="K88" s="84">
        <v>13856</v>
      </c>
      <c r="L88" s="84"/>
      <c r="M88" s="84">
        <v>61770</v>
      </c>
      <c r="N88" s="84"/>
      <c r="O88" s="84">
        <v>0</v>
      </c>
      <c r="P88" s="84"/>
      <c r="Q88" s="84">
        <v>0</v>
      </c>
      <c r="R88" s="84"/>
      <c r="S88" s="52">
        <v>340575</v>
      </c>
      <c r="T88" s="52"/>
      <c r="U88" s="84">
        <v>0</v>
      </c>
      <c r="V88" s="84"/>
      <c r="W88" s="84">
        <v>0</v>
      </c>
      <c r="X88" s="84"/>
      <c r="Y88" s="84">
        <v>0</v>
      </c>
      <c r="Z88" s="84"/>
      <c r="AA88" s="84">
        <v>0</v>
      </c>
      <c r="AB88" s="84"/>
      <c r="AC88" s="52">
        <f t="shared" si="1"/>
        <v>2769816</v>
      </c>
      <c r="AD88" s="33"/>
      <c r="AE88" s="67">
        <v>89331</v>
      </c>
      <c r="AG88" s="106">
        <v>179025</v>
      </c>
      <c r="AI88" s="56"/>
      <c r="AK88" s="106">
        <f>+GenRev!Q88-GenExp!AC88-AE88+GenRev!S88+AG88+AI88-'Gen Fd BS'!O90</f>
        <v>0</v>
      </c>
    </row>
    <row r="89" spans="1:37" s="106" customFormat="1" ht="12.75">
      <c r="A89" s="26" t="s">
        <v>81</v>
      </c>
      <c r="B89" s="26"/>
      <c r="C89" s="84">
        <v>14563185</v>
      </c>
      <c r="D89" s="84"/>
      <c r="E89" s="84">
        <v>4968250</v>
      </c>
      <c r="F89" s="84"/>
      <c r="G89" s="84">
        <v>16264245</v>
      </c>
      <c r="H89" s="84"/>
      <c r="I89" s="84">
        <v>0</v>
      </c>
      <c r="J89" s="84"/>
      <c r="K89" s="84">
        <v>0</v>
      </c>
      <c r="L89" s="84"/>
      <c r="M89" s="84">
        <v>836424</v>
      </c>
      <c r="N89" s="84"/>
      <c r="O89" s="84">
        <v>0</v>
      </c>
      <c r="P89" s="84"/>
      <c r="Q89" s="84">
        <v>0</v>
      </c>
      <c r="R89" s="84"/>
      <c r="S89" s="52">
        <v>0</v>
      </c>
      <c r="T89" s="52"/>
      <c r="U89" s="84">
        <v>0</v>
      </c>
      <c r="V89" s="84"/>
      <c r="W89" s="84">
        <v>0</v>
      </c>
      <c r="X89" s="84"/>
      <c r="Y89" s="84">
        <v>13543</v>
      </c>
      <c r="Z89" s="84"/>
      <c r="AA89" s="84">
        <v>2587</v>
      </c>
      <c r="AB89" s="84"/>
      <c r="AC89" s="52">
        <f t="shared" si="1"/>
        <v>36648234</v>
      </c>
      <c r="AD89" s="33"/>
      <c r="AE89" s="67">
        <v>4837534</v>
      </c>
      <c r="AG89" s="106">
        <v>17092248</v>
      </c>
      <c r="AI89" s="56">
        <v>-1506</v>
      </c>
      <c r="AK89" s="106">
        <f>+GenRev!Q89-GenExp!AC89-AE89+GenRev!S89+AG89+AI89-'Gen Fd BS'!O91</f>
        <v>0</v>
      </c>
    </row>
    <row r="90" spans="1:37" s="106" customFormat="1" ht="12.75">
      <c r="A90" s="26" t="s">
        <v>82</v>
      </c>
      <c r="B90" s="26"/>
      <c r="C90" s="84">
        <v>3654036</v>
      </c>
      <c r="D90" s="84"/>
      <c r="E90" s="84">
        <v>1151507</v>
      </c>
      <c r="F90" s="84"/>
      <c r="G90" s="84">
        <v>2555429</v>
      </c>
      <c r="H90" s="84"/>
      <c r="I90" s="84">
        <v>2762572</v>
      </c>
      <c r="J90" s="84"/>
      <c r="K90" s="84">
        <v>146901</v>
      </c>
      <c r="L90" s="84"/>
      <c r="M90" s="84">
        <v>609744</v>
      </c>
      <c r="N90" s="84"/>
      <c r="O90" s="84">
        <v>154073</v>
      </c>
      <c r="P90" s="84"/>
      <c r="Q90" s="84">
        <v>0</v>
      </c>
      <c r="R90" s="84"/>
      <c r="S90" s="52">
        <v>0</v>
      </c>
      <c r="T90" s="52"/>
      <c r="U90" s="84">
        <v>4110</v>
      </c>
      <c r="V90" s="84"/>
      <c r="W90" s="84">
        <v>1515065</v>
      </c>
      <c r="X90" s="84"/>
      <c r="Y90" s="84">
        <v>0</v>
      </c>
      <c r="Z90" s="84"/>
      <c r="AA90" s="84">
        <v>0</v>
      </c>
      <c r="AB90" s="84"/>
      <c r="AC90" s="52">
        <f t="shared" si="1"/>
        <v>12553437</v>
      </c>
      <c r="AD90" s="33"/>
      <c r="AE90" s="67">
        <v>1630798</v>
      </c>
      <c r="AG90" s="106">
        <v>7191046</v>
      </c>
      <c r="AI90" s="56"/>
      <c r="AK90" s="106">
        <v>0</v>
      </c>
    </row>
    <row r="91" spans="1:37" s="106" customFormat="1" ht="12.75">
      <c r="A91" s="26" t="s">
        <v>83</v>
      </c>
      <c r="B91" s="26"/>
      <c r="C91" s="84">
        <v>7086922</v>
      </c>
      <c r="D91" s="84"/>
      <c r="E91" s="84">
        <v>3801100</v>
      </c>
      <c r="F91" s="84"/>
      <c r="G91" s="84">
        <v>7690707</v>
      </c>
      <c r="H91" s="84"/>
      <c r="I91" s="84">
        <v>148378</v>
      </c>
      <c r="J91" s="84"/>
      <c r="K91" s="84">
        <v>192475</v>
      </c>
      <c r="L91" s="84"/>
      <c r="M91" s="84">
        <v>774215</v>
      </c>
      <c r="N91" s="84"/>
      <c r="O91" s="84">
        <v>0</v>
      </c>
      <c r="P91" s="84"/>
      <c r="Q91" s="84">
        <v>162190</v>
      </c>
      <c r="R91" s="84"/>
      <c r="S91" s="52">
        <v>780128</v>
      </c>
      <c r="T91" s="52"/>
      <c r="U91" s="84">
        <v>150817</v>
      </c>
      <c r="V91" s="84"/>
      <c r="W91" s="84">
        <v>0</v>
      </c>
      <c r="X91" s="84"/>
      <c r="Y91" s="84">
        <v>1972</v>
      </c>
      <c r="Z91" s="84"/>
      <c r="AA91" s="84">
        <v>341</v>
      </c>
      <c r="AB91" s="84"/>
      <c r="AC91" s="52">
        <f t="shared" si="1"/>
        <v>20789245</v>
      </c>
      <c r="AD91" s="33"/>
      <c r="AE91" s="67">
        <v>1154769</v>
      </c>
      <c r="AG91" s="106">
        <v>8576459</v>
      </c>
      <c r="AI91" s="56">
        <v>13495</v>
      </c>
      <c r="AK91" s="106">
        <v>0</v>
      </c>
    </row>
    <row r="92" spans="1:37" s="106" customFormat="1" ht="12.75" hidden="1">
      <c r="A92" s="26" t="s">
        <v>183</v>
      </c>
      <c r="B92" s="26"/>
      <c r="C92" s="84">
        <v>0</v>
      </c>
      <c r="D92" s="84"/>
      <c r="E92" s="84">
        <v>0</v>
      </c>
      <c r="F92" s="84"/>
      <c r="G92" s="84">
        <v>0</v>
      </c>
      <c r="H92" s="84"/>
      <c r="I92" s="84">
        <v>0</v>
      </c>
      <c r="J92" s="84"/>
      <c r="K92" s="84">
        <v>0</v>
      </c>
      <c r="L92" s="84"/>
      <c r="M92" s="84">
        <v>0</v>
      </c>
      <c r="N92" s="84"/>
      <c r="O92" s="84">
        <v>0</v>
      </c>
      <c r="P92" s="84"/>
      <c r="Q92" s="84">
        <v>0</v>
      </c>
      <c r="R92" s="84"/>
      <c r="S92" s="52">
        <v>0</v>
      </c>
      <c r="T92" s="52"/>
      <c r="U92" s="84">
        <v>0</v>
      </c>
      <c r="V92" s="84"/>
      <c r="W92" s="84">
        <v>0</v>
      </c>
      <c r="X92" s="84"/>
      <c r="Y92" s="84">
        <v>0</v>
      </c>
      <c r="Z92" s="84"/>
      <c r="AA92" s="84">
        <v>0</v>
      </c>
      <c r="AB92" s="84"/>
      <c r="AC92" s="52">
        <f t="shared" si="1"/>
        <v>0</v>
      </c>
      <c r="AD92" s="33"/>
      <c r="AE92" s="67"/>
      <c r="AI92" s="56"/>
      <c r="AK92" s="106">
        <v>0</v>
      </c>
    </row>
    <row r="93" spans="1:37" s="106" customFormat="1" ht="12.75">
      <c r="A93" s="26" t="s">
        <v>84</v>
      </c>
      <c r="B93" s="26"/>
      <c r="C93" s="84">
        <v>13946992</v>
      </c>
      <c r="D93" s="84"/>
      <c r="E93" s="84">
        <v>5486396</v>
      </c>
      <c r="F93" s="84"/>
      <c r="G93" s="84">
        <v>6405432</v>
      </c>
      <c r="H93" s="84"/>
      <c r="I93" s="84">
        <v>400456</v>
      </c>
      <c r="J93" s="84"/>
      <c r="K93" s="84">
        <v>139996</v>
      </c>
      <c r="L93" s="84"/>
      <c r="M93" s="84">
        <v>446733</v>
      </c>
      <c r="N93" s="84"/>
      <c r="O93" s="84">
        <v>0</v>
      </c>
      <c r="P93" s="84"/>
      <c r="Q93" s="84">
        <v>94194</v>
      </c>
      <c r="R93" s="84"/>
      <c r="S93" s="52">
        <v>417181</v>
      </c>
      <c r="T93" s="52"/>
      <c r="U93" s="84">
        <v>0</v>
      </c>
      <c r="V93" s="84"/>
      <c r="W93" s="84">
        <v>433130</v>
      </c>
      <c r="X93" s="84"/>
      <c r="Y93" s="84">
        <v>1845</v>
      </c>
      <c r="Z93" s="84"/>
      <c r="AA93" s="84">
        <v>380</v>
      </c>
      <c r="AB93" s="84"/>
      <c r="AC93" s="52">
        <f t="shared" si="1"/>
        <v>27772735</v>
      </c>
      <c r="AD93" s="33"/>
      <c r="AE93" s="67">
        <v>3928163</v>
      </c>
      <c r="AG93" s="106">
        <v>10028746</v>
      </c>
      <c r="AI93" s="56"/>
      <c r="AK93" s="106">
        <v>0</v>
      </c>
    </row>
    <row r="94" spans="1:37" s="106" customFormat="1" ht="12.75" hidden="1">
      <c r="A94" s="26" t="s">
        <v>184</v>
      </c>
      <c r="B94" s="26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33"/>
      <c r="AE94" s="67"/>
      <c r="AI94" s="56"/>
      <c r="AK94" s="106">
        <f>+GenRev!Q94-GenExp!AC94-AE94+GenRev!S94+AG94+AI94-'Gen Fd BS'!O96</f>
        <v>0</v>
      </c>
    </row>
    <row r="95" spans="1:35" s="106" customFormat="1" ht="12.75">
      <c r="A95" s="26"/>
      <c r="B95" s="26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67"/>
      <c r="AI95" s="56"/>
    </row>
    <row r="96" spans="1:35" s="106" customFormat="1" ht="12.75">
      <c r="A96" s="26"/>
      <c r="B96" s="26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67"/>
      <c r="AI96" s="56"/>
    </row>
    <row r="97" spans="1:35" s="106" customFormat="1" ht="12.75">
      <c r="A97" s="67"/>
      <c r="B97" s="67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67"/>
      <c r="AI97" s="56"/>
    </row>
    <row r="98" spans="1:35" s="106" customFormat="1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I98" s="56"/>
    </row>
    <row r="99" spans="1:35" s="106" customFormat="1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I99" s="56"/>
    </row>
    <row r="100" spans="1:35" s="106" customFormat="1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I100" s="56"/>
    </row>
    <row r="101" spans="1:35" s="106" customFormat="1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I101" s="56"/>
    </row>
    <row r="102" s="106" customFormat="1" ht="12.75">
      <c r="AI102" s="56"/>
    </row>
    <row r="103" s="106" customFormat="1" ht="12.75">
      <c r="AI103" s="56"/>
    </row>
    <row r="104" s="106" customFormat="1" ht="12.75">
      <c r="AI104" s="56"/>
    </row>
    <row r="105" s="106" customFormat="1" ht="12.75">
      <c r="AI105" s="56"/>
    </row>
    <row r="106" s="106" customFormat="1" ht="12.75">
      <c r="AI106" s="56"/>
    </row>
    <row r="107" s="106" customFormat="1" ht="12.75">
      <c r="AI107" s="56"/>
    </row>
    <row r="108" s="106" customFormat="1" ht="12.75">
      <c r="AI108" s="56"/>
    </row>
    <row r="109" s="106" customFormat="1" ht="12.75">
      <c r="AI109" s="56"/>
    </row>
    <row r="110" s="106" customFormat="1" ht="12.75">
      <c r="AI110" s="56"/>
    </row>
    <row r="111" s="106" customFormat="1" ht="12.75">
      <c r="AI111" s="56"/>
    </row>
    <row r="112" s="106" customFormat="1" ht="12.75">
      <c r="AI112" s="56"/>
    </row>
    <row r="113" s="106" customFormat="1" ht="12.75">
      <c r="AI113" s="56"/>
    </row>
    <row r="114" s="106" customFormat="1" ht="12.75">
      <c r="AI114" s="56"/>
    </row>
    <row r="115" s="106" customFormat="1" ht="12.75">
      <c r="AI115" s="56"/>
    </row>
    <row r="116" s="106" customFormat="1" ht="12.75">
      <c r="AI116" s="56"/>
    </row>
    <row r="117" s="106" customFormat="1" ht="12.75">
      <c r="AI117" s="56"/>
    </row>
    <row r="118" s="106" customFormat="1" ht="12.75">
      <c r="AI118" s="56"/>
    </row>
    <row r="119" s="106" customFormat="1" ht="12.75">
      <c r="AI119" s="56"/>
    </row>
    <row r="120" s="106" customFormat="1" ht="12.75">
      <c r="AI120" s="56"/>
    </row>
    <row r="121" s="106" customFormat="1" ht="12.75">
      <c r="AI121" s="56"/>
    </row>
    <row r="122" s="106" customFormat="1" ht="12.75">
      <c r="AI122" s="56"/>
    </row>
    <row r="123" s="106" customFormat="1" ht="12.75">
      <c r="AI123" s="56"/>
    </row>
    <row r="124" s="106" customFormat="1" ht="12.75">
      <c r="AI124" s="56"/>
    </row>
    <row r="125" s="106" customFormat="1" ht="12.75">
      <c r="AI125" s="56"/>
    </row>
    <row r="126" s="106" customFormat="1" ht="12.75">
      <c r="AI126" s="56"/>
    </row>
    <row r="127" s="106" customFormat="1" ht="12.75">
      <c r="AI127" s="56"/>
    </row>
    <row r="128" s="106" customFormat="1" ht="12.75">
      <c r="AI128" s="56"/>
    </row>
    <row r="129" s="106" customFormat="1" ht="12.75">
      <c r="AI129" s="56"/>
    </row>
    <row r="130" s="106" customFormat="1" ht="12.75">
      <c r="AI130" s="56"/>
    </row>
    <row r="131" s="106" customFormat="1" ht="12.75">
      <c r="AI131" s="56"/>
    </row>
    <row r="132" s="106" customFormat="1" ht="12.75">
      <c r="AI132" s="56"/>
    </row>
    <row r="133" s="106" customFormat="1" ht="12.75">
      <c r="AI133" s="56"/>
    </row>
    <row r="134" s="106" customFormat="1" ht="12.75">
      <c r="AI134" s="56"/>
    </row>
    <row r="135" s="106" customFormat="1" ht="12.75">
      <c r="AI135" s="56"/>
    </row>
    <row r="136" s="106" customFormat="1" ht="12.75">
      <c r="AI136" s="56"/>
    </row>
    <row r="137" s="106" customFormat="1" ht="12.75">
      <c r="AI137" s="56"/>
    </row>
    <row r="138" s="106" customFormat="1" ht="12.75">
      <c r="AI138" s="56"/>
    </row>
    <row r="139" s="106" customFormat="1" ht="12.75">
      <c r="AI139" s="56"/>
    </row>
    <row r="140" s="106" customFormat="1" ht="12.75">
      <c r="AI140" s="56"/>
    </row>
    <row r="141" s="106" customFormat="1" ht="12.75">
      <c r="AI141" s="56"/>
    </row>
    <row r="142" s="106" customFormat="1" ht="12.75">
      <c r="AI142" s="56"/>
    </row>
    <row r="143" s="106" customFormat="1" ht="12.75">
      <c r="AI143" s="56"/>
    </row>
    <row r="144" s="106" customFormat="1" ht="12.75">
      <c r="AI144" s="56"/>
    </row>
    <row r="145" s="106" customFormat="1" ht="12.75">
      <c r="AI145" s="56"/>
    </row>
    <row r="146" s="106" customFormat="1" ht="12.75">
      <c r="AI146" s="56"/>
    </row>
    <row r="147" s="106" customFormat="1" ht="12.75">
      <c r="AI147" s="56"/>
    </row>
    <row r="148" s="106" customFormat="1" ht="12.75">
      <c r="AI148" s="56"/>
    </row>
    <row r="149" s="106" customFormat="1" ht="12.75">
      <c r="AI149" s="56"/>
    </row>
    <row r="150" s="106" customFormat="1" ht="12.75">
      <c r="AI150" s="56"/>
    </row>
    <row r="151" s="106" customFormat="1" ht="12.75">
      <c r="AI151" s="56"/>
    </row>
    <row r="152" s="106" customFormat="1" ht="12.75">
      <c r="AI152" s="56"/>
    </row>
    <row r="153" s="106" customFormat="1" ht="12.75">
      <c r="AI153" s="56"/>
    </row>
    <row r="154" s="106" customFormat="1" ht="12.75">
      <c r="AI154" s="56"/>
    </row>
    <row r="155" s="106" customFormat="1" ht="12.75">
      <c r="AI155" s="56"/>
    </row>
    <row r="156" s="106" customFormat="1" ht="12.75">
      <c r="AI156" s="56"/>
    </row>
    <row r="157" s="106" customFormat="1" ht="12.75">
      <c r="AI157" s="56"/>
    </row>
    <row r="158" s="106" customFormat="1" ht="12.75">
      <c r="AI158" s="56"/>
    </row>
    <row r="159" s="106" customFormat="1" ht="12.75">
      <c r="AI159" s="56"/>
    </row>
    <row r="160" s="106" customFormat="1" ht="12.75">
      <c r="AI160" s="56"/>
    </row>
    <row r="161" s="106" customFormat="1" ht="12.75">
      <c r="AI161" s="56"/>
    </row>
    <row r="162" s="106" customFormat="1" ht="12.75">
      <c r="AI162" s="56"/>
    </row>
    <row r="163" s="106" customFormat="1" ht="12.75">
      <c r="AI163" s="56"/>
    </row>
    <row r="164" s="106" customFormat="1" ht="12.75">
      <c r="AI164" s="56"/>
    </row>
    <row r="165" s="106" customFormat="1" ht="12.75">
      <c r="AI165" s="56"/>
    </row>
    <row r="166" s="106" customFormat="1" ht="12.75">
      <c r="AI166" s="56"/>
    </row>
    <row r="167" s="106" customFormat="1" ht="12.75">
      <c r="AI167" s="56"/>
    </row>
    <row r="168" s="106" customFormat="1" ht="12.75">
      <c r="AI168" s="56"/>
    </row>
    <row r="169" s="106" customFormat="1" ht="12.75">
      <c r="AI169" s="56"/>
    </row>
    <row r="170" s="106" customFormat="1" ht="12.75">
      <c r="AI170" s="56"/>
    </row>
    <row r="171" s="106" customFormat="1" ht="12.75">
      <c r="AI171" s="56"/>
    </row>
    <row r="172" s="106" customFormat="1" ht="12.75">
      <c r="AI172" s="56"/>
    </row>
    <row r="173" s="106" customFormat="1" ht="12.75">
      <c r="AI173" s="56"/>
    </row>
    <row r="174" s="106" customFormat="1" ht="12.75">
      <c r="AI174" s="56"/>
    </row>
    <row r="175" s="106" customFormat="1" ht="12.75">
      <c r="AI175" s="56"/>
    </row>
    <row r="176" s="106" customFormat="1" ht="12.75">
      <c r="AI176" s="56"/>
    </row>
    <row r="177" s="106" customFormat="1" ht="12.75">
      <c r="AI177" s="56"/>
    </row>
    <row r="178" s="106" customFormat="1" ht="12.75">
      <c r="AI178" s="56"/>
    </row>
    <row r="179" s="106" customFormat="1" ht="12.75">
      <c r="AI179" s="56"/>
    </row>
    <row r="180" s="106" customFormat="1" ht="12.75">
      <c r="AI180" s="56"/>
    </row>
    <row r="181" s="106" customFormat="1" ht="12.75">
      <c r="AI181" s="56"/>
    </row>
    <row r="182" s="106" customFormat="1" ht="12.75">
      <c r="AI182" s="56"/>
    </row>
    <row r="183" s="106" customFormat="1" ht="12.75">
      <c r="AI183" s="56"/>
    </row>
    <row r="184" s="106" customFormat="1" ht="12.75">
      <c r="AI184" s="56"/>
    </row>
    <row r="185" s="106" customFormat="1" ht="12.75">
      <c r="AI185" s="56"/>
    </row>
    <row r="186" s="106" customFormat="1" ht="12.75">
      <c r="AI186" s="56"/>
    </row>
    <row r="187" s="106" customFormat="1" ht="12.75">
      <c r="AI187" s="56"/>
    </row>
    <row r="188" s="106" customFormat="1" ht="12.75">
      <c r="AI188" s="56"/>
    </row>
    <row r="189" s="106" customFormat="1" ht="12.75">
      <c r="AI189" s="56"/>
    </row>
    <row r="190" s="106" customFormat="1" ht="12.75">
      <c r="AI190" s="56"/>
    </row>
    <row r="191" s="106" customFormat="1" ht="12.75">
      <c r="AI191" s="56"/>
    </row>
    <row r="192" s="106" customFormat="1" ht="12.75">
      <c r="AI192" s="56"/>
    </row>
    <row r="193" s="106" customFormat="1" ht="12.75">
      <c r="AI193" s="56"/>
    </row>
    <row r="194" s="106" customFormat="1" ht="12.75">
      <c r="AI194" s="56"/>
    </row>
    <row r="195" s="106" customFormat="1" ht="12.75">
      <c r="AI195" s="56"/>
    </row>
    <row r="196" s="106" customFormat="1" ht="12.75">
      <c r="AI196" s="56"/>
    </row>
    <row r="197" s="106" customFormat="1" ht="12.75">
      <c r="AI197" s="56"/>
    </row>
    <row r="198" s="106" customFormat="1" ht="12.75">
      <c r="AI198" s="56"/>
    </row>
    <row r="199" s="106" customFormat="1" ht="12.75">
      <c r="AI199" s="56"/>
    </row>
    <row r="200" s="106" customFormat="1" ht="12.75">
      <c r="AI200" s="56"/>
    </row>
    <row r="201" s="106" customFormat="1" ht="12.75">
      <c r="AI201" s="56"/>
    </row>
    <row r="202" s="106" customFormat="1" ht="12.75">
      <c r="AI202" s="56"/>
    </row>
    <row r="203" s="106" customFormat="1" ht="12.75">
      <c r="AI203" s="56"/>
    </row>
    <row r="204" s="106" customFormat="1" ht="12.75">
      <c r="AI204" s="56"/>
    </row>
    <row r="205" s="106" customFormat="1" ht="12.75">
      <c r="AI205" s="56"/>
    </row>
    <row r="206" s="106" customFormat="1" ht="12.75">
      <c r="AI206" s="56"/>
    </row>
    <row r="207" s="106" customFormat="1" ht="12.75">
      <c r="AI207" s="56"/>
    </row>
    <row r="208" s="106" customFormat="1" ht="12.75">
      <c r="AI208" s="56"/>
    </row>
    <row r="209" s="106" customFormat="1" ht="12.75">
      <c r="AI209" s="56"/>
    </row>
    <row r="210" s="106" customFormat="1" ht="12.75">
      <c r="AI210" s="56"/>
    </row>
    <row r="211" s="106" customFormat="1" ht="12.75">
      <c r="AI211" s="56"/>
    </row>
    <row r="212" s="106" customFormat="1" ht="12.75">
      <c r="AI212" s="56"/>
    </row>
    <row r="213" s="106" customFormat="1" ht="12.75">
      <c r="AI213" s="56"/>
    </row>
    <row r="214" s="106" customFormat="1" ht="12.75">
      <c r="AI214" s="56"/>
    </row>
    <row r="215" s="106" customFormat="1" ht="12.75">
      <c r="AI215" s="56"/>
    </row>
    <row r="216" s="106" customFormat="1" ht="12.75">
      <c r="AI216" s="56"/>
    </row>
    <row r="217" s="106" customFormat="1" ht="12.75">
      <c r="AI217" s="56"/>
    </row>
    <row r="218" s="106" customFormat="1" ht="12.75">
      <c r="AI218" s="56"/>
    </row>
    <row r="219" s="106" customFormat="1" ht="12.75">
      <c r="AI219" s="56"/>
    </row>
    <row r="220" s="106" customFormat="1" ht="12.75">
      <c r="AI220" s="56"/>
    </row>
    <row r="221" s="106" customFormat="1" ht="12.75">
      <c r="AI221" s="56"/>
    </row>
    <row r="222" s="106" customFormat="1" ht="12.75">
      <c r="AI222" s="56"/>
    </row>
    <row r="223" s="106" customFormat="1" ht="12.75">
      <c r="AI223" s="56"/>
    </row>
    <row r="224" s="106" customFormat="1" ht="12.75">
      <c r="AI224" s="56"/>
    </row>
    <row r="225" s="106" customFormat="1" ht="12.75">
      <c r="AI225" s="56"/>
    </row>
    <row r="226" s="106" customFormat="1" ht="12.75">
      <c r="AI226" s="56"/>
    </row>
    <row r="227" s="106" customFormat="1" ht="12.75">
      <c r="AI227" s="56"/>
    </row>
    <row r="228" s="106" customFormat="1" ht="12.75">
      <c r="AI228" s="56"/>
    </row>
    <row r="229" s="106" customFormat="1" ht="12.75">
      <c r="AI229" s="56"/>
    </row>
    <row r="230" s="106" customFormat="1" ht="12.75">
      <c r="AI230" s="56"/>
    </row>
    <row r="231" s="106" customFormat="1" ht="12.75">
      <c r="AI231" s="56"/>
    </row>
    <row r="232" s="106" customFormat="1" ht="12.75">
      <c r="AI232" s="56"/>
    </row>
    <row r="233" s="106" customFormat="1" ht="12.75">
      <c r="AI233" s="56"/>
    </row>
    <row r="234" s="106" customFormat="1" ht="12.75">
      <c r="AI234" s="56"/>
    </row>
    <row r="235" s="106" customFormat="1" ht="12.75">
      <c r="AI235" s="56"/>
    </row>
    <row r="236" s="106" customFormat="1" ht="12.75">
      <c r="AI236" s="56"/>
    </row>
    <row r="237" s="106" customFormat="1" ht="12.75">
      <c r="AI237" s="56"/>
    </row>
    <row r="238" s="106" customFormat="1" ht="12.75">
      <c r="AI238" s="56"/>
    </row>
    <row r="239" s="106" customFormat="1" ht="12.75">
      <c r="AI239" s="56"/>
    </row>
    <row r="240" s="106" customFormat="1" ht="12.75">
      <c r="AI240" s="56"/>
    </row>
    <row r="241" s="106" customFormat="1" ht="12.75">
      <c r="AI241" s="56"/>
    </row>
    <row r="242" s="106" customFormat="1" ht="12.75">
      <c r="AI242" s="56"/>
    </row>
    <row r="243" s="106" customFormat="1" ht="12.75">
      <c r="AI243" s="56"/>
    </row>
    <row r="244" s="106" customFormat="1" ht="12.75">
      <c r="AI244" s="56"/>
    </row>
    <row r="245" s="106" customFormat="1" ht="12.75">
      <c r="AI245" s="56"/>
    </row>
    <row r="246" s="106" customFormat="1" ht="12.75">
      <c r="AI246" s="56"/>
    </row>
    <row r="247" s="106" customFormat="1" ht="12.75">
      <c r="AI247" s="56"/>
    </row>
    <row r="248" s="106" customFormat="1" ht="12.75">
      <c r="AI248" s="56"/>
    </row>
    <row r="249" s="106" customFormat="1" ht="12.75">
      <c r="AI249" s="56"/>
    </row>
    <row r="250" s="106" customFormat="1" ht="12.75">
      <c r="AI250" s="56"/>
    </row>
    <row r="251" s="106" customFormat="1" ht="12.75">
      <c r="AI251" s="56"/>
    </row>
    <row r="252" s="106" customFormat="1" ht="12.75">
      <c r="AI252" s="56"/>
    </row>
    <row r="253" s="106" customFormat="1" ht="12.75">
      <c r="AI253" s="56"/>
    </row>
    <row r="254" s="106" customFormat="1" ht="12.75">
      <c r="AI254" s="56"/>
    </row>
    <row r="255" s="106" customFormat="1" ht="12.75">
      <c r="AI255" s="56"/>
    </row>
    <row r="256" s="106" customFormat="1" ht="12.75">
      <c r="AI256" s="56"/>
    </row>
    <row r="257" s="106" customFormat="1" ht="12.75">
      <c r="AI257" s="56"/>
    </row>
    <row r="258" s="106" customFormat="1" ht="12.75">
      <c r="AI258" s="56"/>
    </row>
    <row r="259" s="106" customFormat="1" ht="12.75">
      <c r="AI259" s="56"/>
    </row>
    <row r="260" s="106" customFormat="1" ht="12.75">
      <c r="AI260" s="56"/>
    </row>
    <row r="261" s="106" customFormat="1" ht="12.75">
      <c r="AI261" s="56"/>
    </row>
    <row r="262" s="106" customFormat="1" ht="12.75">
      <c r="AI262" s="56"/>
    </row>
    <row r="263" s="106" customFormat="1" ht="12.75">
      <c r="AI263" s="56"/>
    </row>
    <row r="264" s="106" customFormat="1" ht="12.75">
      <c r="AI264" s="56"/>
    </row>
    <row r="265" s="106" customFormat="1" ht="12.75">
      <c r="AI265" s="56"/>
    </row>
    <row r="266" s="106" customFormat="1" ht="12.75">
      <c r="AI266" s="56"/>
    </row>
    <row r="267" s="106" customFormat="1" ht="12.75">
      <c r="AI267" s="56"/>
    </row>
    <row r="268" s="106" customFormat="1" ht="12.75">
      <c r="AI268" s="56"/>
    </row>
    <row r="269" s="106" customFormat="1" ht="12.75">
      <c r="AI269" s="56"/>
    </row>
    <row r="270" s="106" customFormat="1" ht="12.75">
      <c r="AI270" s="56"/>
    </row>
    <row r="271" s="106" customFormat="1" ht="12.75">
      <c r="AI271" s="56"/>
    </row>
    <row r="272" s="106" customFormat="1" ht="12.75">
      <c r="AI272" s="56"/>
    </row>
    <row r="273" s="106" customFormat="1" ht="12.75">
      <c r="AI273" s="56"/>
    </row>
    <row r="274" s="106" customFormat="1" ht="12.75">
      <c r="AI274" s="56"/>
    </row>
    <row r="275" s="106" customFormat="1" ht="12.75">
      <c r="AI275" s="56"/>
    </row>
    <row r="276" s="106" customFormat="1" ht="12.75">
      <c r="AI276" s="56"/>
    </row>
    <row r="277" s="106" customFormat="1" ht="12.75">
      <c r="AI277" s="56"/>
    </row>
    <row r="278" s="106" customFormat="1" ht="12.75">
      <c r="AI278" s="56"/>
    </row>
    <row r="279" s="106" customFormat="1" ht="12.75">
      <c r="AI279" s="56"/>
    </row>
    <row r="280" s="106" customFormat="1" ht="12.75">
      <c r="AI280" s="56"/>
    </row>
    <row r="281" s="106" customFormat="1" ht="12.75">
      <c r="AI281" s="56"/>
    </row>
    <row r="282" s="106" customFormat="1" ht="12.75">
      <c r="AI282" s="56"/>
    </row>
    <row r="283" s="106" customFormat="1" ht="12.75">
      <c r="AI283" s="56"/>
    </row>
    <row r="284" s="106" customFormat="1" ht="12.75">
      <c r="AI284" s="56"/>
    </row>
    <row r="285" s="106" customFormat="1" ht="12.75">
      <c r="AI285" s="56"/>
    </row>
    <row r="286" s="106" customFormat="1" ht="12.75">
      <c r="AI286" s="56"/>
    </row>
    <row r="287" s="106" customFormat="1" ht="12.75">
      <c r="AI287" s="56"/>
    </row>
    <row r="288" s="106" customFormat="1" ht="12.75">
      <c r="AI288" s="56"/>
    </row>
    <row r="289" s="106" customFormat="1" ht="12.75">
      <c r="AI289" s="56"/>
    </row>
    <row r="290" s="106" customFormat="1" ht="12.75">
      <c r="AI290" s="56"/>
    </row>
    <row r="291" s="106" customFormat="1" ht="12.75">
      <c r="AI291" s="56"/>
    </row>
    <row r="292" s="106" customFormat="1" ht="12.75">
      <c r="AI292" s="56"/>
    </row>
    <row r="293" s="106" customFormat="1" ht="12.75">
      <c r="AI293" s="56"/>
    </row>
    <row r="294" s="106" customFormat="1" ht="12.75">
      <c r="AI294" s="56"/>
    </row>
    <row r="295" s="106" customFormat="1" ht="12.75">
      <c r="AI295" s="56"/>
    </row>
    <row r="296" s="106" customFormat="1" ht="12.75">
      <c r="AI296" s="56"/>
    </row>
    <row r="297" s="106" customFormat="1" ht="12.75">
      <c r="AI297" s="56"/>
    </row>
    <row r="298" s="106" customFormat="1" ht="12.75">
      <c r="AI298" s="56"/>
    </row>
    <row r="299" s="106" customFormat="1" ht="12.75">
      <c r="AI299" s="56"/>
    </row>
    <row r="300" s="106" customFormat="1" ht="12.75">
      <c r="AI300" s="56"/>
    </row>
    <row r="301" s="106" customFormat="1" ht="12.75">
      <c r="AI301" s="56"/>
    </row>
    <row r="302" s="106" customFormat="1" ht="12.75">
      <c r="AI302" s="56"/>
    </row>
    <row r="303" s="106" customFormat="1" ht="12.75">
      <c r="AI303" s="56"/>
    </row>
    <row r="304" s="106" customFormat="1" ht="12.75">
      <c r="AI304" s="56"/>
    </row>
    <row r="305" s="106" customFormat="1" ht="12.75">
      <c r="AI305" s="56"/>
    </row>
    <row r="306" s="106" customFormat="1" ht="12.75">
      <c r="AI306" s="56"/>
    </row>
    <row r="307" s="106" customFormat="1" ht="12.75">
      <c r="AI307" s="56"/>
    </row>
    <row r="308" s="106" customFormat="1" ht="12.75">
      <c r="AI308" s="56"/>
    </row>
    <row r="309" s="106" customFormat="1" ht="12.75">
      <c r="AI309" s="56"/>
    </row>
    <row r="310" s="106" customFormat="1" ht="12.75">
      <c r="AI310" s="56"/>
    </row>
    <row r="311" s="106" customFormat="1" ht="12.75">
      <c r="AI311" s="56"/>
    </row>
    <row r="312" s="106" customFormat="1" ht="12.75">
      <c r="AI312" s="56"/>
    </row>
    <row r="313" s="106" customFormat="1" ht="12.75">
      <c r="AI313" s="56"/>
    </row>
    <row r="314" s="106" customFormat="1" ht="12.75">
      <c r="AI314" s="56"/>
    </row>
    <row r="315" s="106" customFormat="1" ht="12.75">
      <c r="AI315" s="56"/>
    </row>
    <row r="316" s="106" customFormat="1" ht="12.75">
      <c r="AI316" s="56"/>
    </row>
    <row r="317" s="106" customFormat="1" ht="12.75">
      <c r="AI317" s="56"/>
    </row>
    <row r="318" s="106" customFormat="1" ht="12.75">
      <c r="AI318" s="56"/>
    </row>
    <row r="319" s="106" customFormat="1" ht="12.75">
      <c r="AI319" s="56"/>
    </row>
    <row r="320" s="106" customFormat="1" ht="12.75">
      <c r="AI320" s="56"/>
    </row>
    <row r="321" s="106" customFormat="1" ht="12.75">
      <c r="AI321" s="56"/>
    </row>
    <row r="322" s="106" customFormat="1" ht="12.75">
      <c r="AI322" s="56"/>
    </row>
    <row r="323" s="106" customFormat="1" ht="12.75">
      <c r="AI323" s="56"/>
    </row>
    <row r="324" s="106" customFormat="1" ht="12.75">
      <c r="AI324" s="56"/>
    </row>
    <row r="325" s="106" customFormat="1" ht="12.75">
      <c r="AI325" s="56"/>
    </row>
    <row r="326" s="106" customFormat="1" ht="12.75">
      <c r="AI326" s="56"/>
    </row>
    <row r="327" s="106" customFormat="1" ht="12.75">
      <c r="AI327" s="56"/>
    </row>
    <row r="328" s="106" customFormat="1" ht="12.75">
      <c r="AI328" s="56"/>
    </row>
    <row r="329" s="106" customFormat="1" ht="12.75">
      <c r="AI329" s="56"/>
    </row>
    <row r="330" s="106" customFormat="1" ht="12.75">
      <c r="AI330" s="56"/>
    </row>
    <row r="331" s="106" customFormat="1" ht="12.75">
      <c r="AI331" s="56"/>
    </row>
    <row r="332" s="106" customFormat="1" ht="12.75">
      <c r="AI332" s="56"/>
    </row>
    <row r="333" s="106" customFormat="1" ht="12.75">
      <c r="AI333" s="56"/>
    </row>
    <row r="334" s="106" customFormat="1" ht="12.75">
      <c r="AI334" s="56"/>
    </row>
    <row r="335" s="106" customFormat="1" ht="12.75">
      <c r="AI335" s="56"/>
    </row>
    <row r="336" s="106" customFormat="1" ht="12.75">
      <c r="AI336" s="56"/>
    </row>
    <row r="337" s="106" customFormat="1" ht="12.75">
      <c r="AI337" s="56"/>
    </row>
    <row r="338" s="106" customFormat="1" ht="12.75">
      <c r="AI338" s="56"/>
    </row>
    <row r="339" s="106" customFormat="1" ht="12.75">
      <c r="AI339" s="56"/>
    </row>
    <row r="340" s="106" customFormat="1" ht="12.75">
      <c r="AI340" s="56"/>
    </row>
    <row r="341" s="106" customFormat="1" ht="12.75">
      <c r="AI341" s="56"/>
    </row>
    <row r="342" s="106" customFormat="1" ht="12.75">
      <c r="AI342" s="56"/>
    </row>
    <row r="343" s="106" customFormat="1" ht="12.75">
      <c r="AI343" s="56"/>
    </row>
    <row r="344" s="106" customFormat="1" ht="12.75">
      <c r="AI344" s="56"/>
    </row>
    <row r="345" s="106" customFormat="1" ht="12.75">
      <c r="AI345" s="56"/>
    </row>
    <row r="346" s="106" customFormat="1" ht="12.75">
      <c r="AI346" s="56"/>
    </row>
    <row r="347" s="106" customFormat="1" ht="12.75">
      <c r="AI347" s="56"/>
    </row>
    <row r="348" s="106" customFormat="1" ht="12.75">
      <c r="AI348" s="56"/>
    </row>
    <row r="349" s="106" customFormat="1" ht="12.75">
      <c r="AI349" s="56"/>
    </row>
    <row r="350" s="106" customFormat="1" ht="12.75">
      <c r="AI350" s="56"/>
    </row>
    <row r="351" s="106" customFormat="1" ht="12.75">
      <c r="AI351" s="56"/>
    </row>
    <row r="352" s="106" customFormat="1" ht="12.75">
      <c r="AI352" s="56"/>
    </row>
    <row r="353" s="106" customFormat="1" ht="12.75">
      <c r="AI353" s="56"/>
    </row>
    <row r="354" s="106" customFormat="1" ht="12.75">
      <c r="AI354" s="56"/>
    </row>
    <row r="355" s="106" customFormat="1" ht="12.75">
      <c r="AI355" s="56"/>
    </row>
    <row r="356" s="106" customFormat="1" ht="12.75">
      <c r="AI356" s="56"/>
    </row>
    <row r="357" s="106" customFormat="1" ht="12.75">
      <c r="AI357" s="56"/>
    </row>
    <row r="358" s="106" customFormat="1" ht="12.75">
      <c r="AI358" s="56"/>
    </row>
    <row r="359" s="106" customFormat="1" ht="12.75">
      <c r="AI359" s="56"/>
    </row>
    <row r="360" s="106" customFormat="1" ht="12.75">
      <c r="AI360" s="56"/>
    </row>
    <row r="361" s="106" customFormat="1" ht="12.75">
      <c r="AI361" s="56"/>
    </row>
    <row r="362" s="106" customFormat="1" ht="12.75">
      <c r="AI362" s="56"/>
    </row>
    <row r="363" s="106" customFormat="1" ht="12.75">
      <c r="AI363" s="56"/>
    </row>
    <row r="364" s="106" customFormat="1" ht="12.75">
      <c r="AI364" s="56"/>
    </row>
    <row r="365" s="106" customFormat="1" ht="12.75">
      <c r="AI365" s="56"/>
    </row>
    <row r="366" s="106" customFormat="1" ht="12.75">
      <c r="AI366" s="56"/>
    </row>
    <row r="367" s="106" customFormat="1" ht="12.75">
      <c r="AI367" s="56"/>
    </row>
    <row r="368" s="106" customFormat="1" ht="12.75">
      <c r="AI368" s="56"/>
    </row>
    <row r="369" s="106" customFormat="1" ht="12.75">
      <c r="AI369" s="56"/>
    </row>
    <row r="370" s="106" customFormat="1" ht="12.75">
      <c r="AI370" s="56"/>
    </row>
    <row r="371" s="106" customFormat="1" ht="12.75">
      <c r="AI371" s="56"/>
    </row>
    <row r="372" s="106" customFormat="1" ht="12.75">
      <c r="AI372" s="56"/>
    </row>
    <row r="373" s="106" customFormat="1" ht="12.75">
      <c r="AI373" s="56"/>
    </row>
    <row r="374" s="106" customFormat="1" ht="12.75">
      <c r="AI374" s="56"/>
    </row>
    <row r="375" s="106" customFormat="1" ht="12.75">
      <c r="AI375" s="56"/>
    </row>
    <row r="376" s="106" customFormat="1" ht="12.75">
      <c r="AI376" s="56"/>
    </row>
    <row r="377" s="106" customFormat="1" ht="12.75">
      <c r="AI377" s="56"/>
    </row>
    <row r="378" s="106" customFormat="1" ht="12.75">
      <c r="AI378" s="56"/>
    </row>
    <row r="379" s="106" customFormat="1" ht="12.75">
      <c r="AI379" s="56"/>
    </row>
    <row r="380" s="106" customFormat="1" ht="12.75">
      <c r="AI380" s="56"/>
    </row>
    <row r="381" s="106" customFormat="1" ht="12.75">
      <c r="AI381" s="56"/>
    </row>
    <row r="382" s="106" customFormat="1" ht="12.75">
      <c r="AI382" s="56"/>
    </row>
    <row r="383" s="106" customFormat="1" ht="12.75">
      <c r="AI383" s="56"/>
    </row>
    <row r="384" s="106" customFormat="1" ht="12.75">
      <c r="AI384" s="56"/>
    </row>
    <row r="385" s="106" customFormat="1" ht="12.75">
      <c r="AI385" s="56"/>
    </row>
    <row r="386" s="106" customFormat="1" ht="12.75">
      <c r="AI386" s="56"/>
    </row>
    <row r="387" s="106" customFormat="1" ht="12.75">
      <c r="AI387" s="56"/>
    </row>
    <row r="388" s="106" customFormat="1" ht="12.75">
      <c r="AI388" s="56"/>
    </row>
    <row r="389" s="106" customFormat="1" ht="12.75">
      <c r="AI389" s="56"/>
    </row>
    <row r="390" s="106" customFormat="1" ht="12.75">
      <c r="AI390" s="56"/>
    </row>
    <row r="391" s="106" customFormat="1" ht="12.75">
      <c r="AI391" s="56"/>
    </row>
    <row r="392" s="106" customFormat="1" ht="12.75">
      <c r="AI392" s="56"/>
    </row>
    <row r="393" s="106" customFormat="1" ht="12.75">
      <c r="AI393" s="56"/>
    </row>
    <row r="394" s="106" customFormat="1" ht="12.75">
      <c r="AI394" s="56"/>
    </row>
    <row r="395" s="106" customFormat="1" ht="12.75">
      <c r="AI395" s="56"/>
    </row>
    <row r="396" s="106" customFormat="1" ht="12.75">
      <c r="AI396" s="56"/>
    </row>
    <row r="397" s="106" customFormat="1" ht="12.75">
      <c r="AI397" s="56"/>
    </row>
    <row r="398" s="106" customFormat="1" ht="12.75">
      <c r="AI398" s="56"/>
    </row>
    <row r="399" s="106" customFormat="1" ht="12.75">
      <c r="AI399" s="56"/>
    </row>
    <row r="400" s="106" customFormat="1" ht="12.75">
      <c r="AI400" s="56"/>
    </row>
    <row r="401" s="106" customFormat="1" ht="12.75">
      <c r="AI401" s="56"/>
    </row>
    <row r="402" s="106" customFormat="1" ht="12.75">
      <c r="AI402" s="56"/>
    </row>
    <row r="403" s="106" customFormat="1" ht="12.75">
      <c r="AI403" s="56"/>
    </row>
    <row r="404" s="106" customFormat="1" ht="12.75">
      <c r="AI404" s="56"/>
    </row>
    <row r="405" s="106" customFormat="1" ht="12.75">
      <c r="AI405" s="56"/>
    </row>
    <row r="406" s="106" customFormat="1" ht="12.75">
      <c r="AI406" s="56"/>
    </row>
    <row r="407" s="106" customFormat="1" ht="12.75">
      <c r="AI407" s="56"/>
    </row>
    <row r="408" s="106" customFormat="1" ht="12.75">
      <c r="AI408" s="56"/>
    </row>
    <row r="409" s="106" customFormat="1" ht="12.75">
      <c r="AI409" s="56"/>
    </row>
    <row r="410" s="106" customFormat="1" ht="12.75">
      <c r="AI410" s="56"/>
    </row>
    <row r="411" s="106" customFormat="1" ht="12.75">
      <c r="AI411" s="56"/>
    </row>
    <row r="412" s="106" customFormat="1" ht="12.75">
      <c r="AI412" s="56"/>
    </row>
    <row r="413" s="106" customFormat="1" ht="12.75">
      <c r="AI413" s="56"/>
    </row>
    <row r="414" s="106" customFormat="1" ht="12.75">
      <c r="AI414" s="56"/>
    </row>
    <row r="415" s="106" customFormat="1" ht="12.75">
      <c r="AI415" s="56"/>
    </row>
    <row r="416" s="106" customFormat="1" ht="12.75">
      <c r="AI416" s="56"/>
    </row>
    <row r="417" s="106" customFormat="1" ht="12.75">
      <c r="AI417" s="56"/>
    </row>
    <row r="418" s="106" customFormat="1" ht="12.75">
      <c r="AI418" s="56"/>
    </row>
    <row r="419" s="106" customFormat="1" ht="12.75">
      <c r="AI419" s="56"/>
    </row>
    <row r="420" s="106" customFormat="1" ht="12.75">
      <c r="AI420" s="56"/>
    </row>
    <row r="421" s="106" customFormat="1" ht="12.75">
      <c r="AI421" s="56"/>
    </row>
    <row r="422" s="106" customFormat="1" ht="12.75">
      <c r="AI422" s="56"/>
    </row>
    <row r="423" s="106" customFormat="1" ht="12.75">
      <c r="AI423" s="56"/>
    </row>
    <row r="424" s="106" customFormat="1" ht="12.75">
      <c r="AI424" s="56"/>
    </row>
    <row r="425" s="106" customFormat="1" ht="12.75">
      <c r="AI425" s="56"/>
    </row>
    <row r="426" s="106" customFormat="1" ht="12.75">
      <c r="AI426" s="56"/>
    </row>
    <row r="427" s="106" customFormat="1" ht="12.75">
      <c r="AI427" s="56"/>
    </row>
    <row r="428" s="106" customFormat="1" ht="12.75">
      <c r="AI428" s="56"/>
    </row>
    <row r="429" s="106" customFormat="1" ht="12.75">
      <c r="AI429" s="56"/>
    </row>
    <row r="430" s="106" customFormat="1" ht="12.75">
      <c r="AI430" s="56"/>
    </row>
    <row r="431" s="106" customFormat="1" ht="12.75">
      <c r="AI431" s="56"/>
    </row>
    <row r="432" s="106" customFormat="1" ht="12.75">
      <c r="AI432" s="56"/>
    </row>
    <row r="433" s="106" customFormat="1" ht="12.75">
      <c r="AI433" s="56"/>
    </row>
    <row r="434" s="106" customFormat="1" ht="12.75">
      <c r="AI434" s="56"/>
    </row>
    <row r="435" s="106" customFormat="1" ht="12.75">
      <c r="AI435" s="56"/>
    </row>
    <row r="436" s="106" customFormat="1" ht="12.75">
      <c r="AI436" s="56"/>
    </row>
    <row r="437" s="106" customFormat="1" ht="12.75">
      <c r="AI437" s="56"/>
    </row>
    <row r="438" s="106" customFormat="1" ht="12.75">
      <c r="AI438" s="56"/>
    </row>
    <row r="439" s="106" customFormat="1" ht="12.75">
      <c r="AI439" s="56"/>
    </row>
    <row r="440" s="106" customFormat="1" ht="12.75">
      <c r="AI440" s="56"/>
    </row>
    <row r="441" s="106" customFormat="1" ht="12.75">
      <c r="AI441" s="56"/>
    </row>
    <row r="442" s="106" customFormat="1" ht="12.75">
      <c r="AI442" s="56"/>
    </row>
    <row r="443" s="106" customFormat="1" ht="12.75">
      <c r="AI443" s="56"/>
    </row>
    <row r="444" s="106" customFormat="1" ht="12.75">
      <c r="AI444" s="56"/>
    </row>
    <row r="445" s="106" customFormat="1" ht="12.75">
      <c r="AI445" s="56"/>
    </row>
    <row r="446" s="106" customFormat="1" ht="12.75">
      <c r="AI446" s="56"/>
    </row>
    <row r="447" s="106" customFormat="1" ht="12.75">
      <c r="AI447" s="56"/>
    </row>
    <row r="448" s="106" customFormat="1" ht="12.75">
      <c r="AI448" s="56"/>
    </row>
    <row r="449" s="106" customFormat="1" ht="12.75">
      <c r="AI449" s="56"/>
    </row>
    <row r="450" s="106" customFormat="1" ht="12.75">
      <c r="AI450" s="56"/>
    </row>
    <row r="451" s="106" customFormat="1" ht="12.75">
      <c r="AI451" s="56"/>
    </row>
    <row r="452" s="106" customFormat="1" ht="12.75">
      <c r="AI452" s="56"/>
    </row>
    <row r="453" s="106" customFormat="1" ht="12.75">
      <c r="AI453" s="56"/>
    </row>
    <row r="454" s="106" customFormat="1" ht="12.75">
      <c r="AI454" s="56"/>
    </row>
    <row r="455" s="106" customFormat="1" ht="12.75">
      <c r="AI455" s="56"/>
    </row>
    <row r="456" s="106" customFormat="1" ht="12.75">
      <c r="AI456" s="56"/>
    </row>
    <row r="457" s="106" customFormat="1" ht="12.75">
      <c r="AI457" s="56"/>
    </row>
    <row r="458" s="106" customFormat="1" ht="12.75">
      <c r="AI458" s="56"/>
    </row>
    <row r="459" s="106" customFormat="1" ht="12.75">
      <c r="AI459" s="56"/>
    </row>
    <row r="460" s="106" customFormat="1" ht="12.75">
      <c r="AI460" s="56"/>
    </row>
    <row r="461" s="106" customFormat="1" ht="12.75">
      <c r="AI461" s="56"/>
    </row>
    <row r="462" s="106" customFormat="1" ht="12.75">
      <c r="AI462" s="56"/>
    </row>
    <row r="463" s="106" customFormat="1" ht="12.75">
      <c r="AI463" s="56"/>
    </row>
    <row r="464" s="106" customFormat="1" ht="12.75">
      <c r="AI464" s="56"/>
    </row>
    <row r="465" s="106" customFormat="1" ht="12.75">
      <c r="AI465" s="56"/>
    </row>
    <row r="466" s="106" customFormat="1" ht="12.75">
      <c r="AI466" s="56"/>
    </row>
    <row r="467" s="106" customFormat="1" ht="12.75">
      <c r="AI467" s="56"/>
    </row>
    <row r="468" s="106" customFormat="1" ht="12.75">
      <c r="AI468" s="56"/>
    </row>
    <row r="469" s="106" customFormat="1" ht="12.75">
      <c r="AI469" s="56"/>
    </row>
    <row r="470" s="106" customFormat="1" ht="12.75">
      <c r="AI470" s="56"/>
    </row>
    <row r="471" s="106" customFormat="1" ht="12.75">
      <c r="AI471" s="56"/>
    </row>
    <row r="472" s="106" customFormat="1" ht="12.75">
      <c r="AI472" s="56"/>
    </row>
    <row r="473" s="106" customFormat="1" ht="12.75">
      <c r="AI473" s="56"/>
    </row>
    <row r="474" s="106" customFormat="1" ht="12.75">
      <c r="AI474" s="56"/>
    </row>
    <row r="475" s="106" customFormat="1" ht="12.75">
      <c r="AI475" s="56"/>
    </row>
    <row r="476" s="106" customFormat="1" ht="12.75">
      <c r="AI476" s="56"/>
    </row>
    <row r="477" s="106" customFormat="1" ht="12.75">
      <c r="AI477" s="56"/>
    </row>
    <row r="478" s="106" customFormat="1" ht="12.75">
      <c r="AI478" s="56"/>
    </row>
    <row r="479" s="106" customFormat="1" ht="12.75">
      <c r="AI479" s="56"/>
    </row>
    <row r="480" s="106" customFormat="1" ht="12.75">
      <c r="AI480" s="56"/>
    </row>
    <row r="481" s="106" customFormat="1" ht="12.75">
      <c r="AI481" s="56"/>
    </row>
    <row r="482" s="106" customFormat="1" ht="12.75">
      <c r="AI482" s="56"/>
    </row>
    <row r="483" s="106" customFormat="1" ht="12.75">
      <c r="AI483" s="56"/>
    </row>
    <row r="484" s="106" customFormat="1" ht="12.75">
      <c r="AI484" s="56"/>
    </row>
    <row r="485" s="106" customFormat="1" ht="12.75">
      <c r="AI485" s="56"/>
    </row>
    <row r="486" s="106" customFormat="1" ht="12.75">
      <c r="AI486" s="56"/>
    </row>
    <row r="487" s="106" customFormat="1" ht="12.75">
      <c r="AI487" s="56"/>
    </row>
    <row r="488" s="106" customFormat="1" ht="12.75">
      <c r="AI488" s="56"/>
    </row>
    <row r="489" s="106" customFormat="1" ht="12.75">
      <c r="AI489" s="56"/>
    </row>
    <row r="490" s="106" customFormat="1" ht="12.75">
      <c r="AI490" s="56"/>
    </row>
    <row r="491" s="106" customFormat="1" ht="12.75">
      <c r="AI491" s="56"/>
    </row>
    <row r="492" s="106" customFormat="1" ht="12.75">
      <c r="AI492" s="56"/>
    </row>
    <row r="493" s="106" customFormat="1" ht="12.75">
      <c r="AI493" s="56"/>
    </row>
    <row r="494" s="106" customFormat="1" ht="12.75">
      <c r="AI494" s="56"/>
    </row>
    <row r="495" s="106" customFormat="1" ht="12.75">
      <c r="AI495" s="56"/>
    </row>
    <row r="496" s="106" customFormat="1" ht="12.75">
      <c r="AI496" s="56"/>
    </row>
    <row r="497" s="106" customFormat="1" ht="12.75">
      <c r="AI497" s="56"/>
    </row>
    <row r="498" s="106" customFormat="1" ht="12.75">
      <c r="AI498" s="56"/>
    </row>
    <row r="499" s="106" customFormat="1" ht="12.75">
      <c r="AI499" s="56"/>
    </row>
    <row r="500" s="106" customFormat="1" ht="12.75">
      <c r="AI500" s="56"/>
    </row>
    <row r="501" s="106" customFormat="1" ht="12.75">
      <c r="AI501" s="56"/>
    </row>
    <row r="502" s="106" customFormat="1" ht="12.75">
      <c r="AI502" s="56"/>
    </row>
    <row r="503" s="106" customFormat="1" ht="12.75">
      <c r="AI503" s="56"/>
    </row>
    <row r="504" s="106" customFormat="1" ht="12.75">
      <c r="AI504" s="56"/>
    </row>
    <row r="505" s="106" customFormat="1" ht="12.75">
      <c r="AI505" s="56"/>
    </row>
    <row r="506" s="106" customFormat="1" ht="12.75">
      <c r="AI506" s="56"/>
    </row>
    <row r="507" s="106" customFormat="1" ht="12.75">
      <c r="AI507" s="56"/>
    </row>
    <row r="508" s="106" customFormat="1" ht="12.75">
      <c r="AI508" s="56"/>
    </row>
    <row r="509" s="106" customFormat="1" ht="12.75">
      <c r="AI509" s="56"/>
    </row>
    <row r="510" s="106" customFormat="1" ht="12.75">
      <c r="AI510" s="56"/>
    </row>
    <row r="511" s="106" customFormat="1" ht="12.75">
      <c r="AI511" s="56"/>
    </row>
    <row r="512" s="106" customFormat="1" ht="12.75">
      <c r="AI512" s="56"/>
    </row>
    <row r="513" s="106" customFormat="1" ht="12.75">
      <c r="AI513" s="56"/>
    </row>
    <row r="514" s="106" customFormat="1" ht="12.75">
      <c r="AI514" s="56"/>
    </row>
    <row r="515" s="106" customFormat="1" ht="12.75">
      <c r="AI515" s="56"/>
    </row>
    <row r="516" s="106" customFormat="1" ht="12.75">
      <c r="AI516" s="56"/>
    </row>
    <row r="517" s="106" customFormat="1" ht="12.75">
      <c r="AI517" s="56"/>
    </row>
    <row r="518" s="106" customFormat="1" ht="12.75">
      <c r="AI518" s="56"/>
    </row>
    <row r="519" s="106" customFormat="1" ht="12.75">
      <c r="AI519" s="56"/>
    </row>
    <row r="520" s="106" customFormat="1" ht="12.75">
      <c r="AI520" s="56"/>
    </row>
    <row r="521" s="106" customFormat="1" ht="12.75">
      <c r="AI521" s="56"/>
    </row>
    <row r="522" s="106" customFormat="1" ht="12.75">
      <c r="AI522" s="56"/>
    </row>
    <row r="523" s="106" customFormat="1" ht="12.75">
      <c r="AI523" s="56"/>
    </row>
    <row r="524" s="106" customFormat="1" ht="12.75">
      <c r="AI524" s="56"/>
    </row>
    <row r="525" s="106" customFormat="1" ht="12.75">
      <c r="AI525" s="56"/>
    </row>
    <row r="526" s="106" customFormat="1" ht="12.75">
      <c r="AI526" s="56"/>
    </row>
    <row r="527" s="106" customFormat="1" ht="12.75">
      <c r="AI527" s="56"/>
    </row>
    <row r="528" s="106" customFormat="1" ht="12.75">
      <c r="AI528" s="56"/>
    </row>
    <row r="529" s="106" customFormat="1" ht="12.75">
      <c r="AI529" s="56"/>
    </row>
    <row r="530" s="106" customFormat="1" ht="12.75">
      <c r="AI530" s="56"/>
    </row>
    <row r="531" s="106" customFormat="1" ht="12.75">
      <c r="AI531" s="56"/>
    </row>
    <row r="532" s="106" customFormat="1" ht="12.75">
      <c r="AI532" s="56"/>
    </row>
    <row r="533" s="106" customFormat="1" ht="12.75">
      <c r="AI533" s="56"/>
    </row>
    <row r="534" s="106" customFormat="1" ht="12.75">
      <c r="AI534" s="56"/>
    </row>
    <row r="535" s="106" customFormat="1" ht="12.75">
      <c r="AI535" s="56"/>
    </row>
    <row r="536" s="106" customFormat="1" ht="12.75">
      <c r="AI536" s="56"/>
    </row>
    <row r="537" s="106" customFormat="1" ht="12.75">
      <c r="AI537" s="56"/>
    </row>
    <row r="538" s="106" customFormat="1" ht="12.75">
      <c r="AI538" s="56"/>
    </row>
    <row r="539" s="106" customFormat="1" ht="12.75">
      <c r="AI539" s="56"/>
    </row>
    <row r="540" s="106" customFormat="1" ht="12.75">
      <c r="AI540" s="56"/>
    </row>
    <row r="541" s="106" customFormat="1" ht="12.75">
      <c r="AI541" s="56"/>
    </row>
    <row r="542" s="106" customFormat="1" ht="12.75">
      <c r="AI542" s="56"/>
    </row>
    <row r="543" s="106" customFormat="1" ht="12.75">
      <c r="AI543" s="56"/>
    </row>
    <row r="544" s="106" customFormat="1" ht="12.75">
      <c r="AI544" s="56"/>
    </row>
    <row r="545" s="106" customFormat="1" ht="12.75">
      <c r="AI545" s="56"/>
    </row>
    <row r="546" s="106" customFormat="1" ht="12.75">
      <c r="AI546" s="56"/>
    </row>
    <row r="547" s="106" customFormat="1" ht="12.75">
      <c r="AI547" s="56"/>
    </row>
    <row r="548" s="106" customFormat="1" ht="12.75">
      <c r="AI548" s="56"/>
    </row>
    <row r="549" s="106" customFormat="1" ht="12.75">
      <c r="AI549" s="56"/>
    </row>
    <row r="550" s="106" customFormat="1" ht="12.75">
      <c r="AI550" s="56"/>
    </row>
    <row r="551" s="106" customFormat="1" ht="12.75">
      <c r="AI551" s="56"/>
    </row>
    <row r="552" s="106" customFormat="1" ht="12.75">
      <c r="AI552" s="56"/>
    </row>
    <row r="553" s="106" customFormat="1" ht="12.75">
      <c r="AI553" s="56"/>
    </row>
    <row r="554" s="106" customFormat="1" ht="12.75">
      <c r="AI554" s="56"/>
    </row>
    <row r="555" s="106" customFormat="1" ht="12.75">
      <c r="AI555" s="56"/>
    </row>
    <row r="556" s="106" customFormat="1" ht="12.75">
      <c r="AI556" s="56"/>
    </row>
    <row r="557" s="106" customFormat="1" ht="12.75">
      <c r="AI557" s="56"/>
    </row>
    <row r="558" s="106" customFormat="1" ht="12.75">
      <c r="AI558" s="56"/>
    </row>
    <row r="559" s="106" customFormat="1" ht="12.75">
      <c r="AI559" s="56"/>
    </row>
    <row r="560" s="106" customFormat="1" ht="12.75">
      <c r="AI560" s="56"/>
    </row>
    <row r="561" s="106" customFormat="1" ht="12.75">
      <c r="AI561" s="56"/>
    </row>
    <row r="562" s="106" customFormat="1" ht="12.75">
      <c r="AI562" s="56"/>
    </row>
    <row r="563" s="106" customFormat="1" ht="12.75">
      <c r="AI563" s="56"/>
    </row>
    <row r="564" s="106" customFormat="1" ht="12.75">
      <c r="AI564" s="56"/>
    </row>
    <row r="565" s="106" customFormat="1" ht="12.75">
      <c r="AI565" s="56"/>
    </row>
    <row r="566" s="106" customFormat="1" ht="12.75">
      <c r="AI566" s="56"/>
    </row>
    <row r="567" s="106" customFormat="1" ht="12.75">
      <c r="AI567" s="56"/>
    </row>
    <row r="568" s="106" customFormat="1" ht="12.75">
      <c r="AI568" s="56"/>
    </row>
    <row r="569" s="106" customFormat="1" ht="12.75">
      <c r="AI569" s="56"/>
    </row>
    <row r="570" s="106" customFormat="1" ht="12.75">
      <c r="AI570" s="56"/>
    </row>
    <row r="571" s="106" customFormat="1" ht="12.75">
      <c r="AI571" s="56"/>
    </row>
    <row r="572" s="106" customFormat="1" ht="12.75">
      <c r="AI572" s="56"/>
    </row>
    <row r="573" s="106" customFormat="1" ht="12.75">
      <c r="AI573" s="56"/>
    </row>
    <row r="574" s="106" customFormat="1" ht="12.75">
      <c r="AI574" s="56"/>
    </row>
    <row r="575" s="106" customFormat="1" ht="12.75">
      <c r="AI575" s="56"/>
    </row>
    <row r="576" s="106" customFormat="1" ht="12.75">
      <c r="AI576" s="56"/>
    </row>
    <row r="577" s="106" customFormat="1" ht="12.75">
      <c r="AI577" s="56"/>
    </row>
    <row r="578" s="106" customFormat="1" ht="12.75">
      <c r="AI578" s="56"/>
    </row>
    <row r="579" s="106" customFormat="1" ht="12.75">
      <c r="AI579" s="56"/>
    </row>
    <row r="580" s="106" customFormat="1" ht="12.75">
      <c r="AI580" s="56"/>
    </row>
    <row r="581" s="106" customFormat="1" ht="12.75">
      <c r="AI581" s="56"/>
    </row>
    <row r="582" s="106" customFormat="1" ht="12.75">
      <c r="AI582" s="56"/>
    </row>
    <row r="583" s="106" customFormat="1" ht="12.75">
      <c r="AI583" s="56"/>
    </row>
    <row r="584" s="106" customFormat="1" ht="12.75">
      <c r="AI584" s="56"/>
    </row>
    <row r="585" s="106" customFormat="1" ht="12.75">
      <c r="AI585" s="56"/>
    </row>
    <row r="586" s="106" customFormat="1" ht="12.75">
      <c r="AI586" s="56"/>
    </row>
    <row r="587" s="106" customFormat="1" ht="12.75">
      <c r="AI587" s="56"/>
    </row>
    <row r="588" s="106" customFormat="1" ht="12.75">
      <c r="AI588" s="56"/>
    </row>
    <row r="589" s="106" customFormat="1" ht="12.75">
      <c r="AI589" s="56"/>
    </row>
    <row r="590" s="106" customFormat="1" ht="12.75">
      <c r="AI590" s="56"/>
    </row>
    <row r="591" s="106" customFormat="1" ht="12.75">
      <c r="AI591" s="56"/>
    </row>
    <row r="592" s="106" customFormat="1" ht="12.75">
      <c r="AI592" s="56"/>
    </row>
    <row r="593" s="106" customFormat="1" ht="12.75">
      <c r="AI593" s="56"/>
    </row>
    <row r="594" s="106" customFormat="1" ht="12.75">
      <c r="AI594" s="56"/>
    </row>
    <row r="595" s="106" customFormat="1" ht="12.75">
      <c r="AI595" s="56"/>
    </row>
    <row r="596" s="106" customFormat="1" ht="12.75">
      <c r="AI596" s="56"/>
    </row>
    <row r="597" s="106" customFormat="1" ht="12.75">
      <c r="AI597" s="56"/>
    </row>
    <row r="598" s="106" customFormat="1" ht="12.75">
      <c r="AI598" s="56"/>
    </row>
    <row r="599" s="106" customFormat="1" ht="12.75">
      <c r="AI599" s="56"/>
    </row>
    <row r="600" s="106" customFormat="1" ht="12.75">
      <c r="AI600" s="56"/>
    </row>
  </sheetData>
  <printOptions/>
  <pageMargins left="1" right="1" top="0.5" bottom="0.5" header="0" footer="0.25"/>
  <pageSetup firstPageNumber="16" useFirstPageNumber="1" horizontalDpi="600" verticalDpi="600" orientation="portrait" pageOrder="overThenDown" scale="80" r:id="rId1"/>
  <headerFooter alignWithMargins="0">
    <oddFooter>&amp;C&amp;"Times New Roman,Regular"&amp;11&amp;P</oddFooter>
  </headerFooter>
  <rowBreaks count="1" manualBreakCount="1">
    <brk id="85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IU10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" sqref="G4"/>
    </sheetView>
  </sheetViews>
  <sheetFormatPr defaultColWidth="9.140625" defaultRowHeight="12.75"/>
  <cols>
    <col min="1" max="1" width="15.7109375" style="106" customWidth="1"/>
    <col min="2" max="2" width="1.7109375" style="106" customWidth="1"/>
    <col min="3" max="3" width="11.7109375" style="106" customWidth="1"/>
    <col min="4" max="4" width="1.7109375" style="106" customWidth="1"/>
    <col min="5" max="5" width="11.7109375" style="106" customWidth="1"/>
    <col min="6" max="6" width="1.7109375" style="106" customWidth="1"/>
    <col min="7" max="7" width="11.7109375" style="106" customWidth="1"/>
    <col min="8" max="8" width="1.7109375" style="106" customWidth="1"/>
    <col min="9" max="9" width="11.7109375" style="106" customWidth="1"/>
    <col min="10" max="10" width="1.7109375" style="106" customWidth="1"/>
    <col min="11" max="11" width="11.7109375" style="106" customWidth="1"/>
    <col min="12" max="12" width="1.7109375" style="106" customWidth="1"/>
    <col min="13" max="13" width="12.7109375" style="106" customWidth="1"/>
    <col min="14" max="14" width="1.7109375" style="106" customWidth="1"/>
    <col min="15" max="15" width="12.7109375" style="106" customWidth="1"/>
    <col min="16" max="16" width="1.7109375" style="106" customWidth="1"/>
    <col min="17" max="17" width="12.7109375" style="106" customWidth="1"/>
    <col min="18" max="18" width="1.7109375" style="66" customWidth="1"/>
    <col min="19" max="19" width="10.140625" style="66" bestFit="1" customWidth="1"/>
    <col min="20" max="16384" width="9.140625" style="66" customWidth="1"/>
  </cols>
  <sheetData>
    <row r="1" spans="1:18" s="103" customFormat="1" ht="12.75">
      <c r="A1" s="125" t="s">
        <v>224</v>
      </c>
      <c r="B1" s="125"/>
      <c r="C1" s="125"/>
      <c r="D1" s="125"/>
      <c r="E1" s="125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1"/>
    </row>
    <row r="2" spans="1:18" s="103" customFormat="1" ht="12.75">
      <c r="A2" s="125" t="s">
        <v>227</v>
      </c>
      <c r="B2" s="125"/>
      <c r="C2" s="125"/>
      <c r="D2" s="125"/>
      <c r="E2" s="125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1"/>
    </row>
    <row r="3" spans="1:18" s="103" customFormat="1" ht="12.75">
      <c r="A3" s="3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1"/>
    </row>
    <row r="4" spans="1:18" ht="12.75">
      <c r="A4" s="20" t="s">
        <v>196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2"/>
    </row>
    <row r="5" spans="1:19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2"/>
      <c r="S5" s="109" t="s">
        <v>106</v>
      </c>
    </row>
    <row r="6" spans="1:19" ht="12.75">
      <c r="A6" s="17"/>
      <c r="B6" s="17"/>
      <c r="C6" s="17" t="s">
        <v>156</v>
      </c>
      <c r="D6" s="17"/>
      <c r="E6" s="17" t="s">
        <v>176</v>
      </c>
      <c r="F6" s="17"/>
      <c r="G6" s="17" t="s">
        <v>106</v>
      </c>
      <c r="H6" s="17"/>
      <c r="I6" s="17" t="s">
        <v>0</v>
      </c>
      <c r="J6" s="17"/>
      <c r="K6" s="17" t="s">
        <v>1</v>
      </c>
      <c r="L6" s="17"/>
      <c r="M6" s="17" t="s">
        <v>2</v>
      </c>
      <c r="N6" s="17"/>
      <c r="O6" s="17" t="s">
        <v>3</v>
      </c>
      <c r="P6" s="17"/>
      <c r="Q6" s="17" t="s">
        <v>4</v>
      </c>
      <c r="R6" s="22"/>
      <c r="S6" s="109" t="s">
        <v>232</v>
      </c>
    </row>
    <row r="7" spans="1:255" ht="12.75">
      <c r="A7" s="18" t="s">
        <v>5</v>
      </c>
      <c r="B7" s="17"/>
      <c r="C7" s="18" t="s">
        <v>6</v>
      </c>
      <c r="D7" s="26"/>
      <c r="E7" s="18" t="s">
        <v>6</v>
      </c>
      <c r="F7" s="26"/>
      <c r="G7" s="18" t="s">
        <v>6</v>
      </c>
      <c r="H7" s="26"/>
      <c r="I7" s="18" t="s">
        <v>8</v>
      </c>
      <c r="J7" s="26"/>
      <c r="K7" s="18" t="s">
        <v>9</v>
      </c>
      <c r="L7" s="26"/>
      <c r="M7" s="18" t="s">
        <v>10</v>
      </c>
      <c r="N7" s="26"/>
      <c r="O7" s="18" t="s">
        <v>11</v>
      </c>
      <c r="P7" s="26"/>
      <c r="Q7" s="18" t="s">
        <v>12</v>
      </c>
      <c r="R7" s="34"/>
      <c r="S7" s="115" t="s">
        <v>233</v>
      </c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</row>
    <row r="8" spans="1:255" ht="12.75">
      <c r="A8" s="28" t="s">
        <v>13</v>
      </c>
      <c r="B8" s="28"/>
      <c r="C8" s="84">
        <v>11565727</v>
      </c>
      <c r="D8" s="84"/>
      <c r="E8" s="84">
        <v>12824442</v>
      </c>
      <c r="F8" s="84"/>
      <c r="G8" s="84">
        <v>273308</v>
      </c>
      <c r="H8" s="84"/>
      <c r="I8" s="84">
        <v>7829219</v>
      </c>
      <c r="J8" s="84"/>
      <c r="K8" s="84">
        <v>29095046</v>
      </c>
      <c r="L8" s="84"/>
      <c r="M8" s="60">
        <v>1320657</v>
      </c>
      <c r="N8" s="60"/>
      <c r="O8" s="60">
        <f>Q8-C8-E8-G8-I8-K8-M8</f>
        <v>7965411</v>
      </c>
      <c r="P8" s="60"/>
      <c r="Q8" s="84">
        <v>70873810</v>
      </c>
      <c r="R8" s="34"/>
      <c r="S8" s="105">
        <f>70609+6178431+8937+417013</f>
        <v>6674990</v>
      </c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</row>
    <row r="9" spans="1:255" ht="12.75">
      <c r="A9" s="28" t="s">
        <v>14</v>
      </c>
      <c r="B9" s="28"/>
      <c r="C9" s="84">
        <v>4709572</v>
      </c>
      <c r="D9" s="84"/>
      <c r="E9" s="84">
        <v>5174058</v>
      </c>
      <c r="F9" s="84"/>
      <c r="G9" s="84">
        <v>81318</v>
      </c>
      <c r="H9" s="84"/>
      <c r="I9" s="84">
        <v>2923179</v>
      </c>
      <c r="J9" s="84"/>
      <c r="K9" s="84">
        <v>15200663</v>
      </c>
      <c r="L9" s="84"/>
      <c r="M9" s="60">
        <v>0</v>
      </c>
      <c r="N9" s="60"/>
      <c r="O9" s="60">
        <f aca="true" t="shared" si="0" ref="O9:O72">Q9-C9-E9-G9-I9-K9-M9</f>
        <v>2441526</v>
      </c>
      <c r="P9" s="60"/>
      <c r="Q9" s="84">
        <v>30530316</v>
      </c>
      <c r="R9" s="34"/>
      <c r="S9" s="105">
        <f>29174+1525905</f>
        <v>1555079</v>
      </c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</row>
    <row r="10" spans="1:255" ht="12.75">
      <c r="A10" s="28" t="s">
        <v>15</v>
      </c>
      <c r="B10" s="28"/>
      <c r="C10" s="84">
        <v>19520546</v>
      </c>
      <c r="D10" s="84"/>
      <c r="E10" s="84">
        <v>7810093</v>
      </c>
      <c r="F10" s="84"/>
      <c r="G10" s="84">
        <v>0</v>
      </c>
      <c r="H10" s="84"/>
      <c r="I10" s="84">
        <v>9132005</v>
      </c>
      <c r="J10" s="84"/>
      <c r="K10" s="84">
        <v>51848007</v>
      </c>
      <c r="L10" s="84"/>
      <c r="M10" s="60">
        <v>0</v>
      </c>
      <c r="N10" s="60"/>
      <c r="O10" s="60">
        <f t="shared" si="0"/>
        <v>2195761</v>
      </c>
      <c r="P10" s="60"/>
      <c r="Q10" s="84">
        <v>90506412</v>
      </c>
      <c r="R10" s="34"/>
      <c r="S10" s="105">
        <f>3500000+2446027</f>
        <v>5946027</v>
      </c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</row>
    <row r="11" spans="1:255" ht="12.75">
      <c r="A11" s="28" t="s">
        <v>16</v>
      </c>
      <c r="B11" s="28"/>
      <c r="C11" s="84">
        <v>8635631</v>
      </c>
      <c r="D11" s="84"/>
      <c r="E11" s="84">
        <v>5403916</v>
      </c>
      <c r="F11" s="84"/>
      <c r="G11" s="84">
        <v>0</v>
      </c>
      <c r="H11" s="84"/>
      <c r="I11" s="84">
        <v>3362666</v>
      </c>
      <c r="J11" s="84"/>
      <c r="K11" s="84">
        <v>24576545</v>
      </c>
      <c r="L11" s="84"/>
      <c r="M11" s="60">
        <v>0</v>
      </c>
      <c r="N11" s="60"/>
      <c r="O11" s="60">
        <f t="shared" si="0"/>
        <v>4484072</v>
      </c>
      <c r="P11" s="60"/>
      <c r="Q11" s="84">
        <v>46462830</v>
      </c>
      <c r="R11" s="64"/>
      <c r="S11" s="105">
        <f>10350+108825+1656089</f>
        <v>1775264</v>
      </c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</row>
    <row r="12" spans="1:255" ht="12.75">
      <c r="A12" s="28" t="s">
        <v>17</v>
      </c>
      <c r="B12" s="28"/>
      <c r="C12" s="84">
        <v>4526788</v>
      </c>
      <c r="D12" s="84"/>
      <c r="E12" s="84">
        <v>6370721</v>
      </c>
      <c r="F12" s="84"/>
      <c r="G12" s="84"/>
      <c r="H12" s="84"/>
      <c r="I12" s="84">
        <v>2500766</v>
      </c>
      <c r="J12" s="84"/>
      <c r="K12" s="84">
        <v>9920050</v>
      </c>
      <c r="L12" s="84"/>
      <c r="M12" s="60">
        <v>514362</v>
      </c>
      <c r="N12" s="60"/>
      <c r="O12" s="60">
        <f t="shared" si="0"/>
        <v>1274887</v>
      </c>
      <c r="P12" s="60"/>
      <c r="Q12" s="84">
        <v>25107574</v>
      </c>
      <c r="R12" s="64"/>
      <c r="S12" s="105">
        <f>7587+676086+19030+744000</f>
        <v>1446703</v>
      </c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</row>
    <row r="13" spans="1:255" ht="12.75">
      <c r="A13" s="28" t="s">
        <v>18</v>
      </c>
      <c r="B13" s="28"/>
      <c r="C13" s="84">
        <v>8747834</v>
      </c>
      <c r="D13" s="84"/>
      <c r="E13" s="84">
        <v>11551273</v>
      </c>
      <c r="F13" s="84"/>
      <c r="G13" s="84">
        <v>0</v>
      </c>
      <c r="H13" s="84"/>
      <c r="I13" s="84">
        <v>4416547</v>
      </c>
      <c r="J13" s="84"/>
      <c r="K13" s="84">
        <v>22990980</v>
      </c>
      <c r="L13" s="84"/>
      <c r="M13" s="60">
        <v>0</v>
      </c>
      <c r="N13" s="60"/>
      <c r="O13" s="60">
        <f t="shared" si="0"/>
        <v>2878193</v>
      </c>
      <c r="P13" s="60"/>
      <c r="Q13" s="84">
        <v>50584827</v>
      </c>
      <c r="R13" s="64"/>
      <c r="S13" s="105">
        <f>1785000+7213+1955000+14295+89747+2771603</f>
        <v>6622858</v>
      </c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</row>
    <row r="14" spans="1:255" ht="12.75" hidden="1">
      <c r="A14" s="28" t="s">
        <v>97</v>
      </c>
      <c r="B14" s="28"/>
      <c r="C14" s="84">
        <v>0</v>
      </c>
      <c r="D14" s="84"/>
      <c r="E14" s="84">
        <v>0</v>
      </c>
      <c r="F14" s="84"/>
      <c r="G14" s="84">
        <v>0</v>
      </c>
      <c r="H14" s="84"/>
      <c r="I14" s="84">
        <v>0</v>
      </c>
      <c r="J14" s="84"/>
      <c r="K14" s="84">
        <v>0</v>
      </c>
      <c r="L14" s="84"/>
      <c r="M14" s="60">
        <v>0</v>
      </c>
      <c r="N14" s="60"/>
      <c r="O14" s="60">
        <f t="shared" si="0"/>
        <v>0</v>
      </c>
      <c r="P14" s="60"/>
      <c r="Q14" s="84">
        <v>0</v>
      </c>
      <c r="R14" s="34"/>
      <c r="S14" s="105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</row>
    <row r="15" spans="1:255" ht="12.75">
      <c r="A15" s="28" t="s">
        <v>19</v>
      </c>
      <c r="B15" s="28"/>
      <c r="C15" s="84">
        <v>0</v>
      </c>
      <c r="D15" s="84"/>
      <c r="E15" s="84">
        <v>0</v>
      </c>
      <c r="F15" s="84"/>
      <c r="G15" s="84">
        <v>64738072</v>
      </c>
      <c r="H15" s="84"/>
      <c r="I15" s="84">
        <v>37586693</v>
      </c>
      <c r="J15" s="84"/>
      <c r="K15" s="84">
        <v>104819010</v>
      </c>
      <c r="L15" s="84"/>
      <c r="M15" s="60">
        <v>1796964</v>
      </c>
      <c r="N15" s="60"/>
      <c r="O15" s="60">
        <f t="shared" si="0"/>
        <v>6769770</v>
      </c>
      <c r="P15" s="60"/>
      <c r="Q15" s="84">
        <v>215710509</v>
      </c>
      <c r="R15" s="34"/>
      <c r="S15" s="105">
        <f>192695+14485000+72200+6242489</f>
        <v>20992384</v>
      </c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</row>
    <row r="16" spans="1:255" ht="12.75">
      <c r="A16" s="28" t="s">
        <v>20</v>
      </c>
      <c r="B16" s="28"/>
      <c r="C16" s="84">
        <v>3601481</v>
      </c>
      <c r="D16" s="84"/>
      <c r="E16" s="84">
        <v>1585980</v>
      </c>
      <c r="F16" s="84"/>
      <c r="G16" s="84">
        <f>2741+1316048+61011+70472</f>
        <v>1450272</v>
      </c>
      <c r="H16" s="84"/>
      <c r="I16" s="84">
        <v>2378194</v>
      </c>
      <c r="J16" s="84"/>
      <c r="K16" s="84">
        <v>10267234</v>
      </c>
      <c r="L16" s="84"/>
      <c r="M16" s="60">
        <v>16339</v>
      </c>
      <c r="N16" s="60"/>
      <c r="O16" s="60">
        <f t="shared" si="0"/>
        <v>136234</v>
      </c>
      <c r="P16" s="60"/>
      <c r="Q16" s="84">
        <v>19435734</v>
      </c>
      <c r="R16" s="64"/>
      <c r="S16" s="105">
        <f>5064+44480+310207</f>
        <v>359751</v>
      </c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</row>
    <row r="17" spans="1:255" ht="12.75" hidden="1">
      <c r="A17" s="26" t="s">
        <v>182</v>
      </c>
      <c r="B17" s="26"/>
      <c r="C17" s="84">
        <v>0</v>
      </c>
      <c r="D17" s="84"/>
      <c r="E17" s="84">
        <v>0</v>
      </c>
      <c r="F17" s="84"/>
      <c r="G17" s="84">
        <v>0</v>
      </c>
      <c r="H17" s="84"/>
      <c r="I17" s="84">
        <v>0</v>
      </c>
      <c r="J17" s="84"/>
      <c r="K17" s="84">
        <v>0</v>
      </c>
      <c r="L17" s="84"/>
      <c r="M17" s="60">
        <v>0</v>
      </c>
      <c r="N17" s="60"/>
      <c r="O17" s="60">
        <f t="shared" si="0"/>
        <v>0</v>
      </c>
      <c r="P17" s="60"/>
      <c r="Q17" s="84">
        <v>0</v>
      </c>
      <c r="R17" s="34"/>
      <c r="S17" s="105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</row>
    <row r="18" spans="1:255" ht="12.75">
      <c r="A18" s="28" t="s">
        <v>21</v>
      </c>
      <c r="B18" s="28"/>
      <c r="C18" s="84">
        <v>15641536</v>
      </c>
      <c r="D18" s="84"/>
      <c r="E18" s="84">
        <v>12279860</v>
      </c>
      <c r="F18" s="84"/>
      <c r="G18" s="84">
        <v>0</v>
      </c>
      <c r="H18" s="84"/>
      <c r="I18" s="84">
        <v>11514207</v>
      </c>
      <c r="J18" s="84"/>
      <c r="K18" s="84">
        <v>55504661</v>
      </c>
      <c r="L18" s="84"/>
      <c r="M18" s="60">
        <v>38216</v>
      </c>
      <c r="N18" s="60"/>
      <c r="O18" s="60">
        <f t="shared" si="0"/>
        <v>8019517</v>
      </c>
      <c r="P18" s="60"/>
      <c r="Q18" s="84">
        <v>102997997</v>
      </c>
      <c r="R18" s="64"/>
      <c r="S18" s="105">
        <f>2014935+5290824</f>
        <v>7305759</v>
      </c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</row>
    <row r="19" spans="1:255" ht="12.75">
      <c r="A19" s="28" t="s">
        <v>193</v>
      </c>
      <c r="B19" s="28"/>
      <c r="C19" s="84">
        <v>0</v>
      </c>
      <c r="D19" s="84"/>
      <c r="E19" s="84">
        <v>0</v>
      </c>
      <c r="F19" s="84"/>
      <c r="G19" s="84">
        <v>38277066</v>
      </c>
      <c r="H19" s="84"/>
      <c r="I19" s="84">
        <v>16299004</v>
      </c>
      <c r="J19" s="84"/>
      <c r="K19" s="84">
        <v>43034581</v>
      </c>
      <c r="L19" s="84"/>
      <c r="M19" s="60">
        <v>867055</v>
      </c>
      <c r="N19" s="60"/>
      <c r="O19" s="60">
        <f t="shared" si="0"/>
        <v>7321916</v>
      </c>
      <c r="P19" s="60"/>
      <c r="Q19" s="84">
        <v>105799622</v>
      </c>
      <c r="R19" s="34"/>
      <c r="S19" s="105">
        <f>13395000+4120000+240000+10454882+41669+174910</f>
        <v>28426461</v>
      </c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</row>
    <row r="20" spans="1:255" ht="12.75">
      <c r="A20" s="28" t="s">
        <v>22</v>
      </c>
      <c r="B20" s="28"/>
      <c r="C20" s="84">
        <v>4917700</v>
      </c>
      <c r="D20" s="84"/>
      <c r="E20" s="84">
        <v>4346463</v>
      </c>
      <c r="F20" s="84"/>
      <c r="G20" s="84">
        <v>0</v>
      </c>
      <c r="H20" s="84"/>
      <c r="I20" s="84">
        <v>3067556</v>
      </c>
      <c r="J20" s="84"/>
      <c r="K20" s="84">
        <v>14026900</v>
      </c>
      <c r="L20" s="84"/>
      <c r="M20" s="60">
        <v>74791</v>
      </c>
      <c r="N20" s="60"/>
      <c r="O20" s="60">
        <f t="shared" si="0"/>
        <v>4348604</v>
      </c>
      <c r="P20" s="60"/>
      <c r="Q20" s="84">
        <v>30782014</v>
      </c>
      <c r="R20" s="64"/>
      <c r="S20" s="105">
        <f>400445+393395</f>
        <v>793840</v>
      </c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</row>
    <row r="21" spans="1:255" ht="12.75" hidden="1">
      <c r="A21" s="28" t="s">
        <v>23</v>
      </c>
      <c r="B21" s="28"/>
      <c r="C21" s="84">
        <v>0</v>
      </c>
      <c r="D21" s="84"/>
      <c r="E21" s="84">
        <v>0</v>
      </c>
      <c r="F21" s="84"/>
      <c r="G21" s="84">
        <v>0</v>
      </c>
      <c r="H21" s="84"/>
      <c r="I21" s="84">
        <v>0</v>
      </c>
      <c r="J21" s="84"/>
      <c r="K21" s="84">
        <v>0</v>
      </c>
      <c r="L21" s="84"/>
      <c r="M21" s="60">
        <v>0</v>
      </c>
      <c r="N21" s="60"/>
      <c r="O21" s="60">
        <f t="shared" si="0"/>
        <v>0</v>
      </c>
      <c r="P21" s="60"/>
      <c r="Q21" s="84">
        <v>0</v>
      </c>
      <c r="R21" s="64"/>
      <c r="S21" s="105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</row>
    <row r="22" spans="1:255" ht="12.75" hidden="1">
      <c r="A22" s="28" t="s">
        <v>24</v>
      </c>
      <c r="B22" s="28"/>
      <c r="C22" s="84">
        <v>0</v>
      </c>
      <c r="D22" s="84"/>
      <c r="E22" s="84">
        <v>0</v>
      </c>
      <c r="F22" s="84"/>
      <c r="G22" s="84">
        <v>0</v>
      </c>
      <c r="H22" s="84"/>
      <c r="I22" s="84">
        <v>0</v>
      </c>
      <c r="J22" s="84"/>
      <c r="K22" s="84">
        <v>0</v>
      </c>
      <c r="L22" s="84"/>
      <c r="M22" s="60">
        <v>0</v>
      </c>
      <c r="N22" s="60"/>
      <c r="O22" s="60">
        <f t="shared" si="0"/>
        <v>0</v>
      </c>
      <c r="P22" s="60"/>
      <c r="Q22" s="84">
        <v>0</v>
      </c>
      <c r="R22" s="34"/>
      <c r="S22" s="105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</row>
    <row r="23" spans="1:255" ht="12.75">
      <c r="A23" s="28" t="s">
        <v>191</v>
      </c>
      <c r="B23" s="28"/>
      <c r="C23" s="84">
        <v>4219701</v>
      </c>
      <c r="D23" s="84"/>
      <c r="E23" s="84">
        <v>4830279</v>
      </c>
      <c r="F23" s="84"/>
      <c r="G23" s="84">
        <v>0</v>
      </c>
      <c r="H23" s="84"/>
      <c r="I23" s="84">
        <v>5224169</v>
      </c>
      <c r="J23" s="84"/>
      <c r="K23" s="84">
        <v>14039562</v>
      </c>
      <c r="L23" s="84"/>
      <c r="M23" s="60">
        <v>94846</v>
      </c>
      <c r="N23" s="60"/>
      <c r="O23" s="60">
        <f t="shared" si="0"/>
        <v>2199317</v>
      </c>
      <c r="P23" s="60"/>
      <c r="Q23" s="84">
        <v>30607874</v>
      </c>
      <c r="R23" s="34"/>
      <c r="S23" s="105">
        <v>1523729</v>
      </c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</row>
    <row r="24" spans="1:255" ht="12.75">
      <c r="A24" s="28" t="s">
        <v>25</v>
      </c>
      <c r="B24" s="28"/>
      <c r="C24" s="84">
        <v>257640</v>
      </c>
      <c r="D24" s="84"/>
      <c r="E24" s="84">
        <v>158634</v>
      </c>
      <c r="F24" s="84"/>
      <c r="G24" s="84">
        <v>29000</v>
      </c>
      <c r="H24" s="84"/>
      <c r="I24" s="84">
        <v>82903</v>
      </c>
      <c r="J24" s="84"/>
      <c r="K24" s="84">
        <v>614789</v>
      </c>
      <c r="L24" s="84"/>
      <c r="M24" s="60">
        <v>0</v>
      </c>
      <c r="N24" s="60"/>
      <c r="O24" s="60">
        <f t="shared" si="0"/>
        <v>69345</v>
      </c>
      <c r="P24" s="60"/>
      <c r="Q24" s="84">
        <v>1212311</v>
      </c>
      <c r="R24" s="64"/>
      <c r="S24" s="105">
        <f>151013+13742</f>
        <v>164755</v>
      </c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</row>
    <row r="25" spans="1:255" ht="12.75">
      <c r="A25" s="28" t="s">
        <v>26</v>
      </c>
      <c r="B25" s="28"/>
      <c r="C25" s="84">
        <v>0</v>
      </c>
      <c r="D25" s="84"/>
      <c r="E25" s="84">
        <v>0</v>
      </c>
      <c r="F25" s="84"/>
      <c r="G25" s="84">
        <v>9403681</v>
      </c>
      <c r="H25" s="84"/>
      <c r="I25" s="84">
        <v>3143276</v>
      </c>
      <c r="J25" s="84"/>
      <c r="K25" s="84">
        <v>11696001</v>
      </c>
      <c r="L25" s="84"/>
      <c r="M25" s="60">
        <v>185093</v>
      </c>
      <c r="N25" s="60"/>
      <c r="O25" s="60">
        <f t="shared" si="0"/>
        <v>2386339</v>
      </c>
      <c r="P25" s="60"/>
      <c r="Q25" s="84">
        <v>26814390</v>
      </c>
      <c r="R25" s="34"/>
      <c r="S25" s="105">
        <f>786+70000+2075145</f>
        <v>2145931</v>
      </c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</row>
    <row r="26" spans="1:255" ht="12.75">
      <c r="A26" s="28" t="s">
        <v>27</v>
      </c>
      <c r="B26" s="28"/>
      <c r="C26" s="84">
        <v>4656570</v>
      </c>
      <c r="D26" s="84"/>
      <c r="E26" s="84">
        <v>4206330</v>
      </c>
      <c r="F26" s="84"/>
      <c r="G26" s="84">
        <v>80000</v>
      </c>
      <c r="H26" s="84"/>
      <c r="I26" s="84">
        <v>2785674</v>
      </c>
      <c r="J26" s="84"/>
      <c r="K26" s="84">
        <v>14882517</v>
      </c>
      <c r="L26" s="84"/>
      <c r="M26" s="60">
        <v>422253</v>
      </c>
      <c r="N26" s="60"/>
      <c r="O26" s="60">
        <f t="shared" si="0"/>
        <v>2909509</v>
      </c>
      <c r="P26" s="60"/>
      <c r="Q26" s="84">
        <v>29942853</v>
      </c>
      <c r="R26" s="34"/>
      <c r="S26" s="105">
        <f>1595129+872326+1492513</f>
        <v>3959968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</row>
    <row r="27" spans="1:255" ht="12.75">
      <c r="A27" s="28" t="s">
        <v>28</v>
      </c>
      <c r="B27" s="28"/>
      <c r="C27" s="84">
        <v>12036039</v>
      </c>
      <c r="D27" s="84"/>
      <c r="E27" s="84">
        <v>29111788</v>
      </c>
      <c r="F27" s="84"/>
      <c r="G27" s="84">
        <v>39374</v>
      </c>
      <c r="H27" s="84"/>
      <c r="I27" s="84">
        <v>18077458</v>
      </c>
      <c r="J27" s="84"/>
      <c r="K27" s="84">
        <v>23956935</v>
      </c>
      <c r="L27" s="84"/>
      <c r="M27" s="60">
        <v>594502</v>
      </c>
      <c r="N27" s="60"/>
      <c r="O27" s="60">
        <f t="shared" si="0"/>
        <v>6184972</v>
      </c>
      <c r="P27" s="60"/>
      <c r="Q27" s="84">
        <v>90001068</v>
      </c>
      <c r="R27" s="34"/>
      <c r="S27" s="105">
        <f>12000000+113451+4389678</f>
        <v>16503129</v>
      </c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</row>
    <row r="28" spans="1:255" ht="12.75">
      <c r="A28" s="28" t="s">
        <v>29</v>
      </c>
      <c r="B28" s="28"/>
      <c r="C28" s="84">
        <v>9197089</v>
      </c>
      <c r="D28" s="84"/>
      <c r="E28" s="84">
        <v>13010239</v>
      </c>
      <c r="F28" s="84"/>
      <c r="G28" s="84">
        <v>0</v>
      </c>
      <c r="H28" s="84"/>
      <c r="I28" s="84">
        <v>5137999</v>
      </c>
      <c r="J28" s="84"/>
      <c r="K28" s="84">
        <v>20929831</v>
      </c>
      <c r="L28" s="84"/>
      <c r="M28" s="60">
        <v>864855</v>
      </c>
      <c r="N28" s="60"/>
      <c r="O28" s="60">
        <f t="shared" si="0"/>
        <v>4556462</v>
      </c>
      <c r="P28" s="60"/>
      <c r="Q28" s="84">
        <v>53696475</v>
      </c>
      <c r="R28" s="34"/>
      <c r="S28" s="105">
        <f>48023+2500000+18237+4243735</f>
        <v>6809995</v>
      </c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</row>
    <row r="29" spans="1:255" ht="12.75">
      <c r="A29" s="28" t="s">
        <v>30</v>
      </c>
      <c r="B29" s="28"/>
      <c r="C29" s="84">
        <v>12368893</v>
      </c>
      <c r="D29" s="84"/>
      <c r="E29" s="84">
        <v>9978566</v>
      </c>
      <c r="F29" s="84"/>
      <c r="G29" s="84">
        <v>0</v>
      </c>
      <c r="H29" s="84"/>
      <c r="I29" s="84">
        <v>8007923</v>
      </c>
      <c r="J29" s="84"/>
      <c r="K29" s="84">
        <v>37730470</v>
      </c>
      <c r="L29" s="84"/>
      <c r="M29" s="60">
        <v>344343</v>
      </c>
      <c r="N29" s="60"/>
      <c r="O29" s="60">
        <f t="shared" si="0"/>
        <v>4458977</v>
      </c>
      <c r="P29" s="60"/>
      <c r="Q29" s="84">
        <v>72889172</v>
      </c>
      <c r="R29" s="34"/>
      <c r="S29" s="105">
        <f>5100000+517000+9255000+324543+35115+838716+8809556</f>
        <v>24879930</v>
      </c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</row>
    <row r="30" spans="1:255" ht="12.75" hidden="1">
      <c r="A30" s="28" t="s">
        <v>31</v>
      </c>
      <c r="B30" s="28"/>
      <c r="C30" s="84">
        <v>0</v>
      </c>
      <c r="D30" s="84"/>
      <c r="E30" s="84">
        <v>0</v>
      </c>
      <c r="F30" s="84"/>
      <c r="G30" s="84">
        <v>0</v>
      </c>
      <c r="H30" s="84"/>
      <c r="I30" s="84">
        <v>0</v>
      </c>
      <c r="J30" s="84"/>
      <c r="K30" s="84">
        <v>0</v>
      </c>
      <c r="L30" s="84"/>
      <c r="M30" s="60">
        <v>0</v>
      </c>
      <c r="N30" s="60"/>
      <c r="O30" s="60">
        <f t="shared" si="0"/>
        <v>0</v>
      </c>
      <c r="P30" s="60"/>
      <c r="Q30" s="84">
        <v>0</v>
      </c>
      <c r="R30" s="34"/>
      <c r="S30" s="105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</row>
    <row r="31" spans="1:255" ht="12.75">
      <c r="A31" s="28" t="s">
        <v>32</v>
      </c>
      <c r="B31" s="28"/>
      <c r="C31" s="84">
        <v>310675</v>
      </c>
      <c r="D31" s="84"/>
      <c r="E31" s="84">
        <v>81682</v>
      </c>
      <c r="F31" s="84"/>
      <c r="G31" s="84">
        <v>0</v>
      </c>
      <c r="H31" s="84"/>
      <c r="I31" s="84">
        <v>0</v>
      </c>
      <c r="J31" s="84"/>
      <c r="K31" s="84">
        <v>411976</v>
      </c>
      <c r="L31" s="84"/>
      <c r="M31" s="60">
        <v>0</v>
      </c>
      <c r="N31" s="60"/>
      <c r="O31" s="60">
        <f t="shared" si="0"/>
        <v>118042</v>
      </c>
      <c r="P31" s="60"/>
      <c r="Q31" s="84">
        <v>922375</v>
      </c>
      <c r="R31" s="34"/>
      <c r="S31" s="105">
        <f>31327+53985+3692+513+707+581</f>
        <v>90805</v>
      </c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</row>
    <row r="32" spans="1:255" ht="12.75">
      <c r="A32" s="28" t="s">
        <v>33</v>
      </c>
      <c r="B32" s="28"/>
      <c r="C32" s="84">
        <v>6725593</v>
      </c>
      <c r="D32" s="84"/>
      <c r="E32" s="84">
        <v>4470035</v>
      </c>
      <c r="F32" s="84"/>
      <c r="G32" s="84">
        <v>0</v>
      </c>
      <c r="H32" s="84"/>
      <c r="I32" s="84">
        <v>4342023</v>
      </c>
      <c r="J32" s="84"/>
      <c r="K32" s="84">
        <v>12413371</v>
      </c>
      <c r="L32" s="84"/>
      <c r="M32" s="60">
        <v>435850</v>
      </c>
      <c r="N32" s="60"/>
      <c r="O32" s="60">
        <f t="shared" si="0"/>
        <v>2335617</v>
      </c>
      <c r="P32" s="60"/>
      <c r="Q32" s="84">
        <v>30722489</v>
      </c>
      <c r="R32" s="34"/>
      <c r="S32" s="105">
        <f>94628+650140+1257117</f>
        <v>2001885</v>
      </c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</row>
    <row r="33" spans="1:255" ht="12.75">
      <c r="A33" s="28" t="s">
        <v>34</v>
      </c>
      <c r="B33" s="28"/>
      <c r="C33" s="84">
        <v>2091100</v>
      </c>
      <c r="D33" s="84"/>
      <c r="E33" s="84">
        <v>3596869</v>
      </c>
      <c r="F33" s="84"/>
      <c r="G33" s="84">
        <v>0</v>
      </c>
      <c r="H33" s="84"/>
      <c r="I33" s="84">
        <v>1856363</v>
      </c>
      <c r="J33" s="84"/>
      <c r="K33" s="84">
        <v>16078425</v>
      </c>
      <c r="L33" s="84"/>
      <c r="M33" s="60">
        <v>0</v>
      </c>
      <c r="N33" s="60"/>
      <c r="O33" s="60">
        <f t="shared" si="0"/>
        <v>2622833</v>
      </c>
      <c r="P33" s="60"/>
      <c r="Q33" s="84">
        <v>26245590</v>
      </c>
      <c r="R33" s="34"/>
      <c r="S33" s="105">
        <f>455000+9818+1057982</f>
        <v>1522800</v>
      </c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</row>
    <row r="34" spans="1:255" ht="12.75">
      <c r="A34" s="28" t="s">
        <v>35</v>
      </c>
      <c r="B34" s="28"/>
      <c r="C34" s="84">
        <v>20311734</v>
      </c>
      <c r="D34" s="84"/>
      <c r="E34" s="84">
        <v>4712721</v>
      </c>
      <c r="F34" s="84"/>
      <c r="G34" s="84">
        <v>494674</v>
      </c>
      <c r="H34" s="84"/>
      <c r="I34" s="84">
        <v>6600810</v>
      </c>
      <c r="J34" s="84"/>
      <c r="K34" s="84">
        <v>29519900</v>
      </c>
      <c r="L34" s="84"/>
      <c r="M34" s="60">
        <v>302908</v>
      </c>
      <c r="N34" s="60"/>
      <c r="O34" s="60">
        <f t="shared" si="0"/>
        <v>3602125</v>
      </c>
      <c r="P34" s="60"/>
      <c r="Q34" s="84">
        <v>65544872</v>
      </c>
      <c r="R34" s="34"/>
      <c r="S34" s="105">
        <f>1200000+4616457</f>
        <v>5816457</v>
      </c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</row>
    <row r="35" spans="1:255" ht="12.75">
      <c r="A35" s="28" t="s">
        <v>194</v>
      </c>
      <c r="B35" s="28"/>
      <c r="C35" s="84">
        <v>0</v>
      </c>
      <c r="D35" s="84"/>
      <c r="E35" s="84">
        <v>0</v>
      </c>
      <c r="F35" s="84"/>
      <c r="G35" s="84">
        <v>39308105</v>
      </c>
      <c r="H35" s="84"/>
      <c r="I35" s="84">
        <v>15598852</v>
      </c>
      <c r="J35" s="84"/>
      <c r="K35" s="84">
        <v>34038143</v>
      </c>
      <c r="L35" s="84"/>
      <c r="M35" s="60">
        <v>150818</v>
      </c>
      <c r="N35" s="60"/>
      <c r="O35" s="60">
        <f t="shared" si="0"/>
        <v>5858808</v>
      </c>
      <c r="P35" s="60"/>
      <c r="Q35" s="84">
        <v>94954726</v>
      </c>
      <c r="R35" s="34"/>
      <c r="S35" s="105">
        <f>2360000+3828892</f>
        <v>6188892</v>
      </c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</row>
    <row r="36" spans="1:255" ht="12.75">
      <c r="A36" s="28" t="s">
        <v>36</v>
      </c>
      <c r="B36" s="28"/>
      <c r="C36" s="84">
        <v>5368111</v>
      </c>
      <c r="D36" s="84"/>
      <c r="E36" s="84">
        <v>5223689</v>
      </c>
      <c r="F36" s="84"/>
      <c r="G36" s="84">
        <v>0</v>
      </c>
      <c r="H36" s="84"/>
      <c r="I36" s="84">
        <v>2782408</v>
      </c>
      <c r="J36" s="84"/>
      <c r="K36" s="84">
        <v>20503301</v>
      </c>
      <c r="L36" s="84"/>
      <c r="M36" s="60">
        <v>19781</v>
      </c>
      <c r="N36" s="60"/>
      <c r="O36" s="60">
        <f t="shared" si="0"/>
        <v>1642921</v>
      </c>
      <c r="P36" s="60"/>
      <c r="Q36" s="84">
        <v>35540211</v>
      </c>
      <c r="R36" s="34"/>
      <c r="S36" s="105">
        <f>8125000+4960000+54817+128591+1451428</f>
        <v>14719836</v>
      </c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</row>
    <row r="37" spans="1:255" ht="12.75">
      <c r="A37" s="28" t="s">
        <v>37</v>
      </c>
      <c r="B37" s="28"/>
      <c r="C37" s="84">
        <v>245094</v>
      </c>
      <c r="D37" s="84"/>
      <c r="E37" s="84">
        <v>61104</v>
      </c>
      <c r="F37" s="84"/>
      <c r="G37" s="84">
        <v>45143</v>
      </c>
      <c r="H37" s="84"/>
      <c r="I37" s="84">
        <v>167323</v>
      </c>
      <c r="J37" s="84"/>
      <c r="K37" s="84">
        <v>341445</v>
      </c>
      <c r="L37" s="84"/>
      <c r="M37" s="60">
        <v>0</v>
      </c>
      <c r="N37" s="60"/>
      <c r="O37" s="60">
        <f t="shared" si="0"/>
        <v>58630</v>
      </c>
      <c r="P37" s="60"/>
      <c r="Q37" s="84">
        <v>918739</v>
      </c>
      <c r="R37" s="64"/>
      <c r="S37" s="105">
        <v>35490</v>
      </c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</row>
    <row r="38" spans="1:255" ht="12.75">
      <c r="A38" s="28" t="s">
        <v>38</v>
      </c>
      <c r="B38" s="28"/>
      <c r="C38" s="84">
        <v>7121284</v>
      </c>
      <c r="D38" s="84"/>
      <c r="E38" s="84">
        <v>5773952</v>
      </c>
      <c r="F38" s="84"/>
      <c r="G38" s="84">
        <v>1508852</v>
      </c>
      <c r="H38" s="84"/>
      <c r="I38" s="84">
        <v>6552078</v>
      </c>
      <c r="J38" s="84"/>
      <c r="K38" s="84">
        <v>24381810</v>
      </c>
      <c r="L38" s="84"/>
      <c r="M38" s="60">
        <v>143598</v>
      </c>
      <c r="N38" s="60"/>
      <c r="O38" s="60">
        <f t="shared" si="0"/>
        <v>2790281</v>
      </c>
      <c r="P38" s="60"/>
      <c r="Q38" s="84">
        <v>48271855</v>
      </c>
      <c r="R38" s="64"/>
      <c r="S38" s="105">
        <v>2389450</v>
      </c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</row>
    <row r="39" spans="1:255" ht="12.75" hidden="1">
      <c r="A39" s="28" t="s">
        <v>177</v>
      </c>
      <c r="B39" s="28"/>
      <c r="C39" s="84">
        <v>0</v>
      </c>
      <c r="D39" s="84"/>
      <c r="E39" s="84">
        <v>0</v>
      </c>
      <c r="F39" s="84"/>
      <c r="G39" s="84">
        <v>0</v>
      </c>
      <c r="H39" s="84"/>
      <c r="I39" s="84">
        <v>0</v>
      </c>
      <c r="J39" s="84"/>
      <c r="K39" s="84">
        <v>0</v>
      </c>
      <c r="L39" s="84"/>
      <c r="M39" s="60">
        <v>0</v>
      </c>
      <c r="N39" s="60"/>
      <c r="O39" s="60">
        <f t="shared" si="0"/>
        <v>0</v>
      </c>
      <c r="P39" s="60"/>
      <c r="Q39" s="84">
        <v>0</v>
      </c>
      <c r="R39" s="34"/>
      <c r="S39" s="105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</row>
    <row r="40" spans="1:19" ht="12.75" hidden="1">
      <c r="A40" s="28" t="s">
        <v>39</v>
      </c>
      <c r="B40" s="28"/>
      <c r="C40" s="84">
        <v>0</v>
      </c>
      <c r="D40" s="84"/>
      <c r="E40" s="84">
        <v>0</v>
      </c>
      <c r="F40" s="84"/>
      <c r="G40" s="84">
        <v>0</v>
      </c>
      <c r="H40" s="84"/>
      <c r="I40" s="84">
        <v>0</v>
      </c>
      <c r="J40" s="84"/>
      <c r="K40" s="84">
        <v>0</v>
      </c>
      <c r="L40" s="84"/>
      <c r="M40" s="60">
        <v>0</v>
      </c>
      <c r="N40" s="60"/>
      <c r="O40" s="60">
        <f t="shared" si="0"/>
        <v>0</v>
      </c>
      <c r="P40" s="60"/>
      <c r="Q40" s="84">
        <v>0</v>
      </c>
      <c r="R40" s="28"/>
      <c r="S40" s="56"/>
    </row>
    <row r="41" spans="1:19" ht="12.75">
      <c r="A41" s="28" t="s">
        <v>40</v>
      </c>
      <c r="B41" s="28"/>
      <c r="C41" s="84">
        <v>6899559</v>
      </c>
      <c r="D41" s="84"/>
      <c r="E41" s="84">
        <v>2627626</v>
      </c>
      <c r="F41" s="84"/>
      <c r="G41" s="84">
        <v>0</v>
      </c>
      <c r="H41" s="84"/>
      <c r="I41" s="84">
        <v>3481241</v>
      </c>
      <c r="J41" s="84"/>
      <c r="K41" s="84">
        <v>10729131</v>
      </c>
      <c r="L41" s="84"/>
      <c r="M41" s="60">
        <v>268750</v>
      </c>
      <c r="N41" s="60"/>
      <c r="O41" s="60">
        <f t="shared" si="0"/>
        <v>1851410</v>
      </c>
      <c r="P41" s="60"/>
      <c r="Q41" s="84">
        <v>25857717</v>
      </c>
      <c r="R41" s="28"/>
      <c r="S41" s="56">
        <f>27000+2885000+165967+26716+515645</f>
        <v>3620328</v>
      </c>
    </row>
    <row r="42" spans="1:19" ht="12.75" hidden="1">
      <c r="A42" s="28" t="s">
        <v>41</v>
      </c>
      <c r="B42" s="28"/>
      <c r="C42" s="84">
        <v>0</v>
      </c>
      <c r="D42" s="84"/>
      <c r="E42" s="84">
        <v>0</v>
      </c>
      <c r="F42" s="84"/>
      <c r="G42" s="84">
        <v>0</v>
      </c>
      <c r="H42" s="84"/>
      <c r="I42" s="84">
        <v>0</v>
      </c>
      <c r="J42" s="84"/>
      <c r="K42" s="84">
        <v>0</v>
      </c>
      <c r="L42" s="84"/>
      <c r="M42" s="60">
        <v>0</v>
      </c>
      <c r="N42" s="60"/>
      <c r="O42" s="60">
        <f t="shared" si="0"/>
        <v>0</v>
      </c>
      <c r="P42" s="60"/>
      <c r="Q42" s="84">
        <v>0</v>
      </c>
      <c r="R42" s="16"/>
      <c r="S42" s="56"/>
    </row>
    <row r="43" spans="1:19" ht="12.75">
      <c r="A43" s="28" t="s">
        <v>42</v>
      </c>
      <c r="B43" s="28"/>
      <c r="C43" s="84">
        <v>0</v>
      </c>
      <c r="D43" s="84"/>
      <c r="E43" s="84">
        <v>0</v>
      </c>
      <c r="F43" s="84"/>
      <c r="G43" s="84">
        <v>7050179</v>
      </c>
      <c r="H43" s="84"/>
      <c r="I43" s="84">
        <v>2188702</v>
      </c>
      <c r="J43" s="84"/>
      <c r="K43" s="84">
        <v>12598563</v>
      </c>
      <c r="L43" s="84"/>
      <c r="M43" s="60">
        <v>12258</v>
      </c>
      <c r="N43" s="60"/>
      <c r="O43" s="60">
        <f t="shared" si="0"/>
        <v>1087844</v>
      </c>
      <c r="P43" s="60"/>
      <c r="Q43" s="84">
        <v>22937546</v>
      </c>
      <c r="R43" s="16"/>
      <c r="S43" s="56">
        <v>328404</v>
      </c>
    </row>
    <row r="44" spans="1:19" ht="12.75">
      <c r="A44" s="28" t="s">
        <v>43</v>
      </c>
      <c r="B44" s="28"/>
      <c r="C44" s="84">
        <v>5523704</v>
      </c>
      <c r="D44" s="84"/>
      <c r="E44" s="84">
        <v>4135689</v>
      </c>
      <c r="F44" s="84"/>
      <c r="G44" s="84">
        <v>0</v>
      </c>
      <c r="H44" s="84"/>
      <c r="I44" s="84">
        <v>3383268</v>
      </c>
      <c r="J44" s="84"/>
      <c r="K44" s="84">
        <v>11659357</v>
      </c>
      <c r="L44" s="84"/>
      <c r="M44" s="60">
        <v>0</v>
      </c>
      <c r="N44" s="60"/>
      <c r="O44" s="60">
        <f t="shared" si="0"/>
        <v>2025781</v>
      </c>
      <c r="P44" s="60"/>
      <c r="Q44" s="84">
        <v>26727799</v>
      </c>
      <c r="R44" s="28"/>
      <c r="S44" s="56">
        <v>1043469</v>
      </c>
    </row>
    <row r="45" spans="1:19" ht="12.75">
      <c r="A45" s="28" t="s">
        <v>44</v>
      </c>
      <c r="B45" s="28"/>
      <c r="C45" s="84">
        <v>0</v>
      </c>
      <c r="D45" s="84"/>
      <c r="E45" s="84">
        <v>0</v>
      </c>
      <c r="F45" s="84"/>
      <c r="G45" s="84">
        <v>12303361</v>
      </c>
      <c r="H45" s="84"/>
      <c r="I45" s="84">
        <v>2671850</v>
      </c>
      <c r="J45" s="84"/>
      <c r="K45" s="84">
        <v>19046041</v>
      </c>
      <c r="L45" s="84"/>
      <c r="M45" s="60">
        <v>91727</v>
      </c>
      <c r="N45" s="60"/>
      <c r="O45" s="60">
        <f t="shared" si="0"/>
        <v>2712260</v>
      </c>
      <c r="P45" s="60"/>
      <c r="Q45" s="84">
        <v>36825239</v>
      </c>
      <c r="R45" s="28"/>
      <c r="S45" s="56">
        <v>746144</v>
      </c>
    </row>
    <row r="46" spans="1:19" ht="12.75" hidden="1">
      <c r="A46" s="28" t="s">
        <v>45</v>
      </c>
      <c r="B46" s="28"/>
      <c r="C46" s="84">
        <v>0</v>
      </c>
      <c r="D46" s="84"/>
      <c r="E46" s="84">
        <v>0</v>
      </c>
      <c r="F46" s="84"/>
      <c r="G46" s="84">
        <v>0</v>
      </c>
      <c r="H46" s="84"/>
      <c r="I46" s="84">
        <v>0</v>
      </c>
      <c r="J46" s="84"/>
      <c r="K46" s="84">
        <v>0</v>
      </c>
      <c r="L46" s="84"/>
      <c r="M46" s="60">
        <v>0</v>
      </c>
      <c r="N46" s="60"/>
      <c r="O46" s="60">
        <f t="shared" si="0"/>
        <v>0</v>
      </c>
      <c r="P46" s="60"/>
      <c r="Q46" s="84">
        <v>0</v>
      </c>
      <c r="R46" s="28"/>
      <c r="S46" s="56"/>
    </row>
    <row r="47" spans="1:19" ht="12.75">
      <c r="A47" s="28" t="s">
        <v>46</v>
      </c>
      <c r="B47" s="28"/>
      <c r="C47" s="84">
        <v>8666617</v>
      </c>
      <c r="D47" s="84"/>
      <c r="E47" s="84">
        <v>0</v>
      </c>
      <c r="F47" s="84"/>
      <c r="G47" s="84">
        <v>8779047</v>
      </c>
      <c r="H47" s="84"/>
      <c r="I47" s="84">
        <v>6784643</v>
      </c>
      <c r="J47" s="84"/>
      <c r="K47" s="84">
        <v>40675096</v>
      </c>
      <c r="L47" s="84"/>
      <c r="M47" s="60">
        <v>0</v>
      </c>
      <c r="N47" s="60"/>
      <c r="O47" s="60">
        <f t="shared" si="0"/>
        <v>2973119</v>
      </c>
      <c r="P47" s="60"/>
      <c r="Q47" s="84">
        <v>67878522</v>
      </c>
      <c r="R47" s="28"/>
      <c r="S47" s="56">
        <f>263695+15847+62020+2820449</f>
        <v>3162011</v>
      </c>
    </row>
    <row r="48" spans="1:19" ht="12.75">
      <c r="A48" s="28" t="s">
        <v>47</v>
      </c>
      <c r="B48" s="28"/>
      <c r="C48" s="84">
        <v>0</v>
      </c>
      <c r="D48" s="84"/>
      <c r="E48" s="84">
        <v>0</v>
      </c>
      <c r="F48" s="84"/>
      <c r="G48" s="84">
        <v>11603148</v>
      </c>
      <c r="H48" s="84"/>
      <c r="I48" s="84">
        <v>3115139</v>
      </c>
      <c r="J48" s="84"/>
      <c r="K48" s="84">
        <v>14428199</v>
      </c>
      <c r="L48" s="84"/>
      <c r="M48" s="60">
        <v>232199</v>
      </c>
      <c r="N48" s="60"/>
      <c r="O48" s="60">
        <f t="shared" si="0"/>
        <v>1490323</v>
      </c>
      <c r="P48" s="60"/>
      <c r="Q48" s="84">
        <v>30869008</v>
      </c>
      <c r="R48" s="16"/>
      <c r="S48" s="56">
        <v>1978354</v>
      </c>
    </row>
    <row r="49" spans="1:19" ht="12.75">
      <c r="A49" s="28" t="s">
        <v>48</v>
      </c>
      <c r="B49" s="28"/>
      <c r="C49" s="84">
        <v>43408039</v>
      </c>
      <c r="D49" s="84"/>
      <c r="E49" s="84">
        <v>14882380</v>
      </c>
      <c r="F49" s="84"/>
      <c r="G49" s="84">
        <v>4775966</v>
      </c>
      <c r="H49" s="84"/>
      <c r="I49" s="84">
        <v>0</v>
      </c>
      <c r="J49" s="84"/>
      <c r="K49" s="84">
        <v>62814595</v>
      </c>
      <c r="L49" s="84"/>
      <c r="M49" s="60">
        <v>2238406</v>
      </c>
      <c r="N49" s="60"/>
      <c r="O49" s="60">
        <f t="shared" si="0"/>
        <v>25054441</v>
      </c>
      <c r="P49" s="60"/>
      <c r="Q49" s="84">
        <v>153173827</v>
      </c>
      <c r="R49" s="16"/>
      <c r="S49" s="56">
        <f>8915278+71603</f>
        <v>8986881</v>
      </c>
    </row>
    <row r="50" spans="1:19" ht="12.75" hidden="1">
      <c r="A50" s="28" t="s">
        <v>247</v>
      </c>
      <c r="B50" s="28"/>
      <c r="C50" s="84">
        <v>0</v>
      </c>
      <c r="D50" s="84"/>
      <c r="E50" s="84">
        <v>0</v>
      </c>
      <c r="F50" s="84"/>
      <c r="G50" s="84">
        <v>0</v>
      </c>
      <c r="H50" s="84"/>
      <c r="I50" s="84">
        <v>0</v>
      </c>
      <c r="J50" s="84"/>
      <c r="K50" s="84">
        <v>0</v>
      </c>
      <c r="L50" s="84"/>
      <c r="M50" s="60">
        <v>0</v>
      </c>
      <c r="N50" s="60"/>
      <c r="O50" s="60">
        <f t="shared" si="0"/>
        <v>0</v>
      </c>
      <c r="P50" s="60"/>
      <c r="Q50" s="84">
        <v>0</v>
      </c>
      <c r="R50" s="16"/>
      <c r="S50" s="56"/>
    </row>
    <row r="51" spans="1:19" ht="12.75">
      <c r="A51" s="28" t="s">
        <v>49</v>
      </c>
      <c r="B51" s="28"/>
      <c r="C51" s="84">
        <v>0</v>
      </c>
      <c r="D51" s="84"/>
      <c r="E51" s="84">
        <v>0</v>
      </c>
      <c r="F51" s="84"/>
      <c r="G51" s="84">
        <v>33709515</v>
      </c>
      <c r="H51" s="84"/>
      <c r="I51" s="84">
        <v>10361885</v>
      </c>
      <c r="J51" s="84"/>
      <c r="K51" s="84">
        <v>35688727</v>
      </c>
      <c r="L51" s="84"/>
      <c r="M51" s="60">
        <v>130566</v>
      </c>
      <c r="N51" s="60"/>
      <c r="O51" s="60">
        <f t="shared" si="0"/>
        <v>3587174</v>
      </c>
      <c r="P51" s="60"/>
      <c r="Q51" s="84">
        <v>83477867</v>
      </c>
      <c r="R51" s="28"/>
      <c r="S51" s="56">
        <f>39500+6184018</f>
        <v>6223518</v>
      </c>
    </row>
    <row r="52" spans="1:19" ht="12.75">
      <c r="A52" s="28" t="s">
        <v>50</v>
      </c>
      <c r="B52" s="28"/>
      <c r="C52" s="84">
        <v>0</v>
      </c>
      <c r="D52" s="84"/>
      <c r="E52" s="84">
        <v>0</v>
      </c>
      <c r="F52" s="84"/>
      <c r="G52" s="84">
        <v>6273229</v>
      </c>
      <c r="H52" s="84"/>
      <c r="I52" s="84">
        <v>5109858</v>
      </c>
      <c r="J52" s="84"/>
      <c r="K52" s="84">
        <v>19080698</v>
      </c>
      <c r="L52" s="84"/>
      <c r="M52" s="60">
        <v>100428</v>
      </c>
      <c r="N52" s="60"/>
      <c r="O52" s="60">
        <f t="shared" si="0"/>
        <v>2404413</v>
      </c>
      <c r="P52" s="60"/>
      <c r="Q52" s="84">
        <v>32968626</v>
      </c>
      <c r="R52" s="28"/>
      <c r="S52" s="56">
        <v>2173081</v>
      </c>
    </row>
    <row r="53" spans="1:19" ht="12.75">
      <c r="A53" s="28" t="s">
        <v>51</v>
      </c>
      <c r="B53" s="28"/>
      <c r="C53" s="84">
        <v>43869907</v>
      </c>
      <c r="D53" s="84"/>
      <c r="E53" s="84">
        <v>20611360</v>
      </c>
      <c r="F53" s="84"/>
      <c r="G53" s="84">
        <v>0</v>
      </c>
      <c r="H53" s="84"/>
      <c r="I53" s="84">
        <v>11042504</v>
      </c>
      <c r="J53" s="84"/>
      <c r="K53" s="84">
        <v>95084856</v>
      </c>
      <c r="L53" s="84"/>
      <c r="M53" s="60">
        <v>713959</v>
      </c>
      <c r="N53" s="60"/>
      <c r="O53" s="60">
        <f t="shared" si="0"/>
        <v>21398746</v>
      </c>
      <c r="P53" s="60"/>
      <c r="Q53" s="84">
        <v>192721332</v>
      </c>
      <c r="R53" s="16"/>
      <c r="S53" s="56">
        <v>9096548</v>
      </c>
    </row>
    <row r="54" spans="1:19" ht="12.75">
      <c r="A54" s="28" t="s">
        <v>195</v>
      </c>
      <c r="B54" s="28"/>
      <c r="C54" s="84">
        <v>0</v>
      </c>
      <c r="D54" s="84"/>
      <c r="E54" s="84">
        <v>0</v>
      </c>
      <c r="F54" s="84"/>
      <c r="G54" s="84">
        <v>176430</v>
      </c>
      <c r="H54" s="84"/>
      <c r="I54" s="84">
        <v>25809</v>
      </c>
      <c r="J54" s="84"/>
      <c r="K54" s="84">
        <v>184601</v>
      </c>
      <c r="L54" s="84"/>
      <c r="M54" s="60">
        <v>1763</v>
      </c>
      <c r="N54" s="60"/>
      <c r="O54" s="60">
        <f t="shared" si="0"/>
        <v>52251</v>
      </c>
      <c r="P54" s="60"/>
      <c r="Q54" s="84">
        <v>440854</v>
      </c>
      <c r="R54" s="16"/>
      <c r="S54" s="56">
        <f>441+7250+60+25108</f>
        <v>32859</v>
      </c>
    </row>
    <row r="55" spans="1:19" ht="12.75" hidden="1">
      <c r="A55" s="28" t="s">
        <v>52</v>
      </c>
      <c r="B55" s="28"/>
      <c r="C55" s="84">
        <v>0</v>
      </c>
      <c r="D55" s="84"/>
      <c r="E55" s="84">
        <v>0</v>
      </c>
      <c r="F55" s="84"/>
      <c r="G55" s="84">
        <v>0</v>
      </c>
      <c r="H55" s="84"/>
      <c r="I55" s="84">
        <v>0</v>
      </c>
      <c r="J55" s="84"/>
      <c r="K55" s="84">
        <v>0</v>
      </c>
      <c r="L55" s="84"/>
      <c r="M55" s="60">
        <v>0</v>
      </c>
      <c r="N55" s="60"/>
      <c r="O55" s="60">
        <f t="shared" si="0"/>
        <v>0</v>
      </c>
      <c r="P55" s="60"/>
      <c r="Q55" s="84">
        <v>0</v>
      </c>
      <c r="R55" s="16"/>
      <c r="S55" s="56"/>
    </row>
    <row r="56" spans="1:19" ht="12.75">
      <c r="A56" s="28" t="s">
        <v>53</v>
      </c>
      <c r="B56" s="28"/>
      <c r="C56" s="84">
        <v>41704064</v>
      </c>
      <c r="D56" s="84"/>
      <c r="E56" s="84">
        <v>26657490</v>
      </c>
      <c r="F56" s="84"/>
      <c r="G56" s="84">
        <v>0</v>
      </c>
      <c r="H56" s="84"/>
      <c r="I56" s="84">
        <v>0</v>
      </c>
      <c r="J56" s="84"/>
      <c r="K56" s="84">
        <v>93506537</v>
      </c>
      <c r="L56" s="84"/>
      <c r="M56" s="60">
        <v>302510</v>
      </c>
      <c r="N56" s="60"/>
      <c r="O56" s="60">
        <f t="shared" si="0"/>
        <v>25393038</v>
      </c>
      <c r="P56" s="60"/>
      <c r="Q56" s="84">
        <v>187563639</v>
      </c>
      <c r="R56" s="28"/>
      <c r="S56" s="56">
        <f>10057500+18050024</f>
        <v>28107524</v>
      </c>
    </row>
    <row r="57" spans="1:19" ht="12.75">
      <c r="A57" s="28" t="s">
        <v>54</v>
      </c>
      <c r="B57" s="28"/>
      <c r="C57" s="84">
        <v>7641243</v>
      </c>
      <c r="D57" s="84"/>
      <c r="E57" s="84">
        <v>6173346</v>
      </c>
      <c r="F57" s="84"/>
      <c r="G57" s="84">
        <v>0</v>
      </c>
      <c r="H57" s="84"/>
      <c r="I57" s="84">
        <v>4785221</v>
      </c>
      <c r="J57" s="84"/>
      <c r="K57" s="84">
        <v>19701683</v>
      </c>
      <c r="L57" s="84"/>
      <c r="M57" s="60">
        <v>34869</v>
      </c>
      <c r="N57" s="60"/>
      <c r="O57" s="60">
        <f t="shared" si="0"/>
        <v>2424262</v>
      </c>
      <c r="P57" s="60"/>
      <c r="Q57" s="84">
        <v>40760624</v>
      </c>
      <c r="R57" s="28"/>
      <c r="S57" s="56">
        <f>2025471+105828</f>
        <v>2131299</v>
      </c>
    </row>
    <row r="58" spans="1:19" ht="12.75">
      <c r="A58" s="28" t="s">
        <v>55</v>
      </c>
      <c r="B58" s="28"/>
      <c r="C58" s="84">
        <v>21607062</v>
      </c>
      <c r="D58" s="84"/>
      <c r="E58" s="84">
        <v>8465661</v>
      </c>
      <c r="F58" s="84"/>
      <c r="G58" s="84"/>
      <c r="H58" s="84"/>
      <c r="I58" s="84">
        <v>16331587</v>
      </c>
      <c r="J58" s="84"/>
      <c r="K58" s="84">
        <v>40367576</v>
      </c>
      <c r="L58" s="84"/>
      <c r="M58" s="60">
        <v>820641</v>
      </c>
      <c r="N58" s="60"/>
      <c r="O58" s="60">
        <f t="shared" si="0"/>
        <v>5076864</v>
      </c>
      <c r="P58" s="60"/>
      <c r="Q58" s="84">
        <v>92669391</v>
      </c>
      <c r="R58" s="28"/>
      <c r="S58" s="56">
        <f>30958+3588285</f>
        <v>3619243</v>
      </c>
    </row>
    <row r="59" spans="1:19" ht="12.75" hidden="1">
      <c r="A59" s="28" t="s">
        <v>180</v>
      </c>
      <c r="B59" s="28"/>
      <c r="C59" s="84">
        <v>0</v>
      </c>
      <c r="D59" s="84"/>
      <c r="E59" s="84">
        <v>0</v>
      </c>
      <c r="F59" s="84"/>
      <c r="G59" s="84">
        <v>0</v>
      </c>
      <c r="H59" s="84"/>
      <c r="I59" s="84">
        <v>0</v>
      </c>
      <c r="J59" s="84"/>
      <c r="K59" s="84">
        <v>0</v>
      </c>
      <c r="L59" s="84"/>
      <c r="M59" s="60">
        <v>0</v>
      </c>
      <c r="N59" s="60"/>
      <c r="O59" s="60">
        <f t="shared" si="0"/>
        <v>0</v>
      </c>
      <c r="P59" s="60"/>
      <c r="Q59" s="84">
        <v>0</v>
      </c>
      <c r="R59" s="16"/>
      <c r="S59" s="56"/>
    </row>
    <row r="60" spans="1:19" ht="12.75" hidden="1">
      <c r="A60" s="28" t="s">
        <v>56</v>
      </c>
      <c r="B60" s="28"/>
      <c r="C60" s="84">
        <v>0</v>
      </c>
      <c r="D60" s="84"/>
      <c r="E60" s="84">
        <v>0</v>
      </c>
      <c r="F60" s="84"/>
      <c r="G60" s="84">
        <v>0</v>
      </c>
      <c r="H60" s="84"/>
      <c r="I60" s="84">
        <v>0</v>
      </c>
      <c r="J60" s="84"/>
      <c r="K60" s="84">
        <v>0</v>
      </c>
      <c r="L60" s="84"/>
      <c r="M60" s="60">
        <v>0</v>
      </c>
      <c r="N60" s="60"/>
      <c r="O60" s="60">
        <f t="shared" si="0"/>
        <v>0</v>
      </c>
      <c r="P60" s="60"/>
      <c r="Q60" s="84">
        <v>0</v>
      </c>
      <c r="R60" s="16"/>
      <c r="S60" s="56"/>
    </row>
    <row r="61" spans="1:19" ht="12.75">
      <c r="A61" s="28" t="s">
        <v>57</v>
      </c>
      <c r="B61" s="28"/>
      <c r="C61" s="84">
        <v>0</v>
      </c>
      <c r="D61" s="84"/>
      <c r="E61" s="84">
        <v>0</v>
      </c>
      <c r="F61" s="84"/>
      <c r="G61" s="84">
        <v>21310935</v>
      </c>
      <c r="H61" s="84"/>
      <c r="I61" s="84">
        <v>12633018</v>
      </c>
      <c r="J61" s="84"/>
      <c r="K61" s="84">
        <v>21046540</v>
      </c>
      <c r="L61" s="84"/>
      <c r="M61" s="60">
        <v>0</v>
      </c>
      <c r="N61" s="60"/>
      <c r="O61" s="60">
        <f t="shared" si="0"/>
        <v>4196765</v>
      </c>
      <c r="P61" s="60"/>
      <c r="Q61" s="84">
        <v>59187258</v>
      </c>
      <c r="R61" s="16"/>
      <c r="S61" s="56">
        <f>130000+777529</f>
        <v>907529</v>
      </c>
    </row>
    <row r="62" spans="1:19" ht="12.75">
      <c r="A62" s="28" t="s">
        <v>58</v>
      </c>
      <c r="B62" s="28"/>
      <c r="C62" s="84">
        <v>0</v>
      </c>
      <c r="D62" s="84"/>
      <c r="E62" s="84">
        <v>0</v>
      </c>
      <c r="F62" s="84"/>
      <c r="G62" s="84">
        <v>4133556</v>
      </c>
      <c r="H62" s="84"/>
      <c r="I62" s="84">
        <v>578627</v>
      </c>
      <c r="J62" s="84"/>
      <c r="K62" s="84">
        <v>7648028</v>
      </c>
      <c r="L62" s="84"/>
      <c r="M62" s="60">
        <v>0</v>
      </c>
      <c r="N62" s="60"/>
      <c r="O62" s="60">
        <f t="shared" si="0"/>
        <v>1676476</v>
      </c>
      <c r="P62" s="60"/>
      <c r="Q62" s="84">
        <v>14036687</v>
      </c>
      <c r="R62" s="16"/>
      <c r="S62" s="56">
        <v>1556462</v>
      </c>
    </row>
    <row r="63" spans="1:19" ht="12.75">
      <c r="A63" s="28" t="s">
        <v>59</v>
      </c>
      <c r="B63" s="28"/>
      <c r="C63" s="84">
        <v>89784186</v>
      </c>
      <c r="D63" s="84"/>
      <c r="E63" s="84">
        <v>64564376</v>
      </c>
      <c r="F63" s="84"/>
      <c r="G63" s="84">
        <v>8523529</v>
      </c>
      <c r="H63" s="84"/>
      <c r="I63" s="84">
        <v>0</v>
      </c>
      <c r="J63" s="84"/>
      <c r="K63" s="84">
        <v>0</v>
      </c>
      <c r="L63" s="84"/>
      <c r="M63" s="60">
        <v>280320</v>
      </c>
      <c r="N63" s="60"/>
      <c r="O63" s="60">
        <f t="shared" si="0"/>
        <v>282380418</v>
      </c>
      <c r="P63" s="60"/>
      <c r="Q63" s="84">
        <v>445532829</v>
      </c>
      <c r="R63" s="16"/>
      <c r="S63" s="56">
        <f>108249+752179+101942354</f>
        <v>102802782</v>
      </c>
    </row>
    <row r="64" spans="1:19" ht="12.75" hidden="1">
      <c r="A64" s="28" t="s">
        <v>60</v>
      </c>
      <c r="B64" s="28"/>
      <c r="C64" s="84">
        <v>0</v>
      </c>
      <c r="D64" s="84"/>
      <c r="E64" s="84">
        <v>0</v>
      </c>
      <c r="F64" s="84"/>
      <c r="G64" s="84">
        <v>0</v>
      </c>
      <c r="H64" s="84"/>
      <c r="I64" s="84">
        <v>0</v>
      </c>
      <c r="J64" s="84"/>
      <c r="K64" s="84">
        <v>0</v>
      </c>
      <c r="L64" s="84"/>
      <c r="M64" s="60">
        <v>0</v>
      </c>
      <c r="N64" s="60"/>
      <c r="O64" s="60">
        <f t="shared" si="0"/>
        <v>0</v>
      </c>
      <c r="P64" s="60"/>
      <c r="Q64" s="84">
        <v>0</v>
      </c>
      <c r="R64" s="28"/>
      <c r="S64" s="56"/>
    </row>
    <row r="65" spans="1:19" ht="12.75">
      <c r="A65" s="28" t="s">
        <v>98</v>
      </c>
      <c r="B65" s="28"/>
      <c r="C65" s="84">
        <v>3156708</v>
      </c>
      <c r="D65" s="84"/>
      <c r="E65" s="84">
        <v>2489471</v>
      </c>
      <c r="F65" s="84"/>
      <c r="G65" s="84">
        <v>0</v>
      </c>
      <c r="H65" s="84"/>
      <c r="I65" s="84">
        <v>2842992</v>
      </c>
      <c r="J65" s="84"/>
      <c r="K65" s="84">
        <v>12259545</v>
      </c>
      <c r="L65" s="84"/>
      <c r="M65" s="60">
        <v>144477</v>
      </c>
      <c r="N65" s="60"/>
      <c r="O65" s="60">
        <f t="shared" si="0"/>
        <v>2531774</v>
      </c>
      <c r="P65" s="60"/>
      <c r="Q65" s="84">
        <v>23424967</v>
      </c>
      <c r="R65" s="16"/>
      <c r="S65" s="56">
        <f>15609+2590000+11500+45000+21277+334083</f>
        <v>3017469</v>
      </c>
    </row>
    <row r="66" spans="1:19" ht="12.75">
      <c r="A66" s="28" t="s">
        <v>62</v>
      </c>
      <c r="B66" s="28"/>
      <c r="C66" s="84">
        <v>11427537</v>
      </c>
      <c r="D66" s="84"/>
      <c r="E66" s="84">
        <v>13733258</v>
      </c>
      <c r="F66" s="84"/>
      <c r="G66" s="84">
        <v>0</v>
      </c>
      <c r="H66" s="84"/>
      <c r="I66" s="84">
        <v>7679245</v>
      </c>
      <c r="J66" s="84"/>
      <c r="K66" s="84">
        <v>32234244</v>
      </c>
      <c r="L66" s="84"/>
      <c r="M66" s="60">
        <v>81362</v>
      </c>
      <c r="N66" s="60"/>
      <c r="O66" s="60">
        <f t="shared" si="0"/>
        <v>3625041</v>
      </c>
      <c r="P66" s="60"/>
      <c r="Q66" s="84">
        <v>68780687</v>
      </c>
      <c r="R66" s="16"/>
      <c r="S66" s="56">
        <f>281000+5685+25017+4970298</f>
        <v>5282000</v>
      </c>
    </row>
    <row r="67" spans="1:19" ht="12.75">
      <c r="A67" s="28" t="s">
        <v>63</v>
      </c>
      <c r="B67" s="28"/>
      <c r="C67" s="84">
        <v>1603940</v>
      </c>
      <c r="D67" s="84"/>
      <c r="E67" s="84">
        <v>919947</v>
      </c>
      <c r="F67" s="84"/>
      <c r="G67" s="84">
        <v>0</v>
      </c>
      <c r="H67" s="84"/>
      <c r="I67" s="84">
        <v>1092902</v>
      </c>
      <c r="J67" s="84"/>
      <c r="K67" s="84">
        <v>7500300</v>
      </c>
      <c r="L67" s="84"/>
      <c r="M67" s="60">
        <v>0</v>
      </c>
      <c r="N67" s="60"/>
      <c r="O67" s="60">
        <f t="shared" si="0"/>
        <v>955414</v>
      </c>
      <c r="P67" s="60"/>
      <c r="Q67" s="84">
        <v>12072503</v>
      </c>
      <c r="R67" s="16"/>
      <c r="S67" s="56">
        <f>25324+4278+120447</f>
        <v>150049</v>
      </c>
    </row>
    <row r="68" spans="1:19" ht="12.75">
      <c r="A68" s="28" t="s">
        <v>64</v>
      </c>
      <c r="B68" s="28"/>
      <c r="C68" s="84">
        <v>5767965</v>
      </c>
      <c r="D68" s="84"/>
      <c r="E68" s="84">
        <v>4643312</v>
      </c>
      <c r="F68" s="84"/>
      <c r="G68" s="84">
        <v>446739</v>
      </c>
      <c r="H68" s="84"/>
      <c r="I68" s="84">
        <v>5033094</v>
      </c>
      <c r="J68" s="84"/>
      <c r="K68" s="84">
        <v>11702579</v>
      </c>
      <c r="L68" s="84"/>
      <c r="M68" s="60">
        <v>727553</v>
      </c>
      <c r="N68" s="60"/>
      <c r="O68" s="60">
        <f t="shared" si="0"/>
        <v>3266174</v>
      </c>
      <c r="P68" s="60"/>
      <c r="Q68" s="84">
        <v>31587416</v>
      </c>
      <c r="R68" s="16"/>
      <c r="S68" s="56">
        <f>6720000+214436+200000+33866+2281280</f>
        <v>9449582</v>
      </c>
    </row>
    <row r="69" spans="1:19" ht="12.75" hidden="1">
      <c r="A69" s="28" t="s">
        <v>137</v>
      </c>
      <c r="B69" s="28"/>
      <c r="C69" s="84">
        <v>0</v>
      </c>
      <c r="D69" s="84"/>
      <c r="E69" s="84">
        <v>0</v>
      </c>
      <c r="F69" s="84"/>
      <c r="G69" s="84">
        <v>0</v>
      </c>
      <c r="H69" s="84"/>
      <c r="I69" s="84">
        <v>0</v>
      </c>
      <c r="J69" s="84"/>
      <c r="K69" s="84">
        <v>0</v>
      </c>
      <c r="L69" s="84"/>
      <c r="M69" s="60">
        <v>0</v>
      </c>
      <c r="N69" s="60"/>
      <c r="O69" s="60">
        <f t="shared" si="0"/>
        <v>0</v>
      </c>
      <c r="P69" s="60"/>
      <c r="Q69" s="84">
        <v>0</v>
      </c>
      <c r="R69" s="16"/>
      <c r="S69" s="56"/>
    </row>
    <row r="70" spans="1:19" ht="12.75" hidden="1">
      <c r="A70" s="28" t="s">
        <v>65</v>
      </c>
      <c r="B70" s="28"/>
      <c r="C70" s="84">
        <v>0</v>
      </c>
      <c r="D70" s="84"/>
      <c r="E70" s="84">
        <v>0</v>
      </c>
      <c r="F70" s="84"/>
      <c r="G70" s="84">
        <v>0</v>
      </c>
      <c r="H70" s="84"/>
      <c r="I70" s="84">
        <v>0</v>
      </c>
      <c r="J70" s="84"/>
      <c r="K70" s="84">
        <v>0</v>
      </c>
      <c r="L70" s="84"/>
      <c r="M70" s="60">
        <v>0</v>
      </c>
      <c r="N70" s="60"/>
      <c r="O70" s="60">
        <f t="shared" si="0"/>
        <v>0</v>
      </c>
      <c r="P70" s="60"/>
      <c r="Q70" s="84">
        <v>0</v>
      </c>
      <c r="R70" s="16"/>
      <c r="S70" s="56"/>
    </row>
    <row r="71" spans="1:19" ht="12.75">
      <c r="A71" s="28" t="s">
        <v>66</v>
      </c>
      <c r="B71" s="28"/>
      <c r="C71" s="84">
        <v>4983394</v>
      </c>
      <c r="D71" s="84"/>
      <c r="E71" s="84">
        <v>5399205</v>
      </c>
      <c r="F71" s="84"/>
      <c r="G71" s="84">
        <v>0</v>
      </c>
      <c r="H71" s="84"/>
      <c r="I71" s="84">
        <v>2888796</v>
      </c>
      <c r="J71" s="84"/>
      <c r="K71" s="84">
        <v>12944408</v>
      </c>
      <c r="L71" s="84"/>
      <c r="M71" s="60">
        <v>20191</v>
      </c>
      <c r="N71" s="60"/>
      <c r="O71" s="60">
        <f t="shared" si="0"/>
        <v>2138160</v>
      </c>
      <c r="P71" s="60"/>
      <c r="Q71" s="84">
        <v>28374154</v>
      </c>
      <c r="R71" s="16"/>
      <c r="S71" s="56">
        <f>96780+793850</f>
        <v>890630</v>
      </c>
    </row>
    <row r="72" spans="1:19" ht="12.75">
      <c r="A72" s="28" t="s">
        <v>67</v>
      </c>
      <c r="B72" s="28"/>
      <c r="C72" s="84">
        <v>0</v>
      </c>
      <c r="D72" s="84"/>
      <c r="E72" s="84">
        <v>0</v>
      </c>
      <c r="F72" s="84"/>
      <c r="G72" s="84">
        <v>4782098</v>
      </c>
      <c r="H72" s="84"/>
      <c r="I72" s="84">
        <v>0</v>
      </c>
      <c r="J72" s="84"/>
      <c r="K72" s="84">
        <v>12701401</v>
      </c>
      <c r="L72" s="84"/>
      <c r="M72" s="60">
        <v>0</v>
      </c>
      <c r="N72" s="60"/>
      <c r="O72" s="60">
        <f t="shared" si="0"/>
        <v>4509027</v>
      </c>
      <c r="P72" s="60"/>
      <c r="Q72" s="84">
        <v>21992526</v>
      </c>
      <c r="R72" s="16"/>
      <c r="S72" s="56">
        <f>90000+25696+570621</f>
        <v>686317</v>
      </c>
    </row>
    <row r="73" spans="1:19" ht="12.75">
      <c r="A73" s="28" t="s">
        <v>68</v>
      </c>
      <c r="B73" s="28"/>
      <c r="C73" s="84">
        <v>22383208</v>
      </c>
      <c r="D73" s="84"/>
      <c r="E73" s="84">
        <v>13187642</v>
      </c>
      <c r="F73" s="84"/>
      <c r="G73" s="84">
        <v>0</v>
      </c>
      <c r="H73" s="84"/>
      <c r="I73" s="84">
        <v>11790066</v>
      </c>
      <c r="J73" s="84"/>
      <c r="K73" s="84">
        <v>41187642</v>
      </c>
      <c r="L73" s="84"/>
      <c r="M73" s="60">
        <v>233688</v>
      </c>
      <c r="N73" s="60"/>
      <c r="O73" s="60">
        <f aca="true" t="shared" si="1" ref="O73:O93">Q73-C73-E73-G73-I73-K73-M73</f>
        <v>5019225</v>
      </c>
      <c r="P73" s="60"/>
      <c r="Q73" s="84">
        <v>93801471</v>
      </c>
      <c r="R73" s="16"/>
      <c r="S73" s="56">
        <f>91980+78344+1514975</f>
        <v>1685299</v>
      </c>
    </row>
    <row r="74" spans="1:19" ht="12.75">
      <c r="A74" s="28" t="s">
        <v>69</v>
      </c>
      <c r="B74" s="28"/>
      <c r="C74" s="84">
        <v>3508374</v>
      </c>
      <c r="D74" s="84"/>
      <c r="E74" s="84">
        <v>4002410</v>
      </c>
      <c r="F74" s="84"/>
      <c r="G74" s="84">
        <v>0</v>
      </c>
      <c r="H74" s="84"/>
      <c r="I74" s="84">
        <v>3732003</v>
      </c>
      <c r="J74" s="84"/>
      <c r="K74" s="84">
        <v>13110189</v>
      </c>
      <c r="L74" s="84"/>
      <c r="M74" s="60">
        <v>126703</v>
      </c>
      <c r="N74" s="60"/>
      <c r="O74" s="60">
        <f t="shared" si="1"/>
        <v>866602</v>
      </c>
      <c r="P74" s="60"/>
      <c r="Q74" s="84">
        <v>25346281</v>
      </c>
      <c r="R74" s="16"/>
      <c r="S74" s="56">
        <v>276447</v>
      </c>
    </row>
    <row r="75" spans="1:19" ht="12.75" hidden="1">
      <c r="A75" s="28" t="s">
        <v>185</v>
      </c>
      <c r="B75" s="28"/>
      <c r="C75" s="84">
        <v>0</v>
      </c>
      <c r="D75" s="84"/>
      <c r="E75" s="84">
        <v>0</v>
      </c>
      <c r="F75" s="84"/>
      <c r="G75" s="84">
        <v>0</v>
      </c>
      <c r="H75" s="84"/>
      <c r="I75" s="84">
        <v>0</v>
      </c>
      <c r="J75" s="84"/>
      <c r="K75" s="84">
        <v>0</v>
      </c>
      <c r="L75" s="84"/>
      <c r="M75" s="60">
        <v>0</v>
      </c>
      <c r="N75" s="60"/>
      <c r="O75" s="60">
        <f t="shared" si="1"/>
        <v>0</v>
      </c>
      <c r="P75" s="60"/>
      <c r="Q75" s="84">
        <v>0</v>
      </c>
      <c r="R75" s="16"/>
      <c r="S75" s="56"/>
    </row>
    <row r="76" spans="1:19" ht="12.75">
      <c r="A76" s="28" t="s">
        <v>190</v>
      </c>
      <c r="B76" s="28"/>
      <c r="C76" s="84">
        <v>12460383</v>
      </c>
      <c r="D76" s="84"/>
      <c r="E76" s="84">
        <v>16948298</v>
      </c>
      <c r="F76" s="84"/>
      <c r="G76" s="84">
        <v>0</v>
      </c>
      <c r="H76" s="84"/>
      <c r="I76" s="84">
        <v>9095807</v>
      </c>
      <c r="J76" s="84"/>
      <c r="K76" s="84">
        <v>55748879</v>
      </c>
      <c r="L76" s="84"/>
      <c r="M76" s="60">
        <v>1207322</v>
      </c>
      <c r="N76" s="60"/>
      <c r="O76" s="60">
        <f t="shared" si="1"/>
        <v>4138968</v>
      </c>
      <c r="P76" s="60"/>
      <c r="Q76" s="84">
        <v>99599657</v>
      </c>
      <c r="R76" s="16"/>
      <c r="S76" s="56">
        <f>33954+3081435</f>
        <v>3115389</v>
      </c>
    </row>
    <row r="77" spans="1:19" ht="12.75">
      <c r="A77" s="28" t="s">
        <v>70</v>
      </c>
      <c r="B77" s="28"/>
      <c r="C77" s="84">
        <v>6540135</v>
      </c>
      <c r="D77" s="84"/>
      <c r="E77" s="84">
        <v>10235263</v>
      </c>
      <c r="F77" s="84"/>
      <c r="G77" s="84">
        <v>0</v>
      </c>
      <c r="H77" s="84"/>
      <c r="I77" s="84">
        <v>4322615</v>
      </c>
      <c r="J77" s="84"/>
      <c r="K77" s="84">
        <v>20804520</v>
      </c>
      <c r="L77" s="84"/>
      <c r="M77" s="60">
        <v>6590</v>
      </c>
      <c r="N77" s="60"/>
      <c r="O77" s="60">
        <f t="shared" si="1"/>
        <v>3208387</v>
      </c>
      <c r="P77" s="60"/>
      <c r="Q77" s="84">
        <v>45117510</v>
      </c>
      <c r="R77" s="16"/>
      <c r="S77" s="56">
        <f>14780+4115000+5480000+1462385+7405185</f>
        <v>18477350</v>
      </c>
    </row>
    <row r="78" spans="1:19" ht="12.75">
      <c r="A78" s="28" t="s">
        <v>99</v>
      </c>
      <c r="B78" s="28"/>
      <c r="C78" s="84">
        <v>7078618</v>
      </c>
      <c r="D78" s="84"/>
      <c r="E78" s="84">
        <v>6065965</v>
      </c>
      <c r="F78" s="84"/>
      <c r="G78" s="84">
        <v>0</v>
      </c>
      <c r="H78" s="84"/>
      <c r="I78" s="84">
        <v>4277360</v>
      </c>
      <c r="J78" s="84"/>
      <c r="K78" s="84">
        <v>24751741</v>
      </c>
      <c r="L78" s="84"/>
      <c r="M78" s="60">
        <v>133752</v>
      </c>
      <c r="N78" s="60"/>
      <c r="O78" s="60">
        <f t="shared" si="1"/>
        <v>3334293</v>
      </c>
      <c r="P78" s="60"/>
      <c r="Q78" s="84">
        <v>45641729</v>
      </c>
      <c r="R78" s="16"/>
      <c r="S78" s="56">
        <f>625000+1682704</f>
        <v>2307704</v>
      </c>
    </row>
    <row r="79" spans="1:19" ht="12.75">
      <c r="A79" s="28" t="s">
        <v>71</v>
      </c>
      <c r="B79" s="28"/>
      <c r="C79" s="84">
        <v>4160024</v>
      </c>
      <c r="D79" s="84"/>
      <c r="E79" s="84">
        <v>8250582</v>
      </c>
      <c r="F79" s="84"/>
      <c r="G79" s="84">
        <v>0</v>
      </c>
      <c r="H79" s="84"/>
      <c r="I79" s="84">
        <v>5421628</v>
      </c>
      <c r="J79" s="84"/>
      <c r="K79" s="84">
        <v>29958548</v>
      </c>
      <c r="L79" s="84"/>
      <c r="M79" s="60">
        <v>0</v>
      </c>
      <c r="N79" s="60"/>
      <c r="O79" s="60">
        <f t="shared" si="1"/>
        <v>2014054</v>
      </c>
      <c r="P79" s="60"/>
      <c r="Q79" s="84">
        <v>49804836</v>
      </c>
      <c r="R79" s="16"/>
      <c r="S79" s="56">
        <f>1007000+263898+2864227</f>
        <v>4135125</v>
      </c>
    </row>
    <row r="80" spans="1:19" ht="12.75">
      <c r="A80" s="28" t="s">
        <v>72</v>
      </c>
      <c r="B80" s="28"/>
      <c r="C80" s="84">
        <v>5841635</v>
      </c>
      <c r="D80" s="84"/>
      <c r="E80" s="84">
        <v>5591033</v>
      </c>
      <c r="F80" s="84"/>
      <c r="G80" s="84">
        <v>0</v>
      </c>
      <c r="H80" s="84"/>
      <c r="I80" s="84">
        <v>3345723</v>
      </c>
      <c r="J80" s="84"/>
      <c r="K80" s="84">
        <v>20154331</v>
      </c>
      <c r="L80" s="84"/>
      <c r="M80" s="60">
        <v>0</v>
      </c>
      <c r="N80" s="60"/>
      <c r="O80" s="60">
        <f t="shared" si="1"/>
        <v>2258806</v>
      </c>
      <c r="P80" s="60"/>
      <c r="Q80" s="84">
        <v>37191528</v>
      </c>
      <c r="R80" s="16"/>
      <c r="S80" s="56">
        <f>1280000+700+882245</f>
        <v>2162945</v>
      </c>
    </row>
    <row r="81" spans="1:19" ht="12.75">
      <c r="A81" s="28" t="s">
        <v>73</v>
      </c>
      <c r="B81" s="28"/>
      <c r="C81" s="84">
        <v>7581842</v>
      </c>
      <c r="D81" s="84"/>
      <c r="E81" s="84">
        <v>7503131</v>
      </c>
      <c r="F81" s="84"/>
      <c r="G81" s="84">
        <v>0</v>
      </c>
      <c r="H81" s="84"/>
      <c r="I81" s="84">
        <v>4092039</v>
      </c>
      <c r="J81" s="84"/>
      <c r="K81" s="84">
        <v>15238991</v>
      </c>
      <c r="L81" s="84"/>
      <c r="M81" s="60">
        <v>274180</v>
      </c>
      <c r="N81" s="60"/>
      <c r="O81" s="60">
        <f t="shared" si="1"/>
        <v>1211018</v>
      </c>
      <c r="P81" s="60"/>
      <c r="Q81" s="84">
        <v>35901201</v>
      </c>
      <c r="R81" s="16"/>
      <c r="S81" s="56">
        <f>1014100+1118840</f>
        <v>2132940</v>
      </c>
    </row>
    <row r="82" spans="1:19" ht="12.75">
      <c r="A82" s="28" t="s">
        <v>74</v>
      </c>
      <c r="B82" s="28"/>
      <c r="C82" s="84">
        <v>41705229</v>
      </c>
      <c r="D82" s="84"/>
      <c r="E82" s="84">
        <v>5564319</v>
      </c>
      <c r="F82" s="84"/>
      <c r="G82" s="84">
        <v>0</v>
      </c>
      <c r="H82" s="84"/>
      <c r="I82" s="84">
        <v>23757323</v>
      </c>
      <c r="J82" s="84"/>
      <c r="K82" s="84">
        <v>125043646</v>
      </c>
      <c r="L82" s="84"/>
      <c r="M82" s="60">
        <v>441763</v>
      </c>
      <c r="N82" s="60"/>
      <c r="O82" s="60">
        <f t="shared" si="1"/>
        <v>7711411</v>
      </c>
      <c r="P82" s="60"/>
      <c r="Q82" s="84">
        <v>204223691</v>
      </c>
      <c r="R82" s="16"/>
      <c r="S82" s="56">
        <f>412314+8254+439979</f>
        <v>860547</v>
      </c>
    </row>
    <row r="83" spans="1:19" ht="12.75">
      <c r="A83" s="28" t="s">
        <v>75</v>
      </c>
      <c r="B83" s="28"/>
      <c r="C83" s="84">
        <v>106129251</v>
      </c>
      <c r="D83" s="84"/>
      <c r="E83" s="84">
        <v>33994904</v>
      </c>
      <c r="F83" s="84"/>
      <c r="G83" s="84">
        <v>12570880</v>
      </c>
      <c r="H83" s="84"/>
      <c r="I83" s="84">
        <v>39044625</v>
      </c>
      <c r="J83" s="84"/>
      <c r="K83" s="84">
        <v>171499440</v>
      </c>
      <c r="L83" s="84"/>
      <c r="M83" s="60">
        <v>208133</v>
      </c>
      <c r="N83" s="60"/>
      <c r="O83" s="60">
        <f t="shared" si="1"/>
        <v>14516257</v>
      </c>
      <c r="P83" s="60"/>
      <c r="Q83" s="84">
        <v>377963490</v>
      </c>
      <c r="R83" s="16"/>
      <c r="S83" s="56">
        <f>36493+1232000+25100000+1531333+8146238</f>
        <v>36046064</v>
      </c>
    </row>
    <row r="84" spans="1:19" ht="12.75">
      <c r="A84" s="28" t="s">
        <v>76</v>
      </c>
      <c r="B84" s="28"/>
      <c r="C84" s="84">
        <v>25005153</v>
      </c>
      <c r="D84" s="84"/>
      <c r="E84" s="84">
        <v>16207174</v>
      </c>
      <c r="F84" s="84"/>
      <c r="G84" s="84">
        <v>0</v>
      </c>
      <c r="H84" s="84"/>
      <c r="I84" s="84">
        <v>6887748</v>
      </c>
      <c r="J84" s="84"/>
      <c r="K84" s="84">
        <v>78776615</v>
      </c>
      <c r="L84" s="84"/>
      <c r="M84" s="60">
        <v>829751</v>
      </c>
      <c r="N84" s="60"/>
      <c r="O84" s="60">
        <f t="shared" si="1"/>
        <v>9923442</v>
      </c>
      <c r="P84" s="60"/>
      <c r="Q84" s="84">
        <v>137629883</v>
      </c>
      <c r="R84" s="16"/>
      <c r="S84" s="56">
        <f>5785000+4794324</f>
        <v>10579324</v>
      </c>
    </row>
    <row r="85" spans="1:19" ht="12.75">
      <c r="A85" s="28" t="s">
        <v>77</v>
      </c>
      <c r="B85" s="28"/>
      <c r="C85" s="84">
        <v>9322046</v>
      </c>
      <c r="D85" s="84"/>
      <c r="E85" s="84">
        <v>8664790</v>
      </c>
      <c r="F85" s="84"/>
      <c r="G85" s="84">
        <v>0</v>
      </c>
      <c r="H85" s="84"/>
      <c r="I85" s="84">
        <v>4857464</v>
      </c>
      <c r="J85" s="84"/>
      <c r="K85" s="84">
        <v>23024231</v>
      </c>
      <c r="L85" s="84"/>
      <c r="M85" s="60">
        <v>0</v>
      </c>
      <c r="N85" s="60"/>
      <c r="O85" s="60">
        <f t="shared" si="1"/>
        <v>2150943</v>
      </c>
      <c r="P85" s="60"/>
      <c r="Q85" s="84">
        <v>48019474</v>
      </c>
      <c r="R85" s="16"/>
      <c r="S85" s="56">
        <f>99038+7088703</f>
        <v>7187741</v>
      </c>
    </row>
    <row r="86" spans="1:19" ht="12.75">
      <c r="A86" s="28" t="s">
        <v>78</v>
      </c>
      <c r="B86" s="28"/>
      <c r="C86" s="84">
        <v>9439349</v>
      </c>
      <c r="D86" s="84"/>
      <c r="E86" s="84">
        <v>8187253</v>
      </c>
      <c r="F86" s="84"/>
      <c r="G86" s="84">
        <v>0</v>
      </c>
      <c r="H86" s="84"/>
      <c r="I86" s="84">
        <v>5218750</v>
      </c>
      <c r="J86" s="84"/>
      <c r="K86" s="84">
        <v>16864852</v>
      </c>
      <c r="L86" s="84"/>
      <c r="M86" s="60">
        <v>57295</v>
      </c>
      <c r="N86" s="60"/>
      <c r="O86" s="60">
        <f t="shared" si="1"/>
        <v>2039543</v>
      </c>
      <c r="P86" s="60"/>
      <c r="Q86" s="84">
        <v>41807042</v>
      </c>
      <c r="R86" s="16"/>
      <c r="S86" s="56">
        <f>3540147+4879+253647</f>
        <v>3798673</v>
      </c>
    </row>
    <row r="87" spans="1:19" ht="12.75">
      <c r="A87" s="28" t="s">
        <v>79</v>
      </c>
      <c r="B87" s="28"/>
      <c r="C87" s="84">
        <v>2930326</v>
      </c>
      <c r="D87" s="84"/>
      <c r="E87" s="84">
        <v>3489599</v>
      </c>
      <c r="F87" s="84"/>
      <c r="G87" s="84">
        <v>0</v>
      </c>
      <c r="H87" s="84"/>
      <c r="I87" s="84">
        <v>2432032</v>
      </c>
      <c r="J87" s="84"/>
      <c r="K87" s="84">
        <v>10323073</v>
      </c>
      <c r="L87" s="84"/>
      <c r="M87" s="60">
        <v>371339</v>
      </c>
      <c r="N87" s="60"/>
      <c r="O87" s="60">
        <f t="shared" si="1"/>
        <v>1746107</v>
      </c>
      <c r="P87" s="60"/>
      <c r="Q87" s="84">
        <v>21292476</v>
      </c>
      <c r="R87" s="16"/>
      <c r="S87" s="56">
        <f>1119961+30039+128600+710473</f>
        <v>1989073</v>
      </c>
    </row>
    <row r="88" spans="1:19" ht="12.75">
      <c r="A88" s="28" t="s">
        <v>80</v>
      </c>
      <c r="B88" s="28"/>
      <c r="C88" s="84">
        <v>0</v>
      </c>
      <c r="D88" s="84"/>
      <c r="E88" s="84">
        <v>0</v>
      </c>
      <c r="F88" s="84"/>
      <c r="G88" s="84">
        <v>1886345</v>
      </c>
      <c r="H88" s="84"/>
      <c r="I88" s="84">
        <v>950654</v>
      </c>
      <c r="J88" s="84"/>
      <c r="K88" s="84">
        <v>10299032</v>
      </c>
      <c r="L88" s="84"/>
      <c r="M88" s="60">
        <v>0</v>
      </c>
      <c r="N88" s="60"/>
      <c r="O88" s="60">
        <f t="shared" si="1"/>
        <v>1315089</v>
      </c>
      <c r="P88" s="60"/>
      <c r="Q88" s="84">
        <v>14451120</v>
      </c>
      <c r="R88" s="16"/>
      <c r="S88" s="56">
        <f>9299+475998</f>
        <v>485297</v>
      </c>
    </row>
    <row r="89" spans="1:19" ht="12.75">
      <c r="A89" s="28" t="s">
        <v>81</v>
      </c>
      <c r="B89" s="28"/>
      <c r="C89" s="84">
        <v>0</v>
      </c>
      <c r="D89" s="84"/>
      <c r="E89" s="84">
        <v>0</v>
      </c>
      <c r="F89" s="84"/>
      <c r="G89" s="84">
        <v>46149053</v>
      </c>
      <c r="H89" s="84"/>
      <c r="I89" s="84">
        <v>11518445</v>
      </c>
      <c r="J89" s="84"/>
      <c r="K89" s="84">
        <v>28462239</v>
      </c>
      <c r="L89" s="84"/>
      <c r="M89" s="60">
        <v>2707239</v>
      </c>
      <c r="N89" s="60"/>
      <c r="O89" s="60">
        <f t="shared" si="1"/>
        <v>6076328</v>
      </c>
      <c r="P89" s="60"/>
      <c r="Q89" s="84">
        <v>94913304</v>
      </c>
      <c r="R89" s="28"/>
      <c r="S89" s="56">
        <f>63486+2635000+3888278</f>
        <v>6586764</v>
      </c>
    </row>
    <row r="90" spans="1:19" ht="12.75">
      <c r="A90" s="28" t="s">
        <v>82</v>
      </c>
      <c r="B90" s="28"/>
      <c r="C90" s="84">
        <v>7658505</v>
      </c>
      <c r="D90" s="84"/>
      <c r="E90" s="84">
        <v>8757302</v>
      </c>
      <c r="F90" s="84"/>
      <c r="G90" s="84">
        <v>12618</v>
      </c>
      <c r="H90" s="84"/>
      <c r="I90" s="84">
        <v>3560282</v>
      </c>
      <c r="J90" s="84"/>
      <c r="K90" s="84">
        <v>27930254</v>
      </c>
      <c r="L90" s="84"/>
      <c r="M90" s="60">
        <v>0</v>
      </c>
      <c r="N90" s="60"/>
      <c r="O90" s="60">
        <f t="shared" si="1"/>
        <v>2444429</v>
      </c>
      <c r="P90" s="60"/>
      <c r="Q90" s="84">
        <v>50363390</v>
      </c>
      <c r="R90" s="28"/>
      <c r="S90" s="56">
        <f>4427000+3323864</f>
        <v>7750864</v>
      </c>
    </row>
    <row r="91" spans="1:19" ht="12.75">
      <c r="A91" s="28" t="s">
        <v>83</v>
      </c>
      <c r="B91" s="28"/>
      <c r="C91" s="84">
        <v>12474218</v>
      </c>
      <c r="D91" s="84"/>
      <c r="E91" s="84">
        <v>8990237</v>
      </c>
      <c r="F91" s="84"/>
      <c r="G91" s="84">
        <v>0</v>
      </c>
      <c r="H91" s="84"/>
      <c r="I91" s="84">
        <v>8874027</v>
      </c>
      <c r="J91" s="84"/>
      <c r="K91" s="84">
        <v>30532044</v>
      </c>
      <c r="L91" s="84"/>
      <c r="M91" s="60">
        <v>1492</v>
      </c>
      <c r="N91" s="60"/>
      <c r="O91" s="60">
        <f t="shared" si="1"/>
        <v>4118810</v>
      </c>
      <c r="P91" s="60"/>
      <c r="Q91" s="84">
        <v>64990828</v>
      </c>
      <c r="R91" s="16"/>
      <c r="S91" s="56">
        <f>352+1897924</f>
        <v>1898276</v>
      </c>
    </row>
    <row r="92" spans="1:19" ht="12.75" hidden="1">
      <c r="A92" s="28" t="s">
        <v>183</v>
      </c>
      <c r="B92" s="28"/>
      <c r="C92" s="84">
        <v>0</v>
      </c>
      <c r="D92" s="84"/>
      <c r="E92" s="84">
        <v>0</v>
      </c>
      <c r="F92" s="84"/>
      <c r="G92" s="84">
        <v>0</v>
      </c>
      <c r="H92" s="84"/>
      <c r="I92" s="84">
        <v>0</v>
      </c>
      <c r="J92" s="84"/>
      <c r="K92" s="84">
        <v>0</v>
      </c>
      <c r="L92" s="84"/>
      <c r="M92" s="60">
        <v>0</v>
      </c>
      <c r="N92" s="60"/>
      <c r="O92" s="60">
        <f t="shared" si="1"/>
        <v>0</v>
      </c>
      <c r="P92" s="60"/>
      <c r="Q92" s="84">
        <v>0</v>
      </c>
      <c r="R92" s="16"/>
      <c r="S92" s="56"/>
    </row>
    <row r="93" spans="1:19" ht="12.75">
      <c r="A93" s="28" t="s">
        <v>84</v>
      </c>
      <c r="B93" s="28"/>
      <c r="C93" s="84">
        <v>23332276</v>
      </c>
      <c r="D93" s="84"/>
      <c r="E93" s="84">
        <v>13465803</v>
      </c>
      <c r="F93" s="84"/>
      <c r="G93" s="84">
        <f>3811102+178233</f>
        <v>3989335</v>
      </c>
      <c r="H93" s="84"/>
      <c r="I93" s="84">
        <v>11538596</v>
      </c>
      <c r="J93" s="84"/>
      <c r="K93" s="84">
        <v>35164685</v>
      </c>
      <c r="L93" s="84"/>
      <c r="M93" s="60">
        <v>966566</v>
      </c>
      <c r="N93" s="60"/>
      <c r="O93" s="60">
        <f t="shared" si="1"/>
        <v>5478466</v>
      </c>
      <c r="P93" s="60"/>
      <c r="Q93" s="84">
        <v>93935727</v>
      </c>
      <c r="R93" s="16"/>
      <c r="S93" s="56">
        <f>10322+40200+7374429</f>
        <v>7424951</v>
      </c>
    </row>
    <row r="94" spans="1:18" ht="12.75" hidden="1">
      <c r="A94" s="28" t="s">
        <v>184</v>
      </c>
      <c r="B94" s="28"/>
      <c r="C94" s="23"/>
      <c r="D94" s="23"/>
      <c r="E94" s="23"/>
      <c r="F94" s="23"/>
      <c r="G94" s="23"/>
      <c r="H94" s="23"/>
      <c r="I94" s="35"/>
      <c r="J94" s="35"/>
      <c r="K94" s="35"/>
      <c r="L94" s="35"/>
      <c r="M94" s="35"/>
      <c r="N94" s="35"/>
      <c r="O94" s="35"/>
      <c r="P94" s="35"/>
      <c r="Q94" s="29">
        <v>0</v>
      </c>
      <c r="R94" s="16"/>
    </row>
    <row r="95" spans="1:18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16"/>
    </row>
    <row r="96" spans="1:18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16"/>
    </row>
    <row r="97" spans="1:18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16"/>
    </row>
    <row r="98" spans="1:18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16"/>
    </row>
    <row r="99" spans="1:18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16"/>
    </row>
    <row r="100" spans="1:18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16"/>
    </row>
    <row r="101" spans="1:18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16"/>
    </row>
    <row r="102" spans="1:18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16"/>
    </row>
    <row r="103" spans="1:18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16"/>
    </row>
  </sheetData>
  <mergeCells count="2">
    <mergeCell ref="A1:E1"/>
    <mergeCell ref="A2:E2"/>
  </mergeCells>
  <printOptions/>
  <pageMargins left="1" right="1" top="0.5" bottom="0.5" header="0" footer="0.25"/>
  <pageSetup firstPageNumber="20" useFirstPageNumber="1" horizontalDpi="600" verticalDpi="600" orientation="portrait" pageOrder="overThenDown" scale="98" r:id="rId1"/>
  <headerFooter alignWithMargins="0">
    <oddFooter>&amp;C&amp;"Times New Roman,Regular"&amp;11&amp;P</oddFooter>
  </headerFooter>
  <rowBreaks count="1" manualBreakCount="1">
    <brk id="70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M600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8" sqref="A18"/>
    </sheetView>
  </sheetViews>
  <sheetFormatPr defaultColWidth="9.140625" defaultRowHeight="12.75"/>
  <cols>
    <col min="1" max="1" width="15.7109375" style="106" customWidth="1"/>
    <col min="2" max="2" width="1.7109375" style="106" customWidth="1"/>
    <col min="3" max="3" width="11.7109375" style="106" customWidth="1"/>
    <col min="4" max="4" width="1.7109375" style="106" customWidth="1"/>
    <col min="5" max="5" width="11.7109375" style="106" customWidth="1"/>
    <col min="6" max="6" width="1.7109375" style="106" customWidth="1"/>
    <col min="7" max="7" width="11.7109375" style="106" customWidth="1"/>
    <col min="8" max="8" width="1.7109375" style="106" customWidth="1"/>
    <col min="9" max="9" width="11.7109375" style="106" customWidth="1"/>
    <col min="10" max="10" width="1.7109375" style="106" customWidth="1"/>
    <col min="11" max="11" width="11.7109375" style="106" customWidth="1"/>
    <col min="12" max="12" width="1.7109375" style="106" customWidth="1"/>
    <col min="13" max="13" width="11.7109375" style="106" customWidth="1"/>
    <col min="14" max="14" width="1.7109375" style="106" customWidth="1"/>
    <col min="15" max="15" width="11.7109375" style="106" customWidth="1"/>
    <col min="16" max="16" width="1.7109375" style="106" customWidth="1"/>
    <col min="17" max="17" width="10.7109375" style="106" customWidth="1"/>
    <col min="18" max="18" width="1.7109375" style="106" customWidth="1"/>
    <col min="19" max="19" width="10.7109375" style="106" customWidth="1"/>
    <col min="20" max="20" width="1.7109375" style="106" customWidth="1"/>
    <col min="21" max="21" width="10.7109375" style="106" customWidth="1"/>
    <col min="22" max="22" width="1.7109375" style="106" customWidth="1"/>
    <col min="23" max="23" width="10.7109375" style="106" customWidth="1"/>
    <col min="24" max="24" width="1.7109375" style="106" customWidth="1"/>
    <col min="25" max="25" width="10.7109375" style="106" customWidth="1"/>
    <col min="26" max="26" width="1.7109375" style="106" customWidth="1"/>
    <col min="27" max="27" width="10.7109375" style="106" customWidth="1"/>
    <col min="28" max="28" width="1.7109375" style="106" customWidth="1"/>
    <col min="29" max="29" width="11.7109375" style="106" customWidth="1"/>
    <col min="30" max="30" width="2.7109375" style="106" customWidth="1"/>
    <col min="31" max="31" width="11.7109375" style="106" customWidth="1"/>
    <col min="32" max="32" width="2.7109375" style="66" customWidth="1"/>
    <col min="33" max="33" width="11.140625" style="66" bestFit="1" customWidth="1"/>
    <col min="34" max="34" width="2.7109375" style="66" customWidth="1"/>
    <col min="35" max="35" width="11.140625" style="66" bestFit="1" customWidth="1"/>
    <col min="36" max="36" width="2.7109375" style="66" customWidth="1"/>
    <col min="37" max="37" width="9.140625" style="66" customWidth="1"/>
    <col min="38" max="38" width="2.7109375" style="66" customWidth="1"/>
    <col min="39" max="39" width="14.140625" style="66" customWidth="1"/>
    <col min="40" max="40" width="2.7109375" style="66" customWidth="1"/>
    <col min="41" max="16384" width="9.140625" style="66" customWidth="1"/>
  </cols>
  <sheetData>
    <row r="1" spans="1:33" s="103" customFormat="1" ht="12.75">
      <c r="A1" s="20" t="s">
        <v>219</v>
      </c>
      <c r="B1" s="20"/>
      <c r="C1" s="20"/>
      <c r="D1" s="20"/>
      <c r="E1" s="20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36"/>
      <c r="AF1" s="15"/>
      <c r="AG1" s="112"/>
    </row>
    <row r="2" spans="1:33" s="103" customFormat="1" ht="12.75">
      <c r="A2" s="20" t="s">
        <v>227</v>
      </c>
      <c r="B2" s="20"/>
      <c r="C2" s="20"/>
      <c r="D2" s="20"/>
      <c r="E2" s="20"/>
      <c r="F2" s="20"/>
      <c r="G2" s="20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36"/>
      <c r="AF2" s="15"/>
      <c r="AG2" s="112"/>
    </row>
    <row r="3" spans="1:33" s="103" customFormat="1" ht="12.75">
      <c r="A3" s="3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6"/>
      <c r="AF3" s="15"/>
      <c r="AG3" s="112"/>
    </row>
    <row r="4" spans="1:33" ht="12.75">
      <c r="A4" s="20" t="s">
        <v>196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8"/>
      <c r="AF4" s="16"/>
      <c r="AG4" s="22"/>
    </row>
    <row r="5" spans="1:39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8"/>
      <c r="AF5" s="16"/>
      <c r="AG5" s="113" t="s">
        <v>106</v>
      </c>
      <c r="AH5" s="109"/>
      <c r="AI5" s="109" t="s">
        <v>235</v>
      </c>
      <c r="AJ5" s="109"/>
      <c r="AK5" s="109" t="s">
        <v>238</v>
      </c>
      <c r="AL5" s="109"/>
      <c r="AM5" s="109"/>
    </row>
    <row r="6" spans="1:39" ht="12.75">
      <c r="A6" s="17"/>
      <c r="B6" s="17"/>
      <c r="C6" s="17" t="s">
        <v>197</v>
      </c>
      <c r="D6" s="17"/>
      <c r="E6" s="17"/>
      <c r="F6" s="17"/>
      <c r="G6" s="17" t="s">
        <v>85</v>
      </c>
      <c r="H6" s="17"/>
      <c r="I6" s="17" t="s">
        <v>85</v>
      </c>
      <c r="J6" s="17"/>
      <c r="K6" s="17"/>
      <c r="L6" s="17"/>
      <c r="M6" s="17" t="s">
        <v>86</v>
      </c>
      <c r="N6" s="17"/>
      <c r="O6" s="17" t="s">
        <v>174</v>
      </c>
      <c r="P6" s="17"/>
      <c r="Q6" s="17" t="s">
        <v>87</v>
      </c>
      <c r="R6" s="17"/>
      <c r="S6" s="17" t="s">
        <v>100</v>
      </c>
      <c r="T6" s="17"/>
      <c r="U6" s="17" t="s">
        <v>88</v>
      </c>
      <c r="V6" s="17"/>
      <c r="W6" s="17" t="s">
        <v>1</v>
      </c>
      <c r="X6" s="17"/>
      <c r="Y6" s="17"/>
      <c r="Z6" s="17"/>
      <c r="AA6" s="17" t="s">
        <v>101</v>
      </c>
      <c r="AB6" s="17"/>
      <c r="AC6" s="26"/>
      <c r="AD6" s="26"/>
      <c r="AE6" s="28" t="s">
        <v>102</v>
      </c>
      <c r="AF6" s="16"/>
      <c r="AG6" s="107" t="s">
        <v>234</v>
      </c>
      <c r="AH6" s="108"/>
      <c r="AI6" s="108" t="s">
        <v>236</v>
      </c>
      <c r="AJ6" s="108"/>
      <c r="AK6" s="108" t="s">
        <v>239</v>
      </c>
      <c r="AL6" s="108"/>
      <c r="AM6" s="108" t="s">
        <v>241</v>
      </c>
    </row>
    <row r="7" spans="1:39" ht="12.75">
      <c r="A7" s="18" t="s">
        <v>5</v>
      </c>
      <c r="B7" s="26"/>
      <c r="C7" s="18" t="s">
        <v>198</v>
      </c>
      <c r="D7" s="26"/>
      <c r="E7" s="18" t="s">
        <v>89</v>
      </c>
      <c r="F7" s="26"/>
      <c r="G7" s="18" t="s">
        <v>90</v>
      </c>
      <c r="H7" s="26"/>
      <c r="I7" s="18" t="s">
        <v>91</v>
      </c>
      <c r="J7" s="26"/>
      <c r="K7" s="18" t="s">
        <v>92</v>
      </c>
      <c r="L7" s="26"/>
      <c r="M7" s="18" t="s">
        <v>8</v>
      </c>
      <c r="N7" s="26"/>
      <c r="O7" s="18" t="s">
        <v>175</v>
      </c>
      <c r="P7" s="26"/>
      <c r="Q7" s="18" t="s">
        <v>201</v>
      </c>
      <c r="R7" s="26"/>
      <c r="S7" s="18" t="s">
        <v>93</v>
      </c>
      <c r="T7" s="26"/>
      <c r="U7" s="18" t="s">
        <v>94</v>
      </c>
      <c r="V7" s="26"/>
      <c r="W7" s="18" t="s">
        <v>9</v>
      </c>
      <c r="X7" s="26"/>
      <c r="Y7" s="18" t="s">
        <v>95</v>
      </c>
      <c r="Z7" s="26"/>
      <c r="AA7" s="18" t="s">
        <v>96</v>
      </c>
      <c r="AB7" s="26"/>
      <c r="AC7" s="18" t="s">
        <v>4</v>
      </c>
      <c r="AD7" s="26"/>
      <c r="AE7" s="28" t="s">
        <v>93</v>
      </c>
      <c r="AF7" s="16"/>
      <c r="AG7" s="107" t="s">
        <v>231</v>
      </c>
      <c r="AH7" s="108"/>
      <c r="AI7" s="108" t="s">
        <v>237</v>
      </c>
      <c r="AJ7" s="108"/>
      <c r="AK7" s="108" t="s">
        <v>240</v>
      </c>
      <c r="AL7" s="108"/>
      <c r="AM7" s="108" t="s">
        <v>242</v>
      </c>
    </row>
    <row r="8" spans="1:39" ht="12.75">
      <c r="A8" s="28" t="s">
        <v>13</v>
      </c>
      <c r="B8" s="28"/>
      <c r="C8" s="84">
        <v>10855775</v>
      </c>
      <c r="D8" s="84"/>
      <c r="E8" s="84">
        <v>8084962</v>
      </c>
      <c r="F8" s="84"/>
      <c r="G8" s="84">
        <v>8349204</v>
      </c>
      <c r="H8" s="84"/>
      <c r="I8" s="84">
        <v>6470862</v>
      </c>
      <c r="J8" s="84"/>
      <c r="K8" s="84">
        <v>11751759</v>
      </c>
      <c r="L8" s="84"/>
      <c r="M8" s="84">
        <v>15614142</v>
      </c>
      <c r="N8" s="84"/>
      <c r="O8" s="84">
        <v>0</v>
      </c>
      <c r="P8" s="84"/>
      <c r="Q8" s="84">
        <v>1321786</v>
      </c>
      <c r="R8" s="84"/>
      <c r="S8" s="84">
        <v>30801</v>
      </c>
      <c r="T8" s="84"/>
      <c r="U8" s="84">
        <v>5337507</v>
      </c>
      <c r="V8" s="84"/>
      <c r="W8" s="84">
        <v>43000</v>
      </c>
      <c r="X8" s="84"/>
      <c r="Y8" s="84">
        <v>10147841</v>
      </c>
      <c r="Z8" s="84"/>
      <c r="AA8" s="84">
        <v>1146098</v>
      </c>
      <c r="AB8" s="84"/>
      <c r="AC8" s="85">
        <f>SUM(C8:AA8)</f>
        <v>79153737</v>
      </c>
      <c r="AD8" s="85"/>
      <c r="AE8" s="86">
        <f>SUM(C8:S8)</f>
        <v>62479291</v>
      </c>
      <c r="AF8" s="16"/>
      <c r="AG8" s="67">
        <v>311013</v>
      </c>
      <c r="AH8" s="106"/>
      <c r="AI8" s="106">
        <v>33547947</v>
      </c>
      <c r="AJ8" s="106"/>
      <c r="AK8" s="106"/>
      <c r="AL8" s="106"/>
      <c r="AM8" s="106">
        <f>+'Gov Fd Rv'!Q8+'Gov Fd Rv'!S8-'Gov Fnd Exp'!AC8-AG8+'Gov Fd Rv'!U8+AI8+AK8-'Gov Fd BS'!O11</f>
        <v>0</v>
      </c>
    </row>
    <row r="9" spans="1:39" ht="12.75">
      <c r="A9" s="28" t="s">
        <v>14</v>
      </c>
      <c r="B9" s="28"/>
      <c r="C9" s="84">
        <v>4614741</v>
      </c>
      <c r="D9" s="84"/>
      <c r="E9" s="84">
        <v>1678920</v>
      </c>
      <c r="F9" s="84"/>
      <c r="G9" s="84">
        <f>4791984+85910</f>
        <v>4877894</v>
      </c>
      <c r="H9" s="84"/>
      <c r="I9" s="84">
        <v>4156685</v>
      </c>
      <c r="J9" s="84"/>
      <c r="K9" s="84">
        <f>5252440+3777367+307006</f>
        <v>9336813</v>
      </c>
      <c r="L9" s="84"/>
      <c r="M9" s="84">
        <f>1229250+3368796+1431225</f>
        <v>6029271</v>
      </c>
      <c r="N9" s="84"/>
      <c r="O9" s="84">
        <v>0</v>
      </c>
      <c r="P9" s="84"/>
      <c r="Q9" s="84">
        <v>20000</v>
      </c>
      <c r="R9" s="84"/>
      <c r="S9" s="84">
        <v>270968</v>
      </c>
      <c r="T9" s="84"/>
      <c r="U9" s="84">
        <v>15251</v>
      </c>
      <c r="V9" s="84"/>
      <c r="W9" s="84">
        <v>355666</v>
      </c>
      <c r="X9" s="84"/>
      <c r="Y9" s="84">
        <v>714683</v>
      </c>
      <c r="Z9" s="84"/>
      <c r="AA9" s="84">
        <v>317513</v>
      </c>
      <c r="AB9" s="84"/>
      <c r="AC9" s="85">
        <f aca="true" t="shared" si="0" ref="AC9:AC72">SUM(C9:AA9)</f>
        <v>32388405</v>
      </c>
      <c r="AD9" s="85"/>
      <c r="AE9" s="86">
        <f aca="true" t="shared" si="1" ref="AE9:AE72">SUM(C9:S9)</f>
        <v>30985292</v>
      </c>
      <c r="AF9" s="19"/>
      <c r="AG9" s="67">
        <v>1806244</v>
      </c>
      <c r="AH9" s="106"/>
      <c r="AI9" s="106">
        <v>14104409</v>
      </c>
      <c r="AJ9" s="106"/>
      <c r="AK9" s="106"/>
      <c r="AL9" s="106"/>
      <c r="AM9" s="106">
        <f>+'Gov Fd Rv'!Q9+'Gov Fd Rv'!S9-'Gov Fnd Exp'!AC9-AG9+'Gov Fd Rv'!U9+AI9+AK9-'Gov Fd BS'!O12</f>
        <v>0</v>
      </c>
    </row>
    <row r="10" spans="1:39" ht="12.75">
      <c r="A10" s="28" t="s">
        <v>15</v>
      </c>
      <c r="B10" s="28"/>
      <c r="C10" s="84">
        <v>8466050</v>
      </c>
      <c r="D10" s="84"/>
      <c r="E10" s="84">
        <v>3829221</v>
      </c>
      <c r="F10" s="84"/>
      <c r="G10" s="84">
        <v>8133221</v>
      </c>
      <c r="H10" s="84"/>
      <c r="I10" s="84">
        <v>7672343</v>
      </c>
      <c r="J10" s="84"/>
      <c r="K10" s="84">
        <v>20586446</v>
      </c>
      <c r="L10" s="84"/>
      <c r="M10" s="84">
        <v>34428425</v>
      </c>
      <c r="N10" s="84"/>
      <c r="O10" s="84">
        <v>0</v>
      </c>
      <c r="P10" s="84"/>
      <c r="Q10" s="84">
        <v>366868</v>
      </c>
      <c r="R10" s="84"/>
      <c r="S10" s="84">
        <v>3781013</v>
      </c>
      <c r="T10" s="84"/>
      <c r="U10" s="84">
        <v>516028</v>
      </c>
      <c r="V10" s="84"/>
      <c r="W10" s="84">
        <v>0</v>
      </c>
      <c r="X10" s="84"/>
      <c r="Y10" s="84">
        <v>4790337</v>
      </c>
      <c r="Z10" s="84"/>
      <c r="AA10" s="84">
        <v>413402</v>
      </c>
      <c r="AB10" s="84"/>
      <c r="AC10" s="85">
        <f t="shared" si="0"/>
        <v>92983354</v>
      </c>
      <c r="AD10" s="85"/>
      <c r="AE10" s="86">
        <f t="shared" si="1"/>
        <v>87263587</v>
      </c>
      <c r="AF10" s="19"/>
      <c r="AG10" s="67">
        <v>2461027</v>
      </c>
      <c r="AH10" s="106"/>
      <c r="AI10" s="106">
        <v>27264217</v>
      </c>
      <c r="AJ10" s="106"/>
      <c r="AK10" s="106">
        <v>24778</v>
      </c>
      <c r="AL10" s="106"/>
      <c r="AM10" s="106">
        <f>+'Gov Fd Rv'!Q10+'Gov Fd Rv'!S10-'Gov Fnd Exp'!AC10-AG10+'Gov Fd Rv'!U10+AI10+AK10-'Gov Fd BS'!O13</f>
        <v>0</v>
      </c>
    </row>
    <row r="11" spans="1:39" ht="12.75">
      <c r="A11" s="28" t="s">
        <v>16</v>
      </c>
      <c r="B11" s="28"/>
      <c r="C11" s="84">
        <v>4460906</v>
      </c>
      <c r="D11" s="84"/>
      <c r="E11" s="84">
        <v>2479565</v>
      </c>
      <c r="F11" s="84"/>
      <c r="G11" s="84">
        <v>3854587</v>
      </c>
      <c r="H11" s="84"/>
      <c r="I11" s="84">
        <v>5587632</v>
      </c>
      <c r="J11" s="84"/>
      <c r="K11" s="84">
        <v>2325478</v>
      </c>
      <c r="L11" s="84"/>
      <c r="M11" s="84">
        <v>26477643</v>
      </c>
      <c r="N11" s="84"/>
      <c r="O11" s="84">
        <v>20873</v>
      </c>
      <c r="P11" s="84"/>
      <c r="Q11" s="84">
        <v>4950</v>
      </c>
      <c r="R11" s="84"/>
      <c r="S11" s="84">
        <v>0</v>
      </c>
      <c r="T11" s="84"/>
      <c r="U11" s="84">
        <v>973119</v>
      </c>
      <c r="V11" s="84"/>
      <c r="W11" s="84">
        <v>0</v>
      </c>
      <c r="X11" s="84"/>
      <c r="Y11" s="84">
        <v>451665</v>
      </c>
      <c r="Z11" s="84"/>
      <c r="AA11" s="84">
        <v>213491</v>
      </c>
      <c r="AB11" s="84"/>
      <c r="AC11" s="85">
        <f t="shared" si="0"/>
        <v>46849909</v>
      </c>
      <c r="AD11" s="85"/>
      <c r="AE11" s="86">
        <f t="shared" si="1"/>
        <v>45211634</v>
      </c>
      <c r="AF11" s="19"/>
      <c r="AG11" s="67">
        <v>1656089</v>
      </c>
      <c r="AH11" s="106"/>
      <c r="AI11" s="106">
        <v>14875377</v>
      </c>
      <c r="AJ11" s="106"/>
      <c r="AK11" s="106"/>
      <c r="AL11" s="106"/>
      <c r="AM11" s="106">
        <f>+'Gov Fd Rv'!Q11+'Gov Fd Rv'!S11-'Gov Fnd Exp'!AC11-AG11+'Gov Fd Rv'!U11+AI11+AK11-'Gov Fd BS'!O14</f>
        <v>0</v>
      </c>
    </row>
    <row r="12" spans="1:39" ht="12.75">
      <c r="A12" s="28" t="s">
        <v>17</v>
      </c>
      <c r="B12" s="28"/>
      <c r="C12" s="84">
        <v>3159962</v>
      </c>
      <c r="D12" s="84"/>
      <c r="E12" s="84">
        <v>1799364</v>
      </c>
      <c r="F12" s="84"/>
      <c r="G12" s="84">
        <v>4055638</v>
      </c>
      <c r="H12" s="84"/>
      <c r="I12" s="84">
        <v>4985050</v>
      </c>
      <c r="J12" s="84"/>
      <c r="K12" s="84">
        <v>4666632</v>
      </c>
      <c r="L12" s="84"/>
      <c r="M12" s="84">
        <v>3874210</v>
      </c>
      <c r="N12" s="84"/>
      <c r="O12" s="84">
        <v>0</v>
      </c>
      <c r="P12" s="84"/>
      <c r="Q12" s="84">
        <v>0</v>
      </c>
      <c r="R12" s="84"/>
      <c r="S12" s="84">
        <v>1114394</v>
      </c>
      <c r="T12" s="84"/>
      <c r="U12" s="84">
        <v>4223853</v>
      </c>
      <c r="V12" s="84"/>
      <c r="W12" s="84">
        <v>0</v>
      </c>
      <c r="X12" s="84"/>
      <c r="Y12" s="84">
        <v>987287</v>
      </c>
      <c r="Z12" s="84"/>
      <c r="AA12" s="84">
        <v>322544</v>
      </c>
      <c r="AB12" s="84"/>
      <c r="AC12" s="85">
        <f t="shared" si="0"/>
        <v>29188934</v>
      </c>
      <c r="AD12" s="85"/>
      <c r="AE12" s="86">
        <f t="shared" si="1"/>
        <v>23655250</v>
      </c>
      <c r="AF12" s="19"/>
      <c r="AG12" s="67">
        <f>524860+744000</f>
        <v>1268860</v>
      </c>
      <c r="AH12" s="106"/>
      <c r="AI12" s="106">
        <v>18224683</v>
      </c>
      <c r="AJ12" s="106"/>
      <c r="AK12" s="106"/>
      <c r="AL12" s="106"/>
      <c r="AM12" s="106">
        <f>+'Gov Fd Rv'!Q12+'Gov Fd Rv'!S12-'Gov Fnd Exp'!AC12-AG12+'Gov Fd Rv'!U12+AI12+AK12-'Gov Fd BS'!O15</f>
        <v>0</v>
      </c>
    </row>
    <row r="13" spans="1:39" ht="12.75">
      <c r="A13" s="28" t="s">
        <v>18</v>
      </c>
      <c r="B13" s="28"/>
      <c r="C13" s="84">
        <v>6083730</v>
      </c>
      <c r="D13" s="84"/>
      <c r="E13" s="84">
        <v>2788251</v>
      </c>
      <c r="F13" s="84"/>
      <c r="G13" s="84">
        <v>6776390</v>
      </c>
      <c r="H13" s="84"/>
      <c r="I13" s="84">
        <v>5558015</v>
      </c>
      <c r="J13" s="84"/>
      <c r="K13" s="84">
        <v>9490942</v>
      </c>
      <c r="L13" s="84"/>
      <c r="M13" s="84">
        <v>14669348</v>
      </c>
      <c r="N13" s="84"/>
      <c r="O13" s="84">
        <v>199388</v>
      </c>
      <c r="P13" s="84"/>
      <c r="Q13" s="84">
        <v>0</v>
      </c>
      <c r="R13" s="84"/>
      <c r="S13" s="84">
        <f>7385+42879</f>
        <v>50264</v>
      </c>
      <c r="T13" s="84"/>
      <c r="U13" s="84">
        <v>1396148</v>
      </c>
      <c r="V13" s="84"/>
      <c r="W13" s="84">
        <v>1951735</v>
      </c>
      <c r="X13" s="84"/>
      <c r="Y13" s="84">
        <v>982663</v>
      </c>
      <c r="Z13" s="84"/>
      <c r="AA13" s="84">
        <v>305738</v>
      </c>
      <c r="AB13" s="84"/>
      <c r="AC13" s="85">
        <f t="shared" si="0"/>
        <v>50252612</v>
      </c>
      <c r="AD13" s="85"/>
      <c r="AE13" s="86">
        <f t="shared" si="1"/>
        <v>45616328</v>
      </c>
      <c r="AF13" s="19"/>
      <c r="AG13" s="67">
        <f>3157+1732150+2771603</f>
        <v>4506910</v>
      </c>
      <c r="AH13" s="106"/>
      <c r="AI13" s="106">
        <v>23280571</v>
      </c>
      <c r="AJ13" s="106"/>
      <c r="AK13" s="106"/>
      <c r="AL13" s="106"/>
      <c r="AM13" s="106">
        <f>+'Gov Fd Rv'!Q13+'Gov Fd Rv'!S13-'Gov Fnd Exp'!AC13-AG13+'Gov Fd Rv'!U13+AI13+AK13-'Gov Fd BS'!O16</f>
        <v>0</v>
      </c>
    </row>
    <row r="14" spans="1:39" ht="12.75" hidden="1">
      <c r="A14" s="28" t="s">
        <v>97</v>
      </c>
      <c r="B14" s="28"/>
      <c r="C14" s="84">
        <v>0</v>
      </c>
      <c r="D14" s="84"/>
      <c r="E14" s="84">
        <v>0</v>
      </c>
      <c r="F14" s="84"/>
      <c r="G14" s="84">
        <v>0</v>
      </c>
      <c r="H14" s="84"/>
      <c r="I14" s="84">
        <v>0</v>
      </c>
      <c r="J14" s="84"/>
      <c r="K14" s="84">
        <v>0</v>
      </c>
      <c r="L14" s="84"/>
      <c r="M14" s="84">
        <v>0</v>
      </c>
      <c r="N14" s="84"/>
      <c r="O14" s="84">
        <v>0</v>
      </c>
      <c r="P14" s="84"/>
      <c r="Q14" s="84">
        <v>0</v>
      </c>
      <c r="R14" s="84"/>
      <c r="S14" s="84">
        <v>0</v>
      </c>
      <c r="T14" s="84"/>
      <c r="U14" s="84">
        <v>0</v>
      </c>
      <c r="V14" s="84"/>
      <c r="W14" s="84">
        <v>0</v>
      </c>
      <c r="X14" s="84"/>
      <c r="Y14" s="84">
        <v>0</v>
      </c>
      <c r="Z14" s="84"/>
      <c r="AA14" s="84">
        <v>0</v>
      </c>
      <c r="AB14" s="84"/>
      <c r="AC14" s="85">
        <f t="shared" si="0"/>
        <v>0</v>
      </c>
      <c r="AD14" s="85"/>
      <c r="AE14" s="86">
        <f t="shared" si="1"/>
        <v>0</v>
      </c>
      <c r="AF14" s="19"/>
      <c r="AG14" s="67"/>
      <c r="AH14" s="106"/>
      <c r="AI14" s="106"/>
      <c r="AJ14" s="106"/>
      <c r="AK14" s="106"/>
      <c r="AL14" s="106"/>
      <c r="AM14" s="106">
        <f>+'Gov Fd Rv'!Q14+'Gov Fd Rv'!S14-'Gov Fnd Exp'!AC14-AG14+'Gov Fd Rv'!U14+AI14+AK14-'Gov Fd BS'!O18</f>
        <v>-44234760</v>
      </c>
    </row>
    <row r="15" spans="1:39" ht="12.75">
      <c r="A15" s="28" t="s">
        <v>19</v>
      </c>
      <c r="B15" s="28"/>
      <c r="C15" s="84">
        <v>27389325</v>
      </c>
      <c r="D15" s="84"/>
      <c r="E15" s="84">
        <v>12417152</v>
      </c>
      <c r="F15" s="84"/>
      <c r="G15" s="84">
        <v>33995976</v>
      </c>
      <c r="H15" s="84"/>
      <c r="I15" s="84">
        <v>16723691</v>
      </c>
      <c r="J15" s="84"/>
      <c r="K15" s="84">
        <v>47016129</v>
      </c>
      <c r="L15" s="84"/>
      <c r="M15" s="84">
        <v>68945768</v>
      </c>
      <c r="N15" s="84"/>
      <c r="O15" s="84">
        <v>0</v>
      </c>
      <c r="P15" s="84"/>
      <c r="Q15" s="84">
        <v>531971</v>
      </c>
      <c r="R15" s="84"/>
      <c r="S15" s="84">
        <v>0</v>
      </c>
      <c r="T15" s="84"/>
      <c r="U15" s="84">
        <v>2864741</v>
      </c>
      <c r="V15" s="84"/>
      <c r="W15" s="84">
        <v>0</v>
      </c>
      <c r="X15" s="84"/>
      <c r="Y15" s="84">
        <v>14895447</v>
      </c>
      <c r="Z15" s="84"/>
      <c r="AA15" s="84">
        <v>4892067</v>
      </c>
      <c r="AB15" s="84"/>
      <c r="AC15" s="85">
        <f t="shared" si="0"/>
        <v>229672267</v>
      </c>
      <c r="AD15" s="85"/>
      <c r="AE15" s="86">
        <f t="shared" si="1"/>
        <v>207020012</v>
      </c>
      <c r="AF15" s="19"/>
      <c r="AG15" s="67">
        <v>6123489</v>
      </c>
      <c r="AH15" s="106"/>
      <c r="AI15" s="106">
        <v>43273367</v>
      </c>
      <c r="AJ15" s="106"/>
      <c r="AK15" s="106">
        <v>54256</v>
      </c>
      <c r="AL15" s="106"/>
      <c r="AM15" s="106">
        <f>+'Gov Fd Rv'!Q15+'Gov Fd Rv'!S15-'Gov Fnd Exp'!AC15-AG15+'Gov Fd Rv'!U15+AI15+AK15-'Gov Fd BS'!O18</f>
        <v>0</v>
      </c>
    </row>
    <row r="16" spans="1:39" ht="12.75">
      <c r="A16" s="28" t="s">
        <v>20</v>
      </c>
      <c r="B16" s="28"/>
      <c r="C16" s="84">
        <v>2667802</v>
      </c>
      <c r="D16" s="84"/>
      <c r="E16" s="84">
        <v>814526</v>
      </c>
      <c r="F16" s="84"/>
      <c r="G16" s="84">
        <v>2199489</v>
      </c>
      <c r="H16" s="84"/>
      <c r="I16" s="84">
        <v>3151217</v>
      </c>
      <c r="J16" s="84"/>
      <c r="K16" s="84">
        <v>3646623</v>
      </c>
      <c r="L16" s="84"/>
      <c r="M16" s="84">
        <v>4784676</v>
      </c>
      <c r="N16" s="84"/>
      <c r="O16" s="84">
        <f>307456+350001</f>
        <v>657457</v>
      </c>
      <c r="P16" s="84"/>
      <c r="Q16" s="84">
        <v>0</v>
      </c>
      <c r="R16" s="84"/>
      <c r="S16" s="84">
        <v>667224</v>
      </c>
      <c r="T16" s="84"/>
      <c r="U16" s="84">
        <v>447111</v>
      </c>
      <c r="V16" s="84"/>
      <c r="W16" s="84">
        <v>0</v>
      </c>
      <c r="X16" s="84"/>
      <c r="Y16" s="84">
        <v>138179</v>
      </c>
      <c r="Z16" s="84"/>
      <c r="AA16" s="84">
        <v>29360</v>
      </c>
      <c r="AB16" s="84"/>
      <c r="AC16" s="85">
        <f t="shared" si="0"/>
        <v>19203664</v>
      </c>
      <c r="AD16" s="85"/>
      <c r="AE16" s="86">
        <f t="shared" si="1"/>
        <v>18589014</v>
      </c>
      <c r="AF16" s="19"/>
      <c r="AG16" s="67">
        <v>310207</v>
      </c>
      <c r="AH16" s="106"/>
      <c r="AI16" s="106">
        <v>3952499</v>
      </c>
      <c r="AJ16" s="106"/>
      <c r="AK16" s="106"/>
      <c r="AL16" s="106"/>
      <c r="AM16" s="106">
        <f>+'Gov Fd Rv'!Q16+'Gov Fd Rv'!S16-'Gov Fnd Exp'!AC16-AG16+'Gov Fd Rv'!U16+AI16+AK16-'Gov Fd BS'!O19</f>
        <v>0</v>
      </c>
    </row>
    <row r="17" spans="1:39" ht="12.75" hidden="1">
      <c r="A17" s="26" t="s">
        <v>182</v>
      </c>
      <c r="B17" s="26"/>
      <c r="C17" s="84">
        <v>0</v>
      </c>
      <c r="D17" s="84"/>
      <c r="E17" s="84">
        <v>0</v>
      </c>
      <c r="F17" s="84"/>
      <c r="G17" s="84">
        <v>0</v>
      </c>
      <c r="H17" s="84"/>
      <c r="I17" s="84">
        <v>0</v>
      </c>
      <c r="J17" s="84"/>
      <c r="K17" s="84">
        <v>0</v>
      </c>
      <c r="L17" s="84"/>
      <c r="M17" s="84">
        <v>0</v>
      </c>
      <c r="N17" s="84"/>
      <c r="O17" s="84">
        <v>0</v>
      </c>
      <c r="P17" s="84"/>
      <c r="Q17" s="84">
        <v>0</v>
      </c>
      <c r="R17" s="84"/>
      <c r="S17" s="84">
        <v>0</v>
      </c>
      <c r="T17" s="84"/>
      <c r="U17" s="84">
        <v>0</v>
      </c>
      <c r="V17" s="84"/>
      <c r="W17" s="84">
        <v>0</v>
      </c>
      <c r="X17" s="84"/>
      <c r="Y17" s="84">
        <v>0</v>
      </c>
      <c r="Z17" s="84"/>
      <c r="AA17" s="84">
        <v>0</v>
      </c>
      <c r="AB17" s="84"/>
      <c r="AC17" s="85">
        <f t="shared" si="0"/>
        <v>0</v>
      </c>
      <c r="AD17" s="85"/>
      <c r="AE17" s="86">
        <f t="shared" si="1"/>
        <v>0</v>
      </c>
      <c r="AF17" s="19"/>
      <c r="AG17" s="67"/>
      <c r="AH17" s="106"/>
      <c r="AI17" s="106"/>
      <c r="AJ17" s="106"/>
      <c r="AK17" s="106"/>
      <c r="AL17" s="106"/>
      <c r="AM17" s="106">
        <f>+'Gov Fd Rv'!Q17+'Gov Fd Rv'!S17-'Gov Fnd Exp'!AC17-AG17+'Gov Fd Rv'!U17+AI17+AK17-'Gov Fd BS'!O20</f>
        <v>0</v>
      </c>
    </row>
    <row r="18" spans="1:39" ht="12.75">
      <c r="A18" s="28" t="s">
        <v>21</v>
      </c>
      <c r="B18" s="28"/>
      <c r="C18" s="84">
        <v>5531086</v>
      </c>
      <c r="D18" s="84"/>
      <c r="E18" s="84">
        <v>7842437</v>
      </c>
      <c r="F18" s="84"/>
      <c r="G18" s="84">
        <v>14754897</v>
      </c>
      <c r="H18" s="84"/>
      <c r="I18" s="84">
        <v>10255824</v>
      </c>
      <c r="J18" s="84"/>
      <c r="K18" s="84">
        <v>21382052</v>
      </c>
      <c r="L18" s="84"/>
      <c r="M18" s="84">
        <v>40743409</v>
      </c>
      <c r="N18" s="84"/>
      <c r="O18" s="84">
        <v>0</v>
      </c>
      <c r="P18" s="84"/>
      <c r="Q18" s="84">
        <v>2596084</v>
      </c>
      <c r="R18" s="84"/>
      <c r="S18" s="84">
        <v>0</v>
      </c>
      <c r="T18" s="84"/>
      <c r="U18" s="84">
        <v>5450282</v>
      </c>
      <c r="V18" s="84"/>
      <c r="W18" s="84">
        <v>0</v>
      </c>
      <c r="X18" s="84"/>
      <c r="Y18" s="84">
        <v>765000</v>
      </c>
      <c r="Z18" s="84"/>
      <c r="AA18" s="84">
        <v>418355</v>
      </c>
      <c r="AB18" s="84"/>
      <c r="AC18" s="85">
        <f t="shared" si="0"/>
        <v>109739426</v>
      </c>
      <c r="AD18" s="85"/>
      <c r="AE18" s="86">
        <f t="shared" si="1"/>
        <v>103105789</v>
      </c>
      <c r="AF18" s="19"/>
      <c r="AG18" s="67">
        <f>5290824+1987477</f>
        <v>7278301</v>
      </c>
      <c r="AH18" s="106"/>
      <c r="AI18" s="106">
        <v>22666359</v>
      </c>
      <c r="AJ18" s="106"/>
      <c r="AK18" s="106"/>
      <c r="AL18" s="106"/>
      <c r="AM18" s="106">
        <f>+'Gov Fd Rv'!Q18+'Gov Fd Rv'!S18-'Gov Fnd Exp'!AC18-AG18+'Gov Fd Rv'!U18+AI18+AK18-'Gov Fd BS'!O21</f>
        <v>0</v>
      </c>
    </row>
    <row r="19" spans="1:39" ht="12.75">
      <c r="A19" s="28" t="s">
        <v>193</v>
      </c>
      <c r="B19" s="36"/>
      <c r="C19" s="84">
        <v>16249761</v>
      </c>
      <c r="D19" s="84"/>
      <c r="E19" s="84">
        <v>8052886</v>
      </c>
      <c r="F19" s="84"/>
      <c r="G19" s="84">
        <v>22345014</v>
      </c>
      <c r="H19" s="84"/>
      <c r="I19" s="84">
        <v>10534697</v>
      </c>
      <c r="J19" s="84"/>
      <c r="K19" s="84">
        <v>818670</v>
      </c>
      <c r="L19" s="84"/>
      <c r="M19" s="84">
        <v>29793456</v>
      </c>
      <c r="N19" s="84"/>
      <c r="O19" s="84">
        <v>45377</v>
      </c>
      <c r="P19" s="84"/>
      <c r="Q19" s="84">
        <v>0</v>
      </c>
      <c r="R19" s="84"/>
      <c r="S19" s="84">
        <f>1788971+162438</f>
        <v>1951409</v>
      </c>
      <c r="T19" s="84"/>
      <c r="U19" s="84">
        <v>14961652</v>
      </c>
      <c r="V19" s="84"/>
      <c r="W19" s="84">
        <v>2229214</v>
      </c>
      <c r="X19" s="84"/>
      <c r="Y19" s="84">
        <v>3825876</v>
      </c>
      <c r="Z19" s="84"/>
      <c r="AA19" s="84">
        <v>2097899</v>
      </c>
      <c r="AB19" s="84"/>
      <c r="AC19" s="85">
        <f t="shared" si="0"/>
        <v>112905911</v>
      </c>
      <c r="AD19" s="85"/>
      <c r="AE19" s="86">
        <f t="shared" si="1"/>
        <v>89791270</v>
      </c>
      <c r="AF19" s="19"/>
      <c r="AG19" s="67">
        <f>13330500+10604882</f>
        <v>23935382</v>
      </c>
      <c r="AH19" s="106"/>
      <c r="AI19" s="106">
        <v>64191911</v>
      </c>
      <c r="AJ19" s="106"/>
      <c r="AK19" s="106"/>
      <c r="AL19" s="106"/>
      <c r="AM19" s="106">
        <f>+'Gov Fd Rv'!Q19+'Gov Fd Rv'!S19-'Gov Fnd Exp'!AC19-AG19+'Gov Fd Rv'!U19+AI19+AK19-'Gov Fd BS'!O22</f>
        <v>0</v>
      </c>
    </row>
    <row r="20" spans="1:39" ht="12.75">
      <c r="A20" s="28" t="s">
        <v>22</v>
      </c>
      <c r="B20" s="28"/>
      <c r="C20" s="84">
        <v>5311523</v>
      </c>
      <c r="D20" s="84"/>
      <c r="E20" s="84">
        <v>2355579</v>
      </c>
      <c r="F20" s="84"/>
      <c r="G20" s="84">
        <v>3319636</v>
      </c>
      <c r="H20" s="84"/>
      <c r="I20" s="84">
        <v>4836309</v>
      </c>
      <c r="J20" s="84"/>
      <c r="K20" s="84">
        <v>3398096</v>
      </c>
      <c r="L20" s="84"/>
      <c r="M20" s="84">
        <v>8713056</v>
      </c>
      <c r="N20" s="84"/>
      <c r="O20" s="84">
        <v>592902</v>
      </c>
      <c r="P20" s="84"/>
      <c r="Q20" s="84">
        <v>0</v>
      </c>
      <c r="R20" s="84"/>
      <c r="S20" s="84">
        <v>662429</v>
      </c>
      <c r="T20" s="84"/>
      <c r="U20" s="84">
        <v>1645281</v>
      </c>
      <c r="V20" s="84"/>
      <c r="W20" s="84">
        <v>0</v>
      </c>
      <c r="X20" s="84"/>
      <c r="Y20" s="84">
        <v>293096</v>
      </c>
      <c r="Z20" s="84"/>
      <c r="AA20" s="84">
        <v>384861</v>
      </c>
      <c r="AB20" s="84"/>
      <c r="AC20" s="85">
        <f t="shared" si="0"/>
        <v>31512768</v>
      </c>
      <c r="AD20" s="85"/>
      <c r="AE20" s="86">
        <f t="shared" si="1"/>
        <v>29189530</v>
      </c>
      <c r="AF20" s="19"/>
      <c r="AG20" s="67">
        <v>393395</v>
      </c>
      <c r="AH20" s="106"/>
      <c r="AI20" s="106">
        <v>4451982</v>
      </c>
      <c r="AJ20" s="106"/>
      <c r="AK20" s="106"/>
      <c r="AL20" s="106"/>
      <c r="AM20" s="106">
        <f>+'Gov Fd Rv'!Q20+'Gov Fd Rv'!S20-'Gov Fnd Exp'!AC20-AG20+'Gov Fd Rv'!U20+AI20+AK20-'Gov Fd BS'!O23</f>
        <v>0</v>
      </c>
    </row>
    <row r="21" spans="1:39" ht="12.75" hidden="1">
      <c r="A21" s="28" t="s">
        <v>23</v>
      </c>
      <c r="B21" s="28"/>
      <c r="C21" s="84">
        <v>0</v>
      </c>
      <c r="D21" s="84"/>
      <c r="E21" s="84">
        <v>0</v>
      </c>
      <c r="F21" s="84"/>
      <c r="G21" s="84">
        <v>0</v>
      </c>
      <c r="H21" s="84"/>
      <c r="I21" s="84">
        <v>0</v>
      </c>
      <c r="J21" s="84"/>
      <c r="K21" s="84">
        <v>0</v>
      </c>
      <c r="L21" s="84"/>
      <c r="M21" s="84">
        <v>0</v>
      </c>
      <c r="N21" s="84"/>
      <c r="O21" s="84">
        <v>0</v>
      </c>
      <c r="P21" s="84"/>
      <c r="Q21" s="84">
        <v>0</v>
      </c>
      <c r="R21" s="84"/>
      <c r="S21" s="84">
        <v>0</v>
      </c>
      <c r="T21" s="84"/>
      <c r="U21" s="84">
        <v>0</v>
      </c>
      <c r="V21" s="84"/>
      <c r="W21" s="84">
        <v>0</v>
      </c>
      <c r="X21" s="84"/>
      <c r="Y21" s="84">
        <v>0</v>
      </c>
      <c r="Z21" s="84"/>
      <c r="AA21" s="84">
        <v>0</v>
      </c>
      <c r="AB21" s="84"/>
      <c r="AC21" s="85">
        <f t="shared" si="0"/>
        <v>0</v>
      </c>
      <c r="AD21" s="85"/>
      <c r="AE21" s="86">
        <f t="shared" si="1"/>
        <v>0</v>
      </c>
      <c r="AF21" s="19"/>
      <c r="AG21" s="67"/>
      <c r="AH21" s="106"/>
      <c r="AI21" s="106"/>
      <c r="AJ21" s="106"/>
      <c r="AK21" s="106"/>
      <c r="AL21" s="106"/>
      <c r="AM21" s="106">
        <f>+'Gov Fd Rv'!Q21+'Gov Fd Rv'!S21-'Gov Fnd Exp'!AC21-AG21+'Gov Fd Rv'!U21+AI21+AK21-'Gov Fd BS'!O24</f>
        <v>0</v>
      </c>
    </row>
    <row r="22" spans="1:39" ht="12.75" hidden="1">
      <c r="A22" s="28" t="s">
        <v>24</v>
      </c>
      <c r="B22" s="36"/>
      <c r="C22" s="84">
        <v>0</v>
      </c>
      <c r="D22" s="84"/>
      <c r="E22" s="84">
        <v>0</v>
      </c>
      <c r="F22" s="84"/>
      <c r="G22" s="84">
        <v>0</v>
      </c>
      <c r="H22" s="84"/>
      <c r="I22" s="84">
        <v>0</v>
      </c>
      <c r="J22" s="84"/>
      <c r="K22" s="84">
        <v>0</v>
      </c>
      <c r="L22" s="84"/>
      <c r="M22" s="84">
        <v>0</v>
      </c>
      <c r="N22" s="84"/>
      <c r="O22" s="84">
        <v>0</v>
      </c>
      <c r="P22" s="84"/>
      <c r="Q22" s="84">
        <v>0</v>
      </c>
      <c r="R22" s="84"/>
      <c r="S22" s="84">
        <v>0</v>
      </c>
      <c r="T22" s="84"/>
      <c r="U22" s="84">
        <v>0</v>
      </c>
      <c r="V22" s="84"/>
      <c r="W22" s="84">
        <v>0</v>
      </c>
      <c r="X22" s="84"/>
      <c r="Y22" s="84">
        <v>0</v>
      </c>
      <c r="Z22" s="84"/>
      <c r="AA22" s="84">
        <v>0</v>
      </c>
      <c r="AB22" s="84"/>
      <c r="AC22" s="85">
        <f t="shared" si="0"/>
        <v>0</v>
      </c>
      <c r="AD22" s="85"/>
      <c r="AE22" s="86">
        <f t="shared" si="1"/>
        <v>0</v>
      </c>
      <c r="AF22" s="19"/>
      <c r="AG22" s="67"/>
      <c r="AH22" s="106"/>
      <c r="AI22" s="106"/>
      <c r="AJ22" s="106"/>
      <c r="AK22" s="106"/>
      <c r="AL22" s="106"/>
      <c r="AM22" s="106">
        <f>+'Gov Fd Rv'!Q22+'Gov Fd Rv'!S22-'Gov Fnd Exp'!AC22-AG22+'Gov Fd Rv'!U22+AI22+AK22-'Gov Fd BS'!O25</f>
        <v>0</v>
      </c>
    </row>
    <row r="23" spans="1:39" ht="12.75">
      <c r="A23" s="28" t="s">
        <v>191</v>
      </c>
      <c r="B23" s="28"/>
      <c r="C23" s="84">
        <v>3539192</v>
      </c>
      <c r="D23" s="84"/>
      <c r="E23" s="84">
        <v>2285795</v>
      </c>
      <c r="F23" s="84"/>
      <c r="G23" s="84">
        <v>5216477</v>
      </c>
      <c r="H23" s="84"/>
      <c r="I23" s="84">
        <v>3937247</v>
      </c>
      <c r="J23" s="84"/>
      <c r="K23" s="84">
        <v>4734580</v>
      </c>
      <c r="L23" s="84"/>
      <c r="M23" s="84">
        <v>9948115</v>
      </c>
      <c r="N23" s="84"/>
      <c r="O23" s="84">
        <v>0</v>
      </c>
      <c r="P23" s="84"/>
      <c r="Q23" s="84">
        <v>0</v>
      </c>
      <c r="R23" s="84"/>
      <c r="S23" s="84">
        <v>0</v>
      </c>
      <c r="T23" s="84"/>
      <c r="U23" s="84">
        <v>2510501</v>
      </c>
      <c r="V23" s="84"/>
      <c r="W23" s="84">
        <v>479034</v>
      </c>
      <c r="X23" s="84"/>
      <c r="Y23" s="84">
        <v>383373</v>
      </c>
      <c r="Z23" s="84"/>
      <c r="AA23" s="84">
        <v>510187</v>
      </c>
      <c r="AB23" s="84"/>
      <c r="AC23" s="85">
        <f t="shared" si="0"/>
        <v>33544501</v>
      </c>
      <c r="AD23" s="85"/>
      <c r="AE23" s="86">
        <f t="shared" si="1"/>
        <v>29661406</v>
      </c>
      <c r="AF23" s="19"/>
      <c r="AG23" s="67">
        <v>1529766</v>
      </c>
      <c r="AH23" s="106"/>
      <c r="AI23" s="106">
        <v>13422681</v>
      </c>
      <c r="AJ23" s="106"/>
      <c r="AK23" s="106"/>
      <c r="AL23" s="106"/>
      <c r="AM23" s="106">
        <f>+'Gov Fd Rv'!Q23+'Gov Fd Rv'!S23-'Gov Fnd Exp'!AC23-AG23+'Gov Fd Rv'!U23+AI23+AK23-'Gov Fd BS'!O26</f>
        <v>0</v>
      </c>
    </row>
    <row r="24" spans="1:39" ht="12.75">
      <c r="A24" s="28" t="s">
        <v>25</v>
      </c>
      <c r="B24" s="28"/>
      <c r="C24" s="84">
        <v>59843</v>
      </c>
      <c r="D24" s="84"/>
      <c r="E24" s="84">
        <v>273222</v>
      </c>
      <c r="F24" s="84"/>
      <c r="G24" s="106">
        <v>0</v>
      </c>
      <c r="H24" s="84"/>
      <c r="I24" s="84">
        <f>56540+579203</f>
        <v>635743</v>
      </c>
      <c r="J24" s="84"/>
      <c r="K24" s="84">
        <v>152903</v>
      </c>
      <c r="L24" s="84"/>
      <c r="M24" s="84">
        <v>0</v>
      </c>
      <c r="N24" s="84"/>
      <c r="O24" s="84">
        <v>26011</v>
      </c>
      <c r="P24" s="84"/>
      <c r="Q24" s="84">
        <v>0</v>
      </c>
      <c r="R24" s="84"/>
      <c r="S24" s="84">
        <v>0</v>
      </c>
      <c r="T24" s="84"/>
      <c r="U24" s="84">
        <v>39317</v>
      </c>
      <c r="V24" s="84"/>
      <c r="W24" s="84">
        <v>0</v>
      </c>
      <c r="X24" s="84"/>
      <c r="Y24" s="84">
        <v>36199</v>
      </c>
      <c r="Z24" s="84"/>
      <c r="AA24" s="84">
        <v>13371</v>
      </c>
      <c r="AB24" s="84"/>
      <c r="AC24" s="85">
        <f t="shared" si="0"/>
        <v>1236609</v>
      </c>
      <c r="AD24" s="85"/>
      <c r="AE24" s="86">
        <f t="shared" si="1"/>
        <v>1147722</v>
      </c>
      <c r="AF24" s="19"/>
      <c r="AG24" s="67">
        <f>7592+142322</f>
        <v>149914</v>
      </c>
      <c r="AH24" s="106"/>
      <c r="AI24" s="106">
        <v>235945</v>
      </c>
      <c r="AJ24" s="106"/>
      <c r="AK24" s="106"/>
      <c r="AL24" s="106"/>
      <c r="AM24" s="106">
        <f>+'Gov Fd Rv'!Q24+'Gov Fd Rv'!S24-'Gov Fnd Exp'!AC24-AG24+'Gov Fd Rv'!U24+AI24+AK24-'Gov Fd BS'!O27</f>
        <v>0</v>
      </c>
    </row>
    <row r="25" spans="1:39" ht="12.75">
      <c r="A25" s="28" t="s">
        <v>26</v>
      </c>
      <c r="B25" s="28"/>
      <c r="C25" s="84">
        <v>0</v>
      </c>
      <c r="D25" s="84"/>
      <c r="E25" s="84">
        <v>0</v>
      </c>
      <c r="F25" s="84"/>
      <c r="G25" s="84">
        <v>3455059</v>
      </c>
      <c r="H25" s="84"/>
      <c r="I25" s="84">
        <v>4034679</v>
      </c>
      <c r="J25" s="84"/>
      <c r="K25" s="84">
        <v>228698</v>
      </c>
      <c r="L25" s="84"/>
      <c r="M25" s="84">
        <v>9871547</v>
      </c>
      <c r="N25" s="84"/>
      <c r="O25" s="84">
        <v>626129</v>
      </c>
      <c r="P25" s="84"/>
      <c r="Q25" s="84">
        <v>0</v>
      </c>
      <c r="R25" s="84"/>
      <c r="S25" s="84">
        <v>6644245</v>
      </c>
      <c r="T25" s="84"/>
      <c r="U25" s="84">
        <v>242208</v>
      </c>
      <c r="V25" s="84"/>
      <c r="W25" s="84">
        <v>0</v>
      </c>
      <c r="X25" s="84"/>
      <c r="Y25" s="84">
        <v>46970</v>
      </c>
      <c r="Z25" s="84"/>
      <c r="AA25" s="84">
        <v>529603</v>
      </c>
      <c r="AB25" s="84"/>
      <c r="AC25" s="85">
        <f t="shared" si="0"/>
        <v>25679138</v>
      </c>
      <c r="AD25" s="85"/>
      <c r="AE25" s="86">
        <f t="shared" si="1"/>
        <v>24860357</v>
      </c>
      <c r="AF25" s="19"/>
      <c r="AG25" s="67">
        <v>2075145</v>
      </c>
      <c r="AH25" s="106"/>
      <c r="AI25" s="106">
        <v>7859978</v>
      </c>
      <c r="AJ25" s="106"/>
      <c r="AK25" s="106">
        <v>-53922</v>
      </c>
      <c r="AL25" s="106"/>
      <c r="AM25" s="106">
        <f>+'Gov Fd Rv'!Q25+'Gov Fd Rv'!S25-'Gov Fnd Exp'!AC25-AG25+'Gov Fd Rv'!U25+AI25+AK25-'Gov Fd BS'!O28</f>
        <v>0</v>
      </c>
    </row>
    <row r="26" spans="1:39" ht="12.75">
      <c r="A26" s="28" t="s">
        <v>27</v>
      </c>
      <c r="B26" s="36"/>
      <c r="C26" s="84">
        <v>3843849</v>
      </c>
      <c r="D26" s="84"/>
      <c r="E26" s="84">
        <v>1501370</v>
      </c>
      <c r="F26" s="84"/>
      <c r="G26" s="84">
        <f>1645036+502296+2120362</f>
        <v>4267694</v>
      </c>
      <c r="H26" s="84"/>
      <c r="I26" s="84">
        <f>3303289+602668</f>
        <v>3905957</v>
      </c>
      <c r="J26" s="84"/>
      <c r="K26" s="84">
        <f>3658769+114501</f>
        <v>3773270</v>
      </c>
      <c r="L26" s="84"/>
      <c r="M26" s="84">
        <f>2969052+503922+757485+1210759+346835</f>
        <v>5788053</v>
      </c>
      <c r="N26" s="84"/>
      <c r="O26" s="84">
        <v>28435</v>
      </c>
      <c r="P26" s="84"/>
      <c r="Q26" s="84">
        <v>56200</v>
      </c>
      <c r="R26" s="84"/>
      <c r="S26" s="84">
        <v>1241154</v>
      </c>
      <c r="T26" s="84"/>
      <c r="U26" s="84">
        <v>5140514</v>
      </c>
      <c r="V26" s="84"/>
      <c r="W26" s="84">
        <v>0</v>
      </c>
      <c r="X26" s="84"/>
      <c r="Y26" s="84">
        <v>482470</v>
      </c>
      <c r="Z26" s="84"/>
      <c r="AA26" s="84">
        <v>228367</v>
      </c>
      <c r="AB26" s="84"/>
      <c r="AC26" s="85">
        <f t="shared" si="0"/>
        <v>30257333</v>
      </c>
      <c r="AD26" s="85"/>
      <c r="AE26" s="86">
        <f t="shared" si="1"/>
        <v>24405982</v>
      </c>
      <c r="AF26" s="19"/>
      <c r="AG26" s="67">
        <v>1623862</v>
      </c>
      <c r="AH26" s="106"/>
      <c r="AI26" s="106">
        <v>22093865</v>
      </c>
      <c r="AJ26" s="106"/>
      <c r="AK26" s="106"/>
      <c r="AL26" s="106"/>
      <c r="AM26" s="106">
        <f>+'Gov Fd Rv'!Q26+'Gov Fd Rv'!S26-'Gov Fnd Exp'!AC26-AG26+'Gov Fd Rv'!U26+AI26+AK26-'Gov Fd BS'!O29</f>
        <v>0</v>
      </c>
    </row>
    <row r="27" spans="1:39" ht="12.75">
      <c r="A27" s="28" t="s">
        <v>28</v>
      </c>
      <c r="B27" s="28"/>
      <c r="C27" s="84">
        <v>12416710</v>
      </c>
      <c r="D27" s="84"/>
      <c r="E27" s="84">
        <v>6180438</v>
      </c>
      <c r="F27" s="84"/>
      <c r="G27" s="84">
        <v>21468067</v>
      </c>
      <c r="H27" s="84"/>
      <c r="I27" s="84">
        <v>22710802</v>
      </c>
      <c r="J27" s="84"/>
      <c r="K27" s="84">
        <v>11150524</v>
      </c>
      <c r="L27" s="84"/>
      <c r="M27" s="84">
        <v>10057277</v>
      </c>
      <c r="N27" s="84"/>
      <c r="O27" s="84">
        <v>0</v>
      </c>
      <c r="P27" s="84"/>
      <c r="Q27" s="84">
        <v>0</v>
      </c>
      <c r="R27" s="84"/>
      <c r="S27" s="84">
        <v>113451</v>
      </c>
      <c r="T27" s="84"/>
      <c r="U27" s="84">
        <v>3966025</v>
      </c>
      <c r="V27" s="84"/>
      <c r="W27" s="84">
        <v>713669</v>
      </c>
      <c r="X27" s="84"/>
      <c r="Y27" s="84">
        <v>600000</v>
      </c>
      <c r="Z27" s="84"/>
      <c r="AA27" s="84">
        <v>1184368</v>
      </c>
      <c r="AB27" s="84"/>
      <c r="AC27" s="85">
        <f t="shared" si="0"/>
        <v>90561331</v>
      </c>
      <c r="AD27" s="85"/>
      <c r="AE27" s="86">
        <f t="shared" si="1"/>
        <v>84097269</v>
      </c>
      <c r="AF27" s="19"/>
      <c r="AG27" s="67">
        <v>4416806</v>
      </c>
      <c r="AH27" s="106"/>
      <c r="AI27" s="106">
        <v>58528118</v>
      </c>
      <c r="AJ27" s="106"/>
      <c r="AK27" s="106"/>
      <c r="AL27" s="106"/>
      <c r="AM27" s="106">
        <f>+'Gov Fd Rv'!Q27+'Gov Fd Rv'!S27-'Gov Fnd Exp'!AC27-AG27+'Gov Fd Rv'!U27+AI27+AK27-'Gov Fd BS'!O30</f>
        <v>0</v>
      </c>
    </row>
    <row r="28" spans="1:39" ht="12.75">
      <c r="A28" s="28" t="s">
        <v>29</v>
      </c>
      <c r="B28" s="28"/>
      <c r="C28" s="84">
        <v>9242439</v>
      </c>
      <c r="D28" s="84"/>
      <c r="E28" s="84">
        <v>4098885</v>
      </c>
      <c r="F28" s="84"/>
      <c r="G28" s="84">
        <v>9628541</v>
      </c>
      <c r="H28" s="84"/>
      <c r="I28" s="84">
        <v>4285703</v>
      </c>
      <c r="J28" s="84"/>
      <c r="K28" s="84">
        <v>7239228</v>
      </c>
      <c r="L28" s="84"/>
      <c r="M28" s="84">
        <v>14378824</v>
      </c>
      <c r="N28" s="84"/>
      <c r="O28" s="84">
        <v>603759</v>
      </c>
      <c r="P28" s="84"/>
      <c r="Q28" s="84">
        <v>366444</v>
      </c>
      <c r="R28" s="84"/>
      <c r="S28" s="84">
        <v>1619823</v>
      </c>
      <c r="T28" s="84"/>
      <c r="U28" s="84">
        <v>1707902</v>
      </c>
      <c r="V28" s="84"/>
      <c r="W28" s="84">
        <v>0</v>
      </c>
      <c r="X28" s="84"/>
      <c r="Y28" s="84">
        <v>1025925</v>
      </c>
      <c r="Z28" s="84"/>
      <c r="AA28" s="84">
        <v>649554</v>
      </c>
      <c r="AB28" s="84"/>
      <c r="AC28" s="85">
        <f t="shared" si="0"/>
        <v>54847027</v>
      </c>
      <c r="AD28" s="85"/>
      <c r="AE28" s="86">
        <f t="shared" si="1"/>
        <v>51463646</v>
      </c>
      <c r="AF28" s="19"/>
      <c r="AG28" s="67">
        <v>4612549</v>
      </c>
      <c r="AH28" s="106"/>
      <c r="AI28" s="106">
        <v>20689257</v>
      </c>
      <c r="AJ28" s="106"/>
      <c r="AK28" s="106">
        <v>7245</v>
      </c>
      <c r="AL28" s="106"/>
      <c r="AM28" s="106">
        <f>+'Gov Fd Rv'!Q28+'Gov Fd Rv'!S28-'Gov Fnd Exp'!AC28-AG28+'Gov Fd Rv'!U28+AI28+AK28-'Gov Fd BS'!O31</f>
        <v>0</v>
      </c>
    </row>
    <row r="29" spans="1:39" ht="12.75">
      <c r="A29" s="28" t="s">
        <v>30</v>
      </c>
      <c r="B29" s="28"/>
      <c r="C29" s="84">
        <v>9159276</v>
      </c>
      <c r="D29" s="84"/>
      <c r="E29" s="84">
        <v>5015337</v>
      </c>
      <c r="F29" s="84"/>
      <c r="G29" s="84">
        <v>12431906</v>
      </c>
      <c r="H29" s="84"/>
      <c r="I29" s="84">
        <v>7695997</v>
      </c>
      <c r="J29" s="84"/>
      <c r="K29" s="84">
        <v>16364307</v>
      </c>
      <c r="L29" s="84"/>
      <c r="M29" s="84">
        <v>17235756</v>
      </c>
      <c r="N29" s="84"/>
      <c r="O29" s="84">
        <v>118036</v>
      </c>
      <c r="P29" s="84"/>
      <c r="Q29" s="84">
        <v>0</v>
      </c>
      <c r="R29" s="84"/>
      <c r="S29" s="84">
        <f>1070194+147818+202863</f>
        <v>1420875</v>
      </c>
      <c r="T29" s="84"/>
      <c r="U29" s="84">
        <v>11146471</v>
      </c>
      <c r="V29" s="84"/>
      <c r="W29" s="84">
        <v>1680673</v>
      </c>
      <c r="X29" s="84"/>
      <c r="Y29" s="84">
        <v>12309709</v>
      </c>
      <c r="Z29" s="84"/>
      <c r="AA29" s="84">
        <v>1053482</v>
      </c>
      <c r="AB29" s="84"/>
      <c r="AC29" s="85">
        <f t="shared" si="0"/>
        <v>95631825</v>
      </c>
      <c r="AD29" s="85"/>
      <c r="AE29" s="86">
        <f t="shared" si="1"/>
        <v>69441490</v>
      </c>
      <c r="AF29" s="19"/>
      <c r="AG29" s="67">
        <v>8809556</v>
      </c>
      <c r="AH29" s="106"/>
      <c r="AI29" s="106">
        <v>39365486</v>
      </c>
      <c r="AJ29" s="106"/>
      <c r="AK29" s="106"/>
      <c r="AL29" s="106"/>
      <c r="AM29" s="106">
        <f>+'Gov Fd Rv'!Q29+'Gov Fd Rv'!S29-'Gov Fnd Exp'!AC29-AG29+'Gov Fd Rv'!U29+AI29+AK29-'Gov Fd BS'!O32</f>
        <v>0</v>
      </c>
    </row>
    <row r="30" spans="1:39" ht="12.75" hidden="1">
      <c r="A30" s="28" t="s">
        <v>31</v>
      </c>
      <c r="B30" s="28"/>
      <c r="C30" s="84">
        <v>0</v>
      </c>
      <c r="D30" s="84"/>
      <c r="E30" s="84">
        <v>0</v>
      </c>
      <c r="F30" s="84"/>
      <c r="G30" s="84">
        <v>0</v>
      </c>
      <c r="H30" s="84"/>
      <c r="I30" s="84">
        <v>0</v>
      </c>
      <c r="J30" s="84"/>
      <c r="K30" s="84">
        <v>0</v>
      </c>
      <c r="L30" s="84"/>
      <c r="M30" s="84">
        <v>0</v>
      </c>
      <c r="N30" s="84"/>
      <c r="O30" s="84">
        <v>0</v>
      </c>
      <c r="P30" s="84"/>
      <c r="Q30" s="84">
        <v>0</v>
      </c>
      <c r="R30" s="84"/>
      <c r="S30" s="84">
        <v>0</v>
      </c>
      <c r="T30" s="84"/>
      <c r="U30" s="84">
        <v>0</v>
      </c>
      <c r="V30" s="84"/>
      <c r="W30" s="84">
        <v>0</v>
      </c>
      <c r="X30" s="84"/>
      <c r="Y30" s="84">
        <v>0</v>
      </c>
      <c r="Z30" s="84"/>
      <c r="AA30" s="84">
        <v>0</v>
      </c>
      <c r="AB30" s="84"/>
      <c r="AC30" s="85">
        <f t="shared" si="0"/>
        <v>0</v>
      </c>
      <c r="AD30" s="85"/>
      <c r="AE30" s="86">
        <f t="shared" si="1"/>
        <v>0</v>
      </c>
      <c r="AF30" s="19"/>
      <c r="AG30" s="67"/>
      <c r="AH30" s="106"/>
      <c r="AI30" s="106"/>
      <c r="AJ30" s="106"/>
      <c r="AK30" s="106"/>
      <c r="AL30" s="106"/>
      <c r="AM30" s="106">
        <f>+'Gov Fd Rv'!Q30+'Gov Fd Rv'!S30-'Gov Fnd Exp'!AC30-AG30+'Gov Fd Rv'!U30+AI30+AK30-'Gov Fd BS'!O33</f>
        <v>0</v>
      </c>
    </row>
    <row r="31" spans="1:39" ht="12.75">
      <c r="A31" s="28" t="s">
        <v>32</v>
      </c>
      <c r="B31" s="28"/>
      <c r="C31" s="84">
        <v>76651</v>
      </c>
      <c r="D31" s="84"/>
      <c r="E31" s="84">
        <v>62662</v>
      </c>
      <c r="F31" s="84"/>
      <c r="G31" s="84">
        <v>109799</v>
      </c>
      <c r="H31" s="84"/>
      <c r="I31" s="84">
        <v>47945</v>
      </c>
      <c r="J31" s="84"/>
      <c r="K31" s="84">
        <v>249010</v>
      </c>
      <c r="L31" s="84"/>
      <c r="M31" s="84">
        <v>324661</v>
      </c>
      <c r="N31" s="84"/>
      <c r="O31" s="84">
        <v>5489</v>
      </c>
      <c r="P31" s="84"/>
      <c r="Q31" s="84">
        <v>14023</v>
      </c>
      <c r="R31" s="84"/>
      <c r="S31" s="84">
        <v>170</v>
      </c>
      <c r="T31" s="84"/>
      <c r="U31" s="84">
        <v>5407</v>
      </c>
      <c r="V31" s="84"/>
      <c r="W31" s="84">
        <v>7753</v>
      </c>
      <c r="X31" s="84"/>
      <c r="Y31" s="84">
        <v>8992</v>
      </c>
      <c r="Z31" s="84"/>
      <c r="AA31" s="84">
        <v>8015</v>
      </c>
      <c r="AB31" s="84"/>
      <c r="AC31" s="85">
        <f t="shared" si="0"/>
        <v>920577</v>
      </c>
      <c r="AD31" s="85"/>
      <c r="AE31" s="86">
        <f t="shared" si="1"/>
        <v>890410</v>
      </c>
      <c r="AF31" s="19"/>
      <c r="AG31" s="67">
        <f>33364+56520+1071</f>
        <v>90955</v>
      </c>
      <c r="AH31" s="106"/>
      <c r="AI31" s="106">
        <v>399079</v>
      </c>
      <c r="AJ31" s="106"/>
      <c r="AK31" s="106"/>
      <c r="AL31" s="106"/>
      <c r="AM31" s="106">
        <f>+'Gov Fd Rv'!Q31+'Gov Fd Rv'!S31-'Gov Fnd Exp'!AC31-AG31+'Gov Fd Rv'!U31+AI31+AK31-'Gov Fd BS'!O34</f>
        <v>0</v>
      </c>
    </row>
    <row r="32" spans="1:39" ht="12.75">
      <c r="A32" s="28" t="s">
        <v>33</v>
      </c>
      <c r="B32" s="28"/>
      <c r="C32" s="84">
        <v>3751373</v>
      </c>
      <c r="D32" s="84"/>
      <c r="E32" s="84">
        <v>1373323</v>
      </c>
      <c r="F32" s="84"/>
      <c r="G32" s="84">
        <v>5653052</v>
      </c>
      <c r="H32" s="84"/>
      <c r="I32" s="84">
        <v>4009757</v>
      </c>
      <c r="J32" s="84"/>
      <c r="K32" s="84">
        <v>4402416</v>
      </c>
      <c r="L32" s="84"/>
      <c r="M32" s="84">
        <v>5643253</v>
      </c>
      <c r="N32" s="84"/>
      <c r="O32" s="84">
        <v>1106346</v>
      </c>
      <c r="P32" s="84"/>
      <c r="Q32" s="84">
        <v>0</v>
      </c>
      <c r="R32" s="84"/>
      <c r="S32" s="84">
        <v>1031956</v>
      </c>
      <c r="T32" s="84"/>
      <c r="U32" s="84">
        <v>820857</v>
      </c>
      <c r="V32" s="84"/>
      <c r="W32" s="84">
        <v>829936</v>
      </c>
      <c r="X32" s="84"/>
      <c r="Y32" s="84">
        <v>1083061</v>
      </c>
      <c r="Z32" s="84"/>
      <c r="AA32" s="84">
        <v>83432</v>
      </c>
      <c r="AB32" s="84"/>
      <c r="AC32" s="85">
        <f t="shared" si="0"/>
        <v>29788762</v>
      </c>
      <c r="AD32" s="85"/>
      <c r="AE32" s="86">
        <f t="shared" si="1"/>
        <v>26971476</v>
      </c>
      <c r="AF32" s="19"/>
      <c r="AG32" s="67">
        <v>1366394</v>
      </c>
      <c r="AH32" s="106"/>
      <c r="AI32" s="106">
        <v>15181895</v>
      </c>
      <c r="AJ32" s="106"/>
      <c r="AK32" s="106"/>
      <c r="AL32" s="106"/>
      <c r="AM32" s="106">
        <f>+'Gov Fd Rv'!Q32+'Gov Fd Rv'!S32-'Gov Fnd Exp'!AC32-AG32+'Gov Fd Rv'!U32+AI32+AK32-'Gov Fd BS'!O35</f>
        <v>0</v>
      </c>
    </row>
    <row r="33" spans="1:39" ht="12.75">
      <c r="A33" s="28" t="s">
        <v>34</v>
      </c>
      <c r="B33" s="28"/>
      <c r="C33" s="84">
        <v>2264198</v>
      </c>
      <c r="D33" s="84"/>
      <c r="E33" s="84">
        <v>1099673</v>
      </c>
      <c r="F33" s="84"/>
      <c r="G33" s="84">
        <v>3626574</v>
      </c>
      <c r="H33" s="84"/>
      <c r="I33" s="84">
        <v>4689813</v>
      </c>
      <c r="J33" s="84"/>
      <c r="K33" s="84">
        <v>3184384</v>
      </c>
      <c r="L33" s="84"/>
      <c r="M33" s="84">
        <v>9353743</v>
      </c>
      <c r="N33" s="84"/>
      <c r="O33" s="84">
        <v>595593</v>
      </c>
      <c r="P33" s="84"/>
      <c r="Q33" s="84">
        <v>163915</v>
      </c>
      <c r="R33" s="84"/>
      <c r="S33" s="84">
        <v>806686</v>
      </c>
      <c r="T33" s="84"/>
      <c r="U33" s="84">
        <v>380227</v>
      </c>
      <c r="V33" s="84"/>
      <c r="W33" s="84">
        <v>0</v>
      </c>
      <c r="X33" s="84"/>
      <c r="Y33" s="84">
        <v>658904</v>
      </c>
      <c r="Z33" s="84"/>
      <c r="AA33" s="84">
        <v>50666</v>
      </c>
      <c r="AB33" s="84"/>
      <c r="AC33" s="85">
        <f t="shared" si="0"/>
        <v>26874376</v>
      </c>
      <c r="AD33" s="85"/>
      <c r="AE33" s="86">
        <f t="shared" si="1"/>
        <v>25784579</v>
      </c>
      <c r="AF33" s="19"/>
      <c r="AG33" s="67">
        <v>1057982</v>
      </c>
      <c r="AH33" s="106"/>
      <c r="AI33" s="106">
        <v>6061021</v>
      </c>
      <c r="AJ33" s="106"/>
      <c r="AK33" s="106"/>
      <c r="AL33" s="106"/>
      <c r="AM33" s="106">
        <f>+'Gov Fd Rv'!Q33+'Gov Fd Rv'!S33-'Gov Fnd Exp'!AC33-AG33+'Gov Fd Rv'!U33+AI33+AK33-'Gov Fd BS'!O36</f>
        <v>0</v>
      </c>
    </row>
    <row r="34" spans="1:39" ht="12.75">
      <c r="A34" s="28" t="s">
        <v>35</v>
      </c>
      <c r="B34" s="28"/>
      <c r="C34" s="84">
        <v>6969337</v>
      </c>
      <c r="D34" s="84"/>
      <c r="E34" s="84">
        <v>2841281</v>
      </c>
      <c r="F34" s="84"/>
      <c r="G34" s="84">
        <v>8588402</v>
      </c>
      <c r="H34" s="84"/>
      <c r="I34" s="84">
        <v>5841588</v>
      </c>
      <c r="J34" s="84"/>
      <c r="K34" s="84">
        <v>4938674</v>
      </c>
      <c r="L34" s="84"/>
      <c r="M34" s="84">
        <v>25694079</v>
      </c>
      <c r="N34" s="84"/>
      <c r="O34" s="84">
        <v>33851</v>
      </c>
      <c r="P34" s="84"/>
      <c r="Q34" s="84">
        <v>0</v>
      </c>
      <c r="R34" s="84"/>
      <c r="S34" s="84">
        <v>1185359</v>
      </c>
      <c r="T34" s="84"/>
      <c r="U34" s="84">
        <v>9192980</v>
      </c>
      <c r="V34" s="84"/>
      <c r="W34" s="84">
        <v>612019</v>
      </c>
      <c r="X34" s="84"/>
      <c r="Y34" s="84">
        <v>1831099</v>
      </c>
      <c r="Z34" s="84"/>
      <c r="AA34" s="84">
        <v>384915</v>
      </c>
      <c r="AB34" s="84"/>
      <c r="AC34" s="85">
        <f t="shared" si="0"/>
        <v>68113584</v>
      </c>
      <c r="AD34" s="85"/>
      <c r="AE34" s="86">
        <f t="shared" si="1"/>
        <v>56092571</v>
      </c>
      <c r="AF34" s="19"/>
      <c r="AG34" s="67">
        <v>4698582</v>
      </c>
      <c r="AH34" s="106"/>
      <c r="AI34" s="106">
        <v>23098370</v>
      </c>
      <c r="AJ34" s="106"/>
      <c r="AK34" s="106"/>
      <c r="AL34" s="106"/>
      <c r="AM34" s="106">
        <f>+'Gov Fd Rv'!Q34+'Gov Fd Rv'!S34-'Gov Fnd Exp'!AC34-AG34+'Gov Fd Rv'!U34+AI34+AK34-'Gov Fd BS'!O37</f>
        <v>0</v>
      </c>
    </row>
    <row r="35" spans="1:39" ht="12.75">
      <c r="A35" s="28" t="s">
        <v>194</v>
      </c>
      <c r="B35" s="28"/>
      <c r="C35" s="84">
        <v>14254333</v>
      </c>
      <c r="D35" s="84"/>
      <c r="E35" s="84">
        <v>6538988</v>
      </c>
      <c r="F35" s="84"/>
      <c r="G35" s="84">
        <v>19778182</v>
      </c>
      <c r="H35" s="84"/>
      <c r="I35" s="84">
        <v>8578513</v>
      </c>
      <c r="J35" s="84"/>
      <c r="K35" s="84">
        <v>14011329</v>
      </c>
      <c r="L35" s="84"/>
      <c r="M35" s="84">
        <v>25000966</v>
      </c>
      <c r="N35" s="84"/>
      <c r="O35" s="84">
        <v>1555931</v>
      </c>
      <c r="P35" s="84"/>
      <c r="Q35" s="84">
        <v>2787712</v>
      </c>
      <c r="R35" s="84"/>
      <c r="S35" s="84">
        <v>0</v>
      </c>
      <c r="T35" s="84"/>
      <c r="U35" s="84">
        <v>1768697</v>
      </c>
      <c r="V35" s="84"/>
      <c r="W35" s="84">
        <v>0</v>
      </c>
      <c r="X35" s="84"/>
      <c r="Y35" s="84">
        <v>803926</v>
      </c>
      <c r="Z35" s="84"/>
      <c r="AA35" s="84">
        <v>914602</v>
      </c>
      <c r="AB35" s="84"/>
      <c r="AC35" s="85">
        <f t="shared" si="0"/>
        <v>95993179</v>
      </c>
      <c r="AD35" s="85"/>
      <c r="AE35" s="86">
        <f t="shared" si="1"/>
        <v>92505954</v>
      </c>
      <c r="AF35" s="19"/>
      <c r="AG35" s="67">
        <v>4081940</v>
      </c>
      <c r="AH35" s="106"/>
      <c r="AI35" s="106">
        <v>30320729</v>
      </c>
      <c r="AJ35" s="106"/>
      <c r="AK35" s="106"/>
      <c r="AL35" s="106"/>
      <c r="AM35" s="106">
        <f>+'Gov Fd Rv'!Q35+'Gov Fd Rv'!S35-'Gov Fnd Exp'!AC35-AG35+'Gov Fd Rv'!U35+AI35+AK35-'Gov Fd BS'!O38</f>
        <v>0</v>
      </c>
    </row>
    <row r="36" spans="1:39" ht="12.75">
      <c r="A36" s="28" t="s">
        <v>36</v>
      </c>
      <c r="B36" s="28"/>
      <c r="C36" s="84">
        <v>8142674</v>
      </c>
      <c r="D36" s="84"/>
      <c r="E36" s="84">
        <v>2580675</v>
      </c>
      <c r="F36" s="84"/>
      <c r="G36" s="84">
        <v>3213412</v>
      </c>
      <c r="H36" s="84"/>
      <c r="I36" s="84">
        <v>6802661</v>
      </c>
      <c r="J36" s="84"/>
      <c r="K36" s="84">
        <v>5422742</v>
      </c>
      <c r="L36" s="84"/>
      <c r="M36" s="84">
        <v>11903996</v>
      </c>
      <c r="N36" s="84"/>
      <c r="O36" s="84">
        <v>780820</v>
      </c>
      <c r="P36" s="84"/>
      <c r="Q36" s="84">
        <v>0</v>
      </c>
      <c r="R36" s="84"/>
      <c r="S36" s="84">
        <f>316608+267394</f>
        <v>584002</v>
      </c>
      <c r="T36" s="84"/>
      <c r="U36" s="84">
        <v>511876</v>
      </c>
      <c r="V36" s="84"/>
      <c r="W36" s="84">
        <v>282219</v>
      </c>
      <c r="X36" s="84"/>
      <c r="Y36" s="84">
        <v>4270654</v>
      </c>
      <c r="Z36" s="84"/>
      <c r="AA36" s="84">
        <v>356966</v>
      </c>
      <c r="AB36" s="84"/>
      <c r="AC36" s="85">
        <f t="shared" si="0"/>
        <v>44852697</v>
      </c>
      <c r="AD36" s="85"/>
      <c r="AE36" s="86">
        <f t="shared" si="1"/>
        <v>39430982</v>
      </c>
      <c r="AF36" s="19"/>
      <c r="AG36" s="67">
        <f>4919262+1530091</f>
        <v>6449353</v>
      </c>
      <c r="AH36" s="106"/>
      <c r="AI36" s="106">
        <v>15623360</v>
      </c>
      <c r="AJ36" s="106"/>
      <c r="AK36" s="106"/>
      <c r="AL36" s="106"/>
      <c r="AM36" s="106">
        <f>+'Gov Fd Rv'!Q36+'Gov Fd Rv'!S36-'Gov Fnd Exp'!AC36-AG36+'Gov Fd Rv'!U36+AI36+AK36-'Gov Fd BS'!O39</f>
        <v>0</v>
      </c>
    </row>
    <row r="37" spans="1:39" ht="12.75">
      <c r="A37" s="28" t="s">
        <v>37</v>
      </c>
      <c r="B37" s="28"/>
      <c r="C37" s="84">
        <v>57062</v>
      </c>
      <c r="D37" s="84"/>
      <c r="E37" s="84">
        <v>114561</v>
      </c>
      <c r="F37" s="84"/>
      <c r="G37" s="84">
        <v>99528</v>
      </c>
      <c r="H37" s="84"/>
      <c r="I37" s="84">
        <v>34802</v>
      </c>
      <c r="J37" s="84"/>
      <c r="K37" s="84">
        <v>234699</v>
      </c>
      <c r="L37" s="84"/>
      <c r="M37" s="84">
        <v>320475</v>
      </c>
      <c r="N37" s="84"/>
      <c r="O37" s="84">
        <v>25282</v>
      </c>
      <c r="P37" s="84"/>
      <c r="Q37" s="84">
        <v>6482</v>
      </c>
      <c r="R37" s="84"/>
      <c r="S37" s="84">
        <f>6903</f>
        <v>6903</v>
      </c>
      <c r="T37" s="84"/>
      <c r="U37" s="84">
        <v>4658</v>
      </c>
      <c r="V37" s="84"/>
      <c r="W37" s="84">
        <v>0</v>
      </c>
      <c r="X37" s="84"/>
      <c r="Y37" s="84">
        <v>11820</v>
      </c>
      <c r="Z37" s="84"/>
      <c r="AA37" s="84">
        <f>8212+8</f>
        <v>8220</v>
      </c>
      <c r="AB37" s="84"/>
      <c r="AC37" s="85">
        <f t="shared" si="0"/>
        <v>924492</v>
      </c>
      <c r="AD37" s="85"/>
      <c r="AE37" s="86">
        <f t="shared" si="1"/>
        <v>899794</v>
      </c>
      <c r="AF37" s="19"/>
      <c r="AG37" s="67">
        <v>35228</v>
      </c>
      <c r="AH37" s="106"/>
      <c r="AI37" s="106">
        <v>287510</v>
      </c>
      <c r="AJ37" s="106"/>
      <c r="AK37" s="106"/>
      <c r="AL37" s="106"/>
      <c r="AM37" s="106">
        <f>+'Gov Fd Rv'!Q37+'Gov Fd Rv'!S37-'Gov Fnd Exp'!AC37-AG37+'Gov Fd Rv'!U37+AI37+AK37-'Gov Fd BS'!O40</f>
        <v>0</v>
      </c>
    </row>
    <row r="38" spans="1:39" ht="12.75">
      <c r="A38" s="28" t="s">
        <v>38</v>
      </c>
      <c r="B38" s="28"/>
      <c r="C38" s="84">
        <v>5202985</v>
      </c>
      <c r="D38" s="84"/>
      <c r="E38" s="84">
        <v>2783272</v>
      </c>
      <c r="F38" s="84"/>
      <c r="G38" s="84">
        <v>6188494</v>
      </c>
      <c r="H38" s="84"/>
      <c r="I38" s="84">
        <v>3978102</v>
      </c>
      <c r="J38" s="84"/>
      <c r="K38" s="84">
        <v>14001281</v>
      </c>
      <c r="L38" s="84"/>
      <c r="M38" s="84">
        <v>9177482</v>
      </c>
      <c r="N38" s="84"/>
      <c r="O38" s="84">
        <v>373065</v>
      </c>
      <c r="P38" s="84"/>
      <c r="Q38" s="84">
        <v>0</v>
      </c>
      <c r="R38" s="84"/>
      <c r="S38" s="84">
        <v>0</v>
      </c>
      <c r="T38" s="84"/>
      <c r="U38" s="84">
        <v>3937488</v>
      </c>
      <c r="V38" s="84"/>
      <c r="W38" s="84">
        <v>374166</v>
      </c>
      <c r="X38" s="84"/>
      <c r="Y38" s="84">
        <v>1316684</v>
      </c>
      <c r="Z38" s="84"/>
      <c r="AA38" s="84">
        <v>810268</v>
      </c>
      <c r="AB38" s="84"/>
      <c r="AC38" s="85">
        <f t="shared" si="0"/>
        <v>48143287</v>
      </c>
      <c r="AD38" s="85"/>
      <c r="AE38" s="86">
        <f t="shared" si="1"/>
        <v>41704681</v>
      </c>
      <c r="AF38" s="19"/>
      <c r="AG38" s="67">
        <v>175464</v>
      </c>
      <c r="AH38" s="106"/>
      <c r="AI38" s="106">
        <v>10420800</v>
      </c>
      <c r="AJ38" s="106"/>
      <c r="AK38" s="106"/>
      <c r="AL38" s="106"/>
      <c r="AM38" s="106">
        <f>+'Gov Fd Rv'!Q38+'Gov Fd Rv'!S38-'Gov Fnd Exp'!AC38-AG38+'Gov Fd Rv'!U38+AI38+AK38-'Gov Fd BS'!O41</f>
        <v>0</v>
      </c>
    </row>
    <row r="39" spans="1:39" ht="12.75" hidden="1">
      <c r="A39" s="28" t="s">
        <v>178</v>
      </c>
      <c r="B39" s="28"/>
      <c r="C39" s="84">
        <v>0</v>
      </c>
      <c r="D39" s="84"/>
      <c r="E39" s="84">
        <v>0</v>
      </c>
      <c r="F39" s="84"/>
      <c r="G39" s="84">
        <v>0</v>
      </c>
      <c r="H39" s="84"/>
      <c r="I39" s="84">
        <v>0</v>
      </c>
      <c r="J39" s="84"/>
      <c r="K39" s="84">
        <v>0</v>
      </c>
      <c r="L39" s="84"/>
      <c r="M39" s="84">
        <v>0</v>
      </c>
      <c r="N39" s="84"/>
      <c r="O39" s="84">
        <v>0</v>
      </c>
      <c r="P39" s="84"/>
      <c r="Q39" s="84">
        <v>0</v>
      </c>
      <c r="R39" s="84"/>
      <c r="S39" s="84">
        <v>0</v>
      </c>
      <c r="T39" s="84"/>
      <c r="U39" s="84">
        <v>0</v>
      </c>
      <c r="V39" s="84"/>
      <c r="W39" s="84">
        <v>0</v>
      </c>
      <c r="X39" s="84"/>
      <c r="Y39" s="84">
        <v>0</v>
      </c>
      <c r="Z39" s="84"/>
      <c r="AA39" s="84">
        <v>0</v>
      </c>
      <c r="AB39" s="84"/>
      <c r="AC39" s="85">
        <f t="shared" si="0"/>
        <v>0</v>
      </c>
      <c r="AD39" s="85"/>
      <c r="AE39" s="86">
        <f t="shared" si="1"/>
        <v>0</v>
      </c>
      <c r="AF39" s="19"/>
      <c r="AG39" s="67"/>
      <c r="AH39" s="106"/>
      <c r="AI39" s="106"/>
      <c r="AJ39" s="106"/>
      <c r="AK39" s="106"/>
      <c r="AL39" s="106"/>
      <c r="AM39" s="106">
        <f>+'Gov Fd Rv'!Q39+'Gov Fd Rv'!S39-'Gov Fnd Exp'!AC39-AG39+'Gov Fd Rv'!U39+AI39+AK39-'Gov Fd BS'!O42</f>
        <v>0</v>
      </c>
    </row>
    <row r="40" spans="1:39" ht="12.75" hidden="1">
      <c r="A40" s="28" t="s">
        <v>39</v>
      </c>
      <c r="B40" s="28"/>
      <c r="C40" s="84">
        <v>0</v>
      </c>
      <c r="D40" s="84"/>
      <c r="E40" s="84">
        <v>0</v>
      </c>
      <c r="F40" s="84"/>
      <c r="G40" s="84">
        <v>0</v>
      </c>
      <c r="H40" s="84"/>
      <c r="I40" s="84">
        <v>0</v>
      </c>
      <c r="J40" s="84"/>
      <c r="K40" s="84">
        <v>0</v>
      </c>
      <c r="L40" s="84"/>
      <c r="M40" s="84">
        <v>0</v>
      </c>
      <c r="N40" s="84"/>
      <c r="O40" s="84">
        <v>0</v>
      </c>
      <c r="P40" s="84"/>
      <c r="Q40" s="84">
        <v>0</v>
      </c>
      <c r="R40" s="84"/>
      <c r="S40" s="84">
        <v>0</v>
      </c>
      <c r="T40" s="84"/>
      <c r="U40" s="84">
        <v>0</v>
      </c>
      <c r="V40" s="84"/>
      <c r="W40" s="84">
        <v>0</v>
      </c>
      <c r="X40" s="84"/>
      <c r="Y40" s="84">
        <v>0</v>
      </c>
      <c r="Z40" s="84"/>
      <c r="AA40" s="84">
        <v>0</v>
      </c>
      <c r="AB40" s="84"/>
      <c r="AC40" s="85">
        <f t="shared" si="0"/>
        <v>0</v>
      </c>
      <c r="AD40" s="85"/>
      <c r="AE40" s="86">
        <f t="shared" si="1"/>
        <v>0</v>
      </c>
      <c r="AF40" s="19"/>
      <c r="AG40" s="67"/>
      <c r="AH40" s="106"/>
      <c r="AI40" s="106"/>
      <c r="AJ40" s="106"/>
      <c r="AK40" s="106"/>
      <c r="AL40" s="106"/>
      <c r="AM40" s="106">
        <f>+'Gov Fd Rv'!Q40+'Gov Fd Rv'!S40-'Gov Fnd Exp'!AC40-AG40+'Gov Fd Rv'!U40+AI40+AK40-'Gov Fd BS'!O43</f>
        <v>0</v>
      </c>
    </row>
    <row r="41" spans="1:39" ht="12.75">
      <c r="A41" s="28" t="s">
        <v>40</v>
      </c>
      <c r="B41" s="28"/>
      <c r="C41" s="84">
        <v>1997813</v>
      </c>
      <c r="D41" s="84"/>
      <c r="E41" s="84">
        <v>966261</v>
      </c>
      <c r="F41" s="84"/>
      <c r="G41" s="84">
        <v>2176227</v>
      </c>
      <c r="H41" s="84"/>
      <c r="I41" s="84">
        <v>3990406</v>
      </c>
      <c r="J41" s="84"/>
      <c r="K41" s="84">
        <v>1696137</v>
      </c>
      <c r="L41" s="84"/>
      <c r="M41" s="84">
        <v>11060049</v>
      </c>
      <c r="N41" s="84"/>
      <c r="O41" s="84">
        <v>465380</v>
      </c>
      <c r="P41" s="84"/>
      <c r="Q41" s="84">
        <v>0</v>
      </c>
      <c r="R41" s="84"/>
      <c r="S41" s="84">
        <v>1225218</v>
      </c>
      <c r="T41" s="84"/>
      <c r="U41" s="84">
        <v>3024201</v>
      </c>
      <c r="V41" s="84"/>
      <c r="W41" s="84">
        <v>0</v>
      </c>
      <c r="X41" s="84"/>
      <c r="Y41" s="84">
        <v>764915</v>
      </c>
      <c r="Z41" s="84"/>
      <c r="AA41" s="84">
        <v>213442</v>
      </c>
      <c r="AB41" s="84"/>
      <c r="AC41" s="85">
        <f t="shared" si="0"/>
        <v>27580049</v>
      </c>
      <c r="AD41" s="85"/>
      <c r="AE41" s="86">
        <f t="shared" si="1"/>
        <v>23577491</v>
      </c>
      <c r="AF41" s="19"/>
      <c r="AG41" s="67">
        <v>672445</v>
      </c>
      <c r="AH41" s="106"/>
      <c r="AI41" s="106">
        <v>12659437</v>
      </c>
      <c r="AJ41" s="106"/>
      <c r="AK41" s="106"/>
      <c r="AL41" s="106"/>
      <c r="AM41" s="106">
        <f>+'Gov Fd Rv'!Q41+'Gov Fd Rv'!S41-'Gov Fnd Exp'!AC41-AG41+'Gov Fd Rv'!U41+AI41+AK41-'Gov Fd BS'!O44</f>
        <v>0</v>
      </c>
    </row>
    <row r="42" spans="1:39" ht="12.75" hidden="1">
      <c r="A42" s="28" t="s">
        <v>41</v>
      </c>
      <c r="B42" s="28"/>
      <c r="C42" s="84">
        <v>0</v>
      </c>
      <c r="D42" s="84"/>
      <c r="E42" s="84">
        <v>0</v>
      </c>
      <c r="F42" s="84"/>
      <c r="G42" s="84">
        <v>0</v>
      </c>
      <c r="H42" s="84"/>
      <c r="I42" s="84">
        <v>0</v>
      </c>
      <c r="J42" s="84"/>
      <c r="K42" s="84">
        <v>0</v>
      </c>
      <c r="L42" s="84"/>
      <c r="M42" s="84">
        <v>0</v>
      </c>
      <c r="N42" s="84"/>
      <c r="O42" s="84">
        <v>0</v>
      </c>
      <c r="P42" s="84"/>
      <c r="Q42" s="84">
        <v>0</v>
      </c>
      <c r="R42" s="84"/>
      <c r="S42" s="84">
        <v>0</v>
      </c>
      <c r="T42" s="84"/>
      <c r="U42" s="84">
        <v>0</v>
      </c>
      <c r="V42" s="84"/>
      <c r="W42" s="84">
        <v>0</v>
      </c>
      <c r="X42" s="84"/>
      <c r="Y42" s="84">
        <v>0</v>
      </c>
      <c r="Z42" s="84"/>
      <c r="AA42" s="84">
        <v>0</v>
      </c>
      <c r="AB42" s="84"/>
      <c r="AC42" s="85">
        <f t="shared" si="0"/>
        <v>0</v>
      </c>
      <c r="AD42" s="85"/>
      <c r="AE42" s="86">
        <f t="shared" si="1"/>
        <v>0</v>
      </c>
      <c r="AF42" s="19"/>
      <c r="AG42" s="67"/>
      <c r="AH42" s="106"/>
      <c r="AI42" s="106"/>
      <c r="AJ42" s="106"/>
      <c r="AK42" s="106"/>
      <c r="AL42" s="106"/>
      <c r="AM42" s="106">
        <f>+'Gov Fd Rv'!Q42+'Gov Fd Rv'!S42-'Gov Fnd Exp'!AC42-AG42+'Gov Fd Rv'!U42+AI42+AK42-'Gov Fd BS'!O45</f>
        <v>0</v>
      </c>
    </row>
    <row r="43" spans="1:39" ht="12.75">
      <c r="A43" s="28" t="s">
        <v>42</v>
      </c>
      <c r="B43" s="28"/>
      <c r="C43" s="84">
        <v>2278657</v>
      </c>
      <c r="D43" s="84"/>
      <c r="E43" s="84">
        <v>1408370</v>
      </c>
      <c r="F43" s="84"/>
      <c r="G43" s="84">
        <v>2782780</v>
      </c>
      <c r="H43" s="84"/>
      <c r="I43" s="84">
        <v>4195857</v>
      </c>
      <c r="J43" s="84"/>
      <c r="K43" s="84">
        <v>3085436</v>
      </c>
      <c r="L43" s="84"/>
      <c r="M43" s="84">
        <v>7353022</v>
      </c>
      <c r="N43" s="84"/>
      <c r="O43" s="84">
        <v>377008</v>
      </c>
      <c r="P43" s="84"/>
      <c r="Q43" s="84">
        <v>212858</v>
      </c>
      <c r="R43" s="84"/>
      <c r="S43" s="84">
        <v>628015</v>
      </c>
      <c r="T43" s="84"/>
      <c r="U43" s="84">
        <v>308376</v>
      </c>
      <c r="V43" s="84"/>
      <c r="W43" s="84">
        <v>0</v>
      </c>
      <c r="X43" s="84"/>
      <c r="Y43" s="84">
        <v>191843</v>
      </c>
      <c r="Z43" s="84"/>
      <c r="AA43" s="84">
        <v>75717</v>
      </c>
      <c r="AB43" s="84"/>
      <c r="AC43" s="85">
        <f t="shared" si="0"/>
        <v>22897939</v>
      </c>
      <c r="AD43" s="85"/>
      <c r="AE43" s="86">
        <f t="shared" si="1"/>
        <v>22322003</v>
      </c>
      <c r="AF43" s="19"/>
      <c r="AG43" s="67">
        <v>0</v>
      </c>
      <c r="AH43" s="106"/>
      <c r="AI43" s="106">
        <v>8748703</v>
      </c>
      <c r="AJ43" s="106"/>
      <c r="AK43" s="106"/>
      <c r="AL43" s="106"/>
      <c r="AM43" s="106">
        <f>+'Gov Fd Rv'!Q43+'Gov Fd Rv'!S43-'Gov Fnd Exp'!AC43-AG43+'Gov Fd Rv'!U43+AI43+AK43-'Gov Fd BS'!O46</f>
        <v>0</v>
      </c>
    </row>
    <row r="44" spans="1:39" ht="12.75">
      <c r="A44" s="28" t="s">
        <v>43</v>
      </c>
      <c r="B44" s="28"/>
      <c r="C44" s="84">
        <v>3626437</v>
      </c>
      <c r="D44" s="84"/>
      <c r="E44" s="84">
        <v>1597405</v>
      </c>
      <c r="F44" s="84"/>
      <c r="G44" s="84">
        <v>4155483</v>
      </c>
      <c r="H44" s="84"/>
      <c r="I44" s="84">
        <v>4354476</v>
      </c>
      <c r="J44" s="84"/>
      <c r="K44" s="84">
        <v>153368</v>
      </c>
      <c r="L44" s="84"/>
      <c r="M44" s="84">
        <v>10811320</v>
      </c>
      <c r="N44" s="84"/>
      <c r="O44" s="84">
        <v>0</v>
      </c>
      <c r="P44" s="84"/>
      <c r="Q44" s="84">
        <v>416699</v>
      </c>
      <c r="R44" s="84"/>
      <c r="S44" s="84">
        <v>880</v>
      </c>
      <c r="T44" s="84"/>
      <c r="U44" s="84">
        <v>457006</v>
      </c>
      <c r="V44" s="84"/>
      <c r="W44" s="84">
        <v>220981</v>
      </c>
      <c r="X44" s="84"/>
      <c r="Y44" s="84">
        <v>283000</v>
      </c>
      <c r="Z44" s="84"/>
      <c r="AA44" s="84">
        <v>327215</v>
      </c>
      <c r="AB44" s="84"/>
      <c r="AC44" s="85">
        <f t="shared" si="0"/>
        <v>26404270</v>
      </c>
      <c r="AD44" s="85"/>
      <c r="AE44" s="86">
        <f t="shared" si="1"/>
        <v>25116068</v>
      </c>
      <c r="AF44" s="19"/>
      <c r="AG44" s="67">
        <v>1043469</v>
      </c>
      <c r="AH44" s="106"/>
      <c r="AI44" s="106">
        <v>10848482</v>
      </c>
      <c r="AJ44" s="106"/>
      <c r="AK44" s="106"/>
      <c r="AL44" s="106"/>
      <c r="AM44" s="106">
        <f>+'Gov Fd Rv'!Q44+'Gov Fd Rv'!S44-'Gov Fnd Exp'!AC44-AG44+'Gov Fd Rv'!U44+AI44+AK44-'Gov Fd BS'!O47</f>
        <v>0</v>
      </c>
    </row>
    <row r="45" spans="1:39" ht="12.75">
      <c r="A45" s="28" t="s">
        <v>44</v>
      </c>
      <c r="B45" s="28"/>
      <c r="C45" s="84">
        <v>5612014</v>
      </c>
      <c r="D45" s="84"/>
      <c r="E45" s="84">
        <v>1950587</v>
      </c>
      <c r="F45" s="84"/>
      <c r="G45" s="84">
        <v>5184246</v>
      </c>
      <c r="H45" s="84"/>
      <c r="I45" s="84">
        <v>4847608</v>
      </c>
      <c r="J45" s="84"/>
      <c r="K45" s="84">
        <v>6333951</v>
      </c>
      <c r="L45" s="84"/>
      <c r="M45" s="84">
        <v>12345865</v>
      </c>
      <c r="N45" s="84"/>
      <c r="O45" s="84">
        <v>0</v>
      </c>
      <c r="P45" s="84"/>
      <c r="Q45" s="84">
        <v>53965</v>
      </c>
      <c r="R45" s="84"/>
      <c r="S45" s="84">
        <v>431448</v>
      </c>
      <c r="T45" s="84"/>
      <c r="U45" s="84">
        <v>809042</v>
      </c>
      <c r="V45" s="84"/>
      <c r="W45" s="84">
        <v>0</v>
      </c>
      <c r="X45" s="84"/>
      <c r="Y45" s="84">
        <v>405000</v>
      </c>
      <c r="Z45" s="84"/>
      <c r="AA45" s="84">
        <v>425734</v>
      </c>
      <c r="AB45" s="84"/>
      <c r="AC45" s="85">
        <f t="shared" si="0"/>
        <v>38399460</v>
      </c>
      <c r="AD45" s="85"/>
      <c r="AE45" s="86">
        <f t="shared" si="1"/>
        <v>36759684</v>
      </c>
      <c r="AF45" s="19"/>
      <c r="AG45" s="67">
        <f>995364</f>
        <v>995364</v>
      </c>
      <c r="AH45" s="106"/>
      <c r="AI45" s="106">
        <v>15662139</v>
      </c>
      <c r="AJ45" s="106"/>
      <c r="AK45" s="106"/>
      <c r="AL45" s="106"/>
      <c r="AM45" s="106">
        <f>+'Gov Fd Rv'!Q45+'Gov Fd Rv'!S45-'Gov Fnd Exp'!AC45-AG45+'Gov Fd Rv'!U45+AI45+AK45-'Gov Fd BS'!O48</f>
        <v>0</v>
      </c>
    </row>
    <row r="46" spans="1:39" ht="12.75" hidden="1">
      <c r="A46" s="28" t="s">
        <v>45</v>
      </c>
      <c r="B46" s="28"/>
      <c r="C46" s="84">
        <v>0</v>
      </c>
      <c r="D46" s="84"/>
      <c r="E46" s="84">
        <v>0</v>
      </c>
      <c r="F46" s="84"/>
      <c r="G46" s="84">
        <v>0</v>
      </c>
      <c r="H46" s="84"/>
      <c r="I46" s="84">
        <v>0</v>
      </c>
      <c r="J46" s="84"/>
      <c r="K46" s="84">
        <v>0</v>
      </c>
      <c r="L46" s="84"/>
      <c r="M46" s="84">
        <v>0</v>
      </c>
      <c r="N46" s="84"/>
      <c r="O46" s="84">
        <v>0</v>
      </c>
      <c r="P46" s="84"/>
      <c r="Q46" s="84">
        <v>0</v>
      </c>
      <c r="R46" s="84"/>
      <c r="S46" s="84">
        <v>0</v>
      </c>
      <c r="T46" s="84"/>
      <c r="U46" s="84">
        <v>0</v>
      </c>
      <c r="V46" s="84"/>
      <c r="W46" s="84">
        <v>0</v>
      </c>
      <c r="X46" s="84"/>
      <c r="Y46" s="84">
        <v>0</v>
      </c>
      <c r="Z46" s="84"/>
      <c r="AA46" s="84">
        <v>0</v>
      </c>
      <c r="AB46" s="84"/>
      <c r="AC46" s="85">
        <f t="shared" si="0"/>
        <v>0</v>
      </c>
      <c r="AD46" s="85"/>
      <c r="AE46" s="86">
        <f t="shared" si="1"/>
        <v>0</v>
      </c>
      <c r="AF46" s="19"/>
      <c r="AG46" s="67"/>
      <c r="AH46" s="106"/>
      <c r="AI46" s="106"/>
      <c r="AJ46" s="106"/>
      <c r="AK46" s="106"/>
      <c r="AL46" s="106"/>
      <c r="AM46" s="106">
        <f>+'Gov Fd Rv'!Q46+'Gov Fd Rv'!S46-'Gov Fnd Exp'!AC46-AG46+'Gov Fd Rv'!U46+AI46+AK46-'Gov Fd BS'!O49</f>
        <v>0</v>
      </c>
    </row>
    <row r="47" spans="1:39" ht="12.75">
      <c r="A47" s="28" t="s">
        <v>46</v>
      </c>
      <c r="B47" s="28"/>
      <c r="C47" s="84">
        <v>5774973</v>
      </c>
      <c r="D47" s="84"/>
      <c r="E47" s="84">
        <v>3659596</v>
      </c>
      <c r="F47" s="84"/>
      <c r="G47" s="84">
        <v>9971821</v>
      </c>
      <c r="H47" s="84"/>
      <c r="I47" s="84">
        <v>5961808</v>
      </c>
      <c r="J47" s="84"/>
      <c r="K47" s="84">
        <v>16624321</v>
      </c>
      <c r="L47" s="84"/>
      <c r="M47" s="84">
        <v>17479547</v>
      </c>
      <c r="N47" s="84"/>
      <c r="O47" s="84">
        <v>1615646</v>
      </c>
      <c r="P47" s="84"/>
      <c r="Q47" s="84">
        <v>0</v>
      </c>
      <c r="R47" s="84"/>
      <c r="S47" s="84">
        <v>611041</v>
      </c>
      <c r="T47" s="84"/>
      <c r="U47" s="84">
        <v>1543423</v>
      </c>
      <c r="V47" s="84"/>
      <c r="W47" s="84">
        <v>293695</v>
      </c>
      <c r="X47" s="84"/>
      <c r="Y47" s="84">
        <v>2011626</v>
      </c>
      <c r="Z47" s="84"/>
      <c r="AA47" s="84">
        <v>1478910</v>
      </c>
      <c r="AB47" s="84"/>
      <c r="AC47" s="85">
        <f t="shared" si="0"/>
        <v>67026407</v>
      </c>
      <c r="AD47" s="85"/>
      <c r="AE47" s="86">
        <f t="shared" si="1"/>
        <v>61698753</v>
      </c>
      <c r="AF47" s="19"/>
      <c r="AG47" s="67">
        <v>2820449</v>
      </c>
      <c r="AH47" s="106"/>
      <c r="AI47" s="106">
        <v>8710393</v>
      </c>
      <c r="AJ47" s="106"/>
      <c r="AK47" s="106"/>
      <c r="AL47" s="106"/>
      <c r="AM47" s="106">
        <f>+'Gov Fd Rv'!Q47+'Gov Fd Rv'!S47-'Gov Fnd Exp'!AC47-AG47+'Gov Fd Rv'!U47+AI47+AK47-'Gov Fd BS'!O50</f>
        <v>0</v>
      </c>
    </row>
    <row r="48" spans="1:39" ht="12.75">
      <c r="A48" s="28" t="s">
        <v>47</v>
      </c>
      <c r="B48" s="36"/>
      <c r="C48" s="84">
        <v>5983455</v>
      </c>
      <c r="D48" s="84"/>
      <c r="E48" s="84">
        <v>1759399</v>
      </c>
      <c r="F48" s="84"/>
      <c r="G48" s="84">
        <v>4953020</v>
      </c>
      <c r="H48" s="84"/>
      <c r="I48" s="84">
        <v>4223164</v>
      </c>
      <c r="J48" s="84"/>
      <c r="K48" s="84">
        <v>405707</v>
      </c>
      <c r="L48" s="84"/>
      <c r="M48" s="84">
        <v>11853157</v>
      </c>
      <c r="N48" s="84"/>
      <c r="O48" s="84">
        <v>0</v>
      </c>
      <c r="P48" s="84"/>
      <c r="Q48" s="84">
        <v>0</v>
      </c>
      <c r="R48" s="84"/>
      <c r="S48" s="84">
        <v>0</v>
      </c>
      <c r="T48" s="84"/>
      <c r="U48" s="84">
        <v>1539268</v>
      </c>
      <c r="V48" s="84"/>
      <c r="W48" s="84">
        <v>0</v>
      </c>
      <c r="X48" s="84"/>
      <c r="Y48" s="84">
        <v>703075</v>
      </c>
      <c r="Z48" s="84"/>
      <c r="AA48" s="84">
        <v>622997</v>
      </c>
      <c r="AB48" s="84"/>
      <c r="AC48" s="85">
        <f t="shared" si="0"/>
        <v>32043242</v>
      </c>
      <c r="AD48" s="85"/>
      <c r="AE48" s="86">
        <f t="shared" si="1"/>
        <v>29177902</v>
      </c>
      <c r="AF48" s="19"/>
      <c r="AG48" s="67">
        <v>2131323</v>
      </c>
      <c r="AH48" s="106"/>
      <c r="AI48" s="106">
        <v>16538268</v>
      </c>
      <c r="AJ48" s="106"/>
      <c r="AK48" s="106">
        <v>59160</v>
      </c>
      <c r="AL48" s="106"/>
      <c r="AM48" s="106">
        <f>+'Gov Fd Rv'!Q48+'Gov Fd Rv'!S48-'Gov Fnd Exp'!AC48-AG48+'Gov Fd Rv'!U48+AI48+AK48-'Gov Fd BS'!O51</f>
        <v>0</v>
      </c>
    </row>
    <row r="49" spans="1:39" ht="12.75">
      <c r="A49" s="28" t="s">
        <v>48</v>
      </c>
      <c r="B49" s="28"/>
      <c r="C49" s="84">
        <v>15214133</v>
      </c>
      <c r="D49" s="84"/>
      <c r="E49" s="84">
        <v>35072230</v>
      </c>
      <c r="F49" s="84"/>
      <c r="G49" s="84">
        <v>0</v>
      </c>
      <c r="H49" s="84"/>
      <c r="I49" s="84">
        <v>11546274</v>
      </c>
      <c r="J49" s="84"/>
      <c r="K49" s="84">
        <v>19281500</v>
      </c>
      <c r="L49" s="84"/>
      <c r="M49" s="84">
        <v>65551402</v>
      </c>
      <c r="N49" s="84"/>
      <c r="O49" s="84">
        <v>2257349</v>
      </c>
      <c r="P49" s="84"/>
      <c r="Q49" s="84">
        <v>0</v>
      </c>
      <c r="R49" s="84"/>
      <c r="S49" s="84">
        <v>0</v>
      </c>
      <c r="T49" s="84"/>
      <c r="U49" s="84">
        <v>5983157</v>
      </c>
      <c r="V49" s="84"/>
      <c r="W49" s="84">
        <v>0</v>
      </c>
      <c r="X49" s="84"/>
      <c r="Y49" s="84">
        <v>2249650</v>
      </c>
      <c r="Z49" s="84"/>
      <c r="AA49" s="84">
        <v>1491422</v>
      </c>
      <c r="AB49" s="84"/>
      <c r="AC49" s="85">
        <f t="shared" si="0"/>
        <v>158647117</v>
      </c>
      <c r="AD49" s="85"/>
      <c r="AE49" s="86">
        <f t="shared" si="1"/>
        <v>148922888</v>
      </c>
      <c r="AF49" s="19"/>
      <c r="AG49" s="67">
        <v>9675278</v>
      </c>
      <c r="AH49" s="106"/>
      <c r="AI49" s="106">
        <v>85219277</v>
      </c>
      <c r="AJ49" s="106"/>
      <c r="AK49" s="106">
        <v>-80244</v>
      </c>
      <c r="AL49" s="106"/>
      <c r="AM49" s="106">
        <f>+'Gov Fd Rv'!Q49+'Gov Fd Rv'!S49-'Gov Fnd Exp'!AC49-AG49+'Gov Fd Rv'!U49+AI49+AK49-'Gov Fd BS'!O52</f>
        <v>0</v>
      </c>
    </row>
    <row r="50" spans="1:39" ht="12.75" hidden="1">
      <c r="A50" s="28" t="s">
        <v>246</v>
      </c>
      <c r="B50" s="28"/>
      <c r="C50" s="84">
        <v>0</v>
      </c>
      <c r="D50" s="84"/>
      <c r="E50" s="84">
        <v>0</v>
      </c>
      <c r="F50" s="84"/>
      <c r="G50" s="84">
        <v>0</v>
      </c>
      <c r="H50" s="84"/>
      <c r="I50" s="84">
        <v>0</v>
      </c>
      <c r="J50" s="84"/>
      <c r="K50" s="84">
        <v>0</v>
      </c>
      <c r="L50" s="84"/>
      <c r="M50" s="84">
        <v>0</v>
      </c>
      <c r="N50" s="84"/>
      <c r="O50" s="84">
        <v>0</v>
      </c>
      <c r="P50" s="84"/>
      <c r="Q50" s="84">
        <v>0</v>
      </c>
      <c r="R50" s="84"/>
      <c r="S50" s="84">
        <v>0</v>
      </c>
      <c r="T50" s="84"/>
      <c r="U50" s="84">
        <v>0</v>
      </c>
      <c r="V50" s="84"/>
      <c r="W50" s="84">
        <v>0</v>
      </c>
      <c r="X50" s="84"/>
      <c r="Y50" s="84">
        <v>0</v>
      </c>
      <c r="Z50" s="84"/>
      <c r="AA50" s="84">
        <v>0</v>
      </c>
      <c r="AB50" s="84"/>
      <c r="AC50" s="85">
        <f t="shared" si="0"/>
        <v>0</v>
      </c>
      <c r="AD50" s="85"/>
      <c r="AE50" s="86">
        <f t="shared" si="1"/>
        <v>0</v>
      </c>
      <c r="AF50" s="19"/>
      <c r="AG50" s="67"/>
      <c r="AH50" s="106"/>
      <c r="AI50" s="106"/>
      <c r="AJ50" s="106"/>
      <c r="AK50" s="106"/>
      <c r="AL50" s="106"/>
      <c r="AM50" s="106">
        <f>+'Gov Fd Rv'!Q50+'Gov Fd Rv'!S50-'Gov Fnd Exp'!AC50-AG50+'Gov Fd Rv'!U50+AI50+AK50-'Gov Fd BS'!O53</f>
        <v>0</v>
      </c>
    </row>
    <row r="51" spans="1:39" ht="12.75">
      <c r="A51" s="28" t="s">
        <v>49</v>
      </c>
      <c r="B51" s="28"/>
      <c r="C51" s="84">
        <v>17269018</v>
      </c>
      <c r="D51" s="84"/>
      <c r="E51" s="84">
        <v>0</v>
      </c>
      <c r="F51" s="84"/>
      <c r="G51" s="84">
        <v>16674332</v>
      </c>
      <c r="H51" s="84"/>
      <c r="I51" s="84">
        <v>6644832</v>
      </c>
      <c r="J51" s="84"/>
      <c r="K51" s="84">
        <v>512793</v>
      </c>
      <c r="L51" s="84"/>
      <c r="M51" s="84">
        <v>36904464</v>
      </c>
      <c r="N51" s="84"/>
      <c r="O51" s="84">
        <v>1169691</v>
      </c>
      <c r="P51" s="84"/>
      <c r="Q51" s="84">
        <v>0</v>
      </c>
      <c r="R51" s="84"/>
      <c r="S51" s="84">
        <v>0</v>
      </c>
      <c r="T51" s="84"/>
      <c r="U51" s="84">
        <v>425009</v>
      </c>
      <c r="V51" s="84"/>
      <c r="W51" s="84">
        <v>2754171</v>
      </c>
      <c r="X51" s="84"/>
      <c r="Y51" s="84">
        <v>891170</v>
      </c>
      <c r="Z51" s="84"/>
      <c r="AA51" s="84">
        <v>1059200</v>
      </c>
      <c r="AB51" s="84"/>
      <c r="AC51" s="85">
        <f t="shared" si="0"/>
        <v>84304680</v>
      </c>
      <c r="AD51" s="85"/>
      <c r="AE51" s="86">
        <f t="shared" si="1"/>
        <v>79175130</v>
      </c>
      <c r="AF51" s="19"/>
      <c r="AG51" s="67">
        <v>6161033</v>
      </c>
      <c r="AH51" s="106"/>
      <c r="AI51" s="106">
        <v>34244305</v>
      </c>
      <c r="AJ51" s="106"/>
      <c r="AK51" s="106">
        <v>-9095</v>
      </c>
      <c r="AL51" s="106"/>
      <c r="AM51" s="106">
        <f>+'Gov Fd Rv'!Q51+'Gov Fd Rv'!S51-'Gov Fnd Exp'!AC51-AG51+'Gov Fd Rv'!U51+AI51+AK51-'Gov Fd BS'!O54</f>
        <v>0</v>
      </c>
    </row>
    <row r="52" spans="1:39" ht="12.75">
      <c r="A52" s="28" t="s">
        <v>50</v>
      </c>
      <c r="B52" s="28"/>
      <c r="C52" s="84">
        <v>3902895</v>
      </c>
      <c r="D52" s="84"/>
      <c r="E52" s="84">
        <v>2177108</v>
      </c>
      <c r="F52" s="84"/>
      <c r="G52" s="84">
        <v>6442431</v>
      </c>
      <c r="H52" s="84"/>
      <c r="I52" s="84">
        <v>6144956</v>
      </c>
      <c r="J52" s="84"/>
      <c r="K52" s="84">
        <v>645803</v>
      </c>
      <c r="L52" s="84"/>
      <c r="M52" s="84">
        <v>11663333</v>
      </c>
      <c r="N52" s="84"/>
      <c r="O52" s="84">
        <f>200998+267463</f>
        <v>468461</v>
      </c>
      <c r="P52" s="84"/>
      <c r="Q52" s="84">
        <v>461962</v>
      </c>
      <c r="R52" s="84"/>
      <c r="S52" s="84">
        <v>1407612</v>
      </c>
      <c r="T52" s="84"/>
      <c r="U52" s="84">
        <v>595735</v>
      </c>
      <c r="V52" s="84"/>
      <c r="W52" s="84">
        <v>0</v>
      </c>
      <c r="X52" s="84"/>
      <c r="Y52" s="84">
        <v>372090</v>
      </c>
      <c r="Z52" s="84"/>
      <c r="AA52" s="84">
        <v>379986</v>
      </c>
      <c r="AB52" s="84"/>
      <c r="AC52" s="85">
        <f t="shared" si="0"/>
        <v>34662372</v>
      </c>
      <c r="AD52" s="85"/>
      <c r="AE52" s="86">
        <f t="shared" si="1"/>
        <v>33314561</v>
      </c>
      <c r="AF52" s="19"/>
      <c r="AG52" s="67">
        <v>1092803</v>
      </c>
      <c r="AH52" s="106"/>
      <c r="AI52" s="106">
        <v>18848591</v>
      </c>
      <c r="AJ52" s="106"/>
      <c r="AK52" s="106">
        <v>-19182</v>
      </c>
      <c r="AL52" s="106"/>
      <c r="AM52" s="106">
        <f>+'Gov Fd Rv'!Q52+'Gov Fd Rv'!S52-'Gov Fnd Exp'!AC52-AG52+'Gov Fd Rv'!U52+AI52+AK52-'Gov Fd BS'!O55</f>
        <v>0</v>
      </c>
    </row>
    <row r="53" spans="1:39" ht="12.75">
      <c r="A53" s="28" t="s">
        <v>51</v>
      </c>
      <c r="B53" s="28"/>
      <c r="C53" s="84">
        <v>28552499</v>
      </c>
      <c r="D53" s="84"/>
      <c r="E53" s="84">
        <v>13803657</v>
      </c>
      <c r="F53" s="84"/>
      <c r="G53" s="84">
        <v>20170333</v>
      </c>
      <c r="H53" s="84"/>
      <c r="I53" s="84">
        <v>9512992</v>
      </c>
      <c r="J53" s="84"/>
      <c r="K53" s="84">
        <v>41382436</v>
      </c>
      <c r="L53" s="84"/>
      <c r="M53" s="84">
        <v>69861739</v>
      </c>
      <c r="N53" s="84"/>
      <c r="O53" s="84">
        <v>1103502</v>
      </c>
      <c r="P53" s="84"/>
      <c r="Q53" s="84">
        <v>0</v>
      </c>
      <c r="R53" s="84"/>
      <c r="S53" s="84">
        <v>60</v>
      </c>
      <c r="T53" s="84"/>
      <c r="U53" s="84">
        <v>25864576</v>
      </c>
      <c r="V53" s="84"/>
      <c r="W53" s="84">
        <v>555155</v>
      </c>
      <c r="X53" s="84"/>
      <c r="Y53" s="84">
        <v>4198626</v>
      </c>
      <c r="Z53" s="84"/>
      <c r="AA53" s="84">
        <v>1633613</v>
      </c>
      <c r="AB53" s="84"/>
      <c r="AC53" s="85">
        <f t="shared" si="0"/>
        <v>216639188</v>
      </c>
      <c r="AD53" s="85"/>
      <c r="AE53" s="86">
        <f t="shared" si="1"/>
        <v>184387218</v>
      </c>
      <c r="AF53" s="19"/>
      <c r="AG53" s="67">
        <v>7091667</v>
      </c>
      <c r="AH53" s="106"/>
      <c r="AI53" s="106">
        <v>135008659</v>
      </c>
      <c r="AJ53" s="106"/>
      <c r="AK53" s="106">
        <v>-108188</v>
      </c>
      <c r="AL53" s="106"/>
      <c r="AM53" s="106">
        <f>+'Gov Fd Rv'!Q53+'Gov Fd Rv'!S53-'Gov Fnd Exp'!AC53-AG53+'Gov Fd Rv'!U53+AI53+AK53-'Gov Fd BS'!O56</f>
        <v>0</v>
      </c>
    </row>
    <row r="54" spans="1:39" ht="12.75">
      <c r="A54" s="28" t="s">
        <v>195</v>
      </c>
      <c r="B54" s="28"/>
      <c r="C54" s="84">
        <v>36018</v>
      </c>
      <c r="D54" s="84"/>
      <c r="E54" s="84">
        <v>54682</v>
      </c>
      <c r="F54" s="84"/>
      <c r="G54" s="84">
        <v>57037</v>
      </c>
      <c r="H54" s="84"/>
      <c r="I54" s="84">
        <v>16828</v>
      </c>
      <c r="J54" s="84"/>
      <c r="K54" s="84">
        <v>88949</v>
      </c>
      <c r="L54" s="84"/>
      <c r="M54" s="84">
        <v>120302</v>
      </c>
      <c r="N54" s="84"/>
      <c r="O54" s="84">
        <v>0</v>
      </c>
      <c r="P54" s="84"/>
      <c r="Q54" s="84">
        <v>8876</v>
      </c>
      <c r="R54" s="84"/>
      <c r="S54" s="84">
        <v>18804</v>
      </c>
      <c r="T54" s="84"/>
      <c r="U54" s="84">
        <v>24778</v>
      </c>
      <c r="V54" s="84"/>
      <c r="W54" s="84">
        <v>0</v>
      </c>
      <c r="X54" s="84"/>
      <c r="Y54" s="84">
        <v>12319</v>
      </c>
      <c r="Z54" s="84"/>
      <c r="AA54" s="84">
        <v>5839</v>
      </c>
      <c r="AB54" s="84"/>
      <c r="AC54" s="85">
        <f t="shared" si="0"/>
        <v>444432</v>
      </c>
      <c r="AD54" s="85"/>
      <c r="AE54" s="86">
        <f t="shared" si="1"/>
        <v>401496</v>
      </c>
      <c r="AF54" s="19"/>
      <c r="AG54" s="67">
        <v>24124</v>
      </c>
      <c r="AH54" s="106"/>
      <c r="AI54" s="106">
        <v>156008</v>
      </c>
      <c r="AJ54" s="106"/>
      <c r="AK54" s="106"/>
      <c r="AL54" s="106"/>
      <c r="AM54" s="106">
        <f>+'Gov Fd Rv'!Q54+'Gov Fd Rv'!S54-'Gov Fnd Exp'!AC54-AG54+'Gov Fd Rv'!U54+AI54+AK54-'Gov Fd BS'!O57</f>
        <v>0</v>
      </c>
    </row>
    <row r="55" spans="1:39" ht="12.75" hidden="1">
      <c r="A55" s="28" t="s">
        <v>52</v>
      </c>
      <c r="B55" s="28"/>
      <c r="C55" s="84">
        <v>0</v>
      </c>
      <c r="D55" s="84"/>
      <c r="E55" s="84">
        <v>0</v>
      </c>
      <c r="F55" s="84"/>
      <c r="G55" s="84">
        <v>0</v>
      </c>
      <c r="H55" s="84"/>
      <c r="I55" s="84">
        <v>0</v>
      </c>
      <c r="J55" s="84"/>
      <c r="K55" s="84">
        <v>0</v>
      </c>
      <c r="L55" s="84"/>
      <c r="M55" s="84">
        <v>0</v>
      </c>
      <c r="N55" s="84"/>
      <c r="O55" s="84">
        <v>0</v>
      </c>
      <c r="P55" s="84"/>
      <c r="Q55" s="84">
        <v>0</v>
      </c>
      <c r="R55" s="84"/>
      <c r="S55" s="84">
        <v>0</v>
      </c>
      <c r="T55" s="84"/>
      <c r="U55" s="84">
        <v>0</v>
      </c>
      <c r="V55" s="84"/>
      <c r="W55" s="84">
        <v>0</v>
      </c>
      <c r="X55" s="84"/>
      <c r="Y55" s="84">
        <v>0</v>
      </c>
      <c r="Z55" s="84"/>
      <c r="AA55" s="84">
        <v>0</v>
      </c>
      <c r="AB55" s="84"/>
      <c r="AC55" s="85">
        <f t="shared" si="0"/>
        <v>0</v>
      </c>
      <c r="AD55" s="85"/>
      <c r="AE55" s="86">
        <f t="shared" si="1"/>
        <v>0</v>
      </c>
      <c r="AF55" s="19"/>
      <c r="AG55" s="67"/>
      <c r="AH55" s="106"/>
      <c r="AI55" s="106"/>
      <c r="AJ55" s="106"/>
      <c r="AK55" s="106"/>
      <c r="AL55" s="106"/>
      <c r="AM55" s="106">
        <f>+'Gov Fd Rv'!Q55+'Gov Fd Rv'!S55-'Gov Fnd Exp'!AC55-AG55+'Gov Fd Rv'!U55+AI55+AK55-'Gov Fd BS'!O58</f>
        <v>0</v>
      </c>
    </row>
    <row r="56" spans="1:39" ht="12.75">
      <c r="A56" s="28" t="s">
        <v>53</v>
      </c>
      <c r="B56" s="28"/>
      <c r="C56" s="84">
        <v>14264791</v>
      </c>
      <c r="D56" s="84"/>
      <c r="E56" s="84">
        <v>15870791</v>
      </c>
      <c r="F56" s="84"/>
      <c r="G56" s="84">
        <v>22002969</v>
      </c>
      <c r="H56" s="84"/>
      <c r="I56" s="84">
        <v>9597942</v>
      </c>
      <c r="J56" s="84"/>
      <c r="K56" s="84">
        <v>46558702</v>
      </c>
      <c r="L56" s="84"/>
      <c r="M56" s="84">
        <v>58951005</v>
      </c>
      <c r="N56" s="84"/>
      <c r="O56" s="84">
        <v>0</v>
      </c>
      <c r="P56" s="84"/>
      <c r="Q56" s="84">
        <v>0</v>
      </c>
      <c r="R56" s="84"/>
      <c r="S56" s="84">
        <v>5152504</v>
      </c>
      <c r="T56" s="84"/>
      <c r="U56" s="84">
        <v>7197546</v>
      </c>
      <c r="V56" s="84"/>
      <c r="W56" s="84">
        <v>847</v>
      </c>
      <c r="X56" s="84"/>
      <c r="Y56" s="84">
        <v>5425678</v>
      </c>
      <c r="Z56" s="84"/>
      <c r="AA56" s="84">
        <v>1872597</v>
      </c>
      <c r="AB56" s="84"/>
      <c r="AC56" s="85">
        <f t="shared" si="0"/>
        <v>186895372</v>
      </c>
      <c r="AD56" s="85"/>
      <c r="AE56" s="86">
        <f t="shared" si="1"/>
        <v>172398704</v>
      </c>
      <c r="AF56" s="19"/>
      <c r="AG56" s="67">
        <v>17994629</v>
      </c>
      <c r="AH56" s="106"/>
      <c r="AI56" s="106">
        <v>52869409</v>
      </c>
      <c r="AJ56" s="106"/>
      <c r="AK56" s="106"/>
      <c r="AL56" s="106"/>
      <c r="AM56" s="106">
        <f>+'Gov Fd Rv'!Q56+'Gov Fd Rv'!S56-'Gov Fnd Exp'!AC56-AG56+'Gov Fd Rv'!U56+AI56+AK56-'Gov Fd BS'!O59</f>
        <v>0</v>
      </c>
    </row>
    <row r="57" spans="1:39" ht="12.75">
      <c r="A57" s="28" t="s">
        <v>54</v>
      </c>
      <c r="B57" s="28"/>
      <c r="C57" s="84">
        <v>5273196</v>
      </c>
      <c r="D57" s="84"/>
      <c r="E57" s="84">
        <v>1910773</v>
      </c>
      <c r="F57" s="84"/>
      <c r="G57" s="84">
        <v>8497685</v>
      </c>
      <c r="H57" s="84"/>
      <c r="I57" s="84">
        <v>3638147</v>
      </c>
      <c r="J57" s="84"/>
      <c r="K57" s="84">
        <v>7491899</v>
      </c>
      <c r="L57" s="84"/>
      <c r="M57" s="84">
        <v>12111553</v>
      </c>
      <c r="N57" s="84"/>
      <c r="O57" s="84">
        <v>0</v>
      </c>
      <c r="P57" s="84"/>
      <c r="Q57" s="84">
        <v>15000</v>
      </c>
      <c r="R57" s="84"/>
      <c r="S57" s="84">
        <v>647380</v>
      </c>
      <c r="T57" s="84"/>
      <c r="U57" s="84">
        <v>2327997</v>
      </c>
      <c r="V57" s="84"/>
      <c r="W57" s="84">
        <v>903239</v>
      </c>
      <c r="X57" s="84"/>
      <c r="Y57" s="84">
        <v>501884</v>
      </c>
      <c r="Z57" s="84"/>
      <c r="AA57" s="84">
        <v>537777</v>
      </c>
      <c r="AB57" s="84"/>
      <c r="AC57" s="85">
        <f t="shared" si="0"/>
        <v>43856530</v>
      </c>
      <c r="AD57" s="85"/>
      <c r="AE57" s="86">
        <f t="shared" si="1"/>
        <v>39585633</v>
      </c>
      <c r="AF57" s="19"/>
      <c r="AG57" s="67">
        <v>2025471</v>
      </c>
      <c r="AH57" s="106"/>
      <c r="AI57" s="106">
        <v>22259076</v>
      </c>
      <c r="AJ57" s="106"/>
      <c r="AK57" s="106"/>
      <c r="AL57" s="106"/>
      <c r="AM57" s="106">
        <f>+'Gov Fd Rv'!Q57+'Gov Fd Rv'!S57-'Gov Fnd Exp'!AC57-AG57+'Gov Fd Rv'!U57+AI57+AK57-'Gov Fd BS'!O60</f>
        <v>0</v>
      </c>
    </row>
    <row r="58" spans="1:39" ht="12.75">
      <c r="A58" s="28" t="s">
        <v>55</v>
      </c>
      <c r="B58" s="28"/>
      <c r="C58" s="84">
        <v>12112114</v>
      </c>
      <c r="D58" s="84"/>
      <c r="E58" s="84">
        <v>8314326</v>
      </c>
      <c r="F58" s="84"/>
      <c r="G58" s="84">
        <v>17401603</v>
      </c>
      <c r="H58" s="84"/>
      <c r="I58" s="84">
        <v>7814336</v>
      </c>
      <c r="J58" s="84"/>
      <c r="K58" s="84">
        <v>22516552</v>
      </c>
      <c r="L58" s="84"/>
      <c r="M58" s="84">
        <v>15263462</v>
      </c>
      <c r="N58" s="84"/>
      <c r="O58" s="84">
        <v>394731</v>
      </c>
      <c r="P58" s="84"/>
      <c r="Q58" s="84">
        <v>0</v>
      </c>
      <c r="R58" s="84"/>
      <c r="S58" s="84">
        <v>0</v>
      </c>
      <c r="T58" s="84"/>
      <c r="U58" s="84">
        <v>3611743</v>
      </c>
      <c r="V58" s="84"/>
      <c r="W58" s="84">
        <v>541350</v>
      </c>
      <c r="X58" s="84"/>
      <c r="Y58" s="84">
        <v>2204498</v>
      </c>
      <c r="Z58" s="84"/>
      <c r="AA58" s="84">
        <v>998120</v>
      </c>
      <c r="AB58" s="84"/>
      <c r="AC58" s="85">
        <f t="shared" si="0"/>
        <v>91172835</v>
      </c>
      <c r="AD58" s="85"/>
      <c r="AE58" s="86">
        <f t="shared" si="1"/>
        <v>83817124</v>
      </c>
      <c r="AF58" s="19"/>
      <c r="AG58" s="67">
        <v>3592285</v>
      </c>
      <c r="AH58" s="106"/>
      <c r="AI58" s="106">
        <v>36602719</v>
      </c>
      <c r="AJ58" s="106"/>
      <c r="AK58" s="106"/>
      <c r="AL58" s="106"/>
      <c r="AM58" s="106">
        <f>+'Gov Fd Rv'!Q58+'Gov Fd Rv'!S58-'Gov Fnd Exp'!AC58-AG58+'Gov Fd Rv'!U58+AI58+AK58-'Gov Fd BS'!O61</f>
        <v>0</v>
      </c>
    </row>
    <row r="59" spans="1:39" ht="12.75" hidden="1">
      <c r="A59" s="28" t="s">
        <v>180</v>
      </c>
      <c r="B59" s="28"/>
      <c r="C59" s="84">
        <v>0</v>
      </c>
      <c r="D59" s="84"/>
      <c r="E59" s="84">
        <v>0</v>
      </c>
      <c r="F59" s="84"/>
      <c r="G59" s="84">
        <v>0</v>
      </c>
      <c r="H59" s="84"/>
      <c r="I59" s="84">
        <v>0</v>
      </c>
      <c r="J59" s="84"/>
      <c r="K59" s="84">
        <v>0</v>
      </c>
      <c r="L59" s="84"/>
      <c r="M59" s="84">
        <v>0</v>
      </c>
      <c r="N59" s="84"/>
      <c r="O59" s="84">
        <v>0</v>
      </c>
      <c r="P59" s="84"/>
      <c r="Q59" s="84">
        <v>0</v>
      </c>
      <c r="R59" s="84"/>
      <c r="S59" s="84">
        <v>0</v>
      </c>
      <c r="T59" s="84"/>
      <c r="U59" s="84">
        <v>0</v>
      </c>
      <c r="V59" s="84"/>
      <c r="W59" s="84">
        <v>0</v>
      </c>
      <c r="X59" s="84"/>
      <c r="Y59" s="84">
        <v>0</v>
      </c>
      <c r="Z59" s="84"/>
      <c r="AA59" s="84">
        <v>0</v>
      </c>
      <c r="AB59" s="84"/>
      <c r="AC59" s="85">
        <f t="shared" si="0"/>
        <v>0</v>
      </c>
      <c r="AD59" s="85"/>
      <c r="AE59" s="86">
        <f t="shared" si="1"/>
        <v>0</v>
      </c>
      <c r="AF59" s="19"/>
      <c r="AG59" s="67"/>
      <c r="AH59" s="106"/>
      <c r="AI59" s="106"/>
      <c r="AJ59" s="106"/>
      <c r="AK59" s="106"/>
      <c r="AL59" s="106"/>
      <c r="AM59" s="106">
        <f>+'Gov Fd Rv'!Q59+'Gov Fd Rv'!S59-'Gov Fnd Exp'!AC59-AG59+'Gov Fd Rv'!U59+AI59+AK59-'Gov Fd BS'!O62</f>
        <v>0</v>
      </c>
    </row>
    <row r="60" spans="1:39" ht="12.75" hidden="1">
      <c r="A60" s="28" t="s">
        <v>56</v>
      </c>
      <c r="B60" s="28"/>
      <c r="C60" s="84">
        <v>0</v>
      </c>
      <c r="D60" s="84"/>
      <c r="E60" s="84">
        <v>0</v>
      </c>
      <c r="F60" s="84"/>
      <c r="G60" s="84">
        <v>0</v>
      </c>
      <c r="H60" s="84"/>
      <c r="I60" s="84">
        <v>0</v>
      </c>
      <c r="J60" s="84"/>
      <c r="K60" s="84">
        <v>0</v>
      </c>
      <c r="L60" s="84"/>
      <c r="M60" s="84">
        <v>0</v>
      </c>
      <c r="N60" s="84"/>
      <c r="O60" s="84">
        <v>0</v>
      </c>
      <c r="P60" s="84"/>
      <c r="Q60" s="84">
        <v>0</v>
      </c>
      <c r="R60" s="84"/>
      <c r="S60" s="84">
        <v>0</v>
      </c>
      <c r="T60" s="84"/>
      <c r="U60" s="84">
        <v>0</v>
      </c>
      <c r="V60" s="84"/>
      <c r="W60" s="84">
        <v>0</v>
      </c>
      <c r="X60" s="84"/>
      <c r="Y60" s="84">
        <v>0</v>
      </c>
      <c r="Z60" s="84"/>
      <c r="AA60" s="84">
        <v>0</v>
      </c>
      <c r="AB60" s="84"/>
      <c r="AC60" s="85">
        <f t="shared" si="0"/>
        <v>0</v>
      </c>
      <c r="AD60" s="85"/>
      <c r="AE60" s="86">
        <f t="shared" si="1"/>
        <v>0</v>
      </c>
      <c r="AF60" s="19"/>
      <c r="AG60" s="67"/>
      <c r="AH60" s="106"/>
      <c r="AI60" s="106"/>
      <c r="AJ60" s="106"/>
      <c r="AK60" s="106"/>
      <c r="AL60" s="106"/>
      <c r="AM60" s="106">
        <f>+'Gov Fd Rv'!Q60+'Gov Fd Rv'!S60-'Gov Fnd Exp'!AC60-AG60+'Gov Fd Rv'!U60+AI60+AK60-'Gov Fd BS'!O63</f>
        <v>0</v>
      </c>
    </row>
    <row r="61" spans="1:39" ht="12.75">
      <c r="A61" s="28" t="s">
        <v>57</v>
      </c>
      <c r="B61" s="28"/>
      <c r="C61" s="84">
        <v>13012999</v>
      </c>
      <c r="D61" s="84"/>
      <c r="E61" s="84">
        <v>0</v>
      </c>
      <c r="F61" s="84"/>
      <c r="G61" s="84">
        <v>15520763</v>
      </c>
      <c r="H61" s="84"/>
      <c r="I61" s="84">
        <v>6088117</v>
      </c>
      <c r="J61" s="84"/>
      <c r="K61" s="84">
        <v>9913898</v>
      </c>
      <c r="L61" s="84"/>
      <c r="M61" s="84">
        <v>12473435</v>
      </c>
      <c r="N61" s="84"/>
      <c r="O61" s="84">
        <v>0</v>
      </c>
      <c r="P61" s="84"/>
      <c r="Q61" s="84">
        <v>449267</v>
      </c>
      <c r="R61" s="84"/>
      <c r="S61" s="84">
        <v>0</v>
      </c>
      <c r="T61" s="84"/>
      <c r="U61" s="84">
        <v>1126747</v>
      </c>
      <c r="V61" s="84"/>
      <c r="W61" s="84">
        <v>0</v>
      </c>
      <c r="X61" s="84"/>
      <c r="Y61" s="84">
        <v>481531</v>
      </c>
      <c r="Z61" s="84"/>
      <c r="AA61" s="84">
        <v>364771</v>
      </c>
      <c r="AB61" s="84"/>
      <c r="AC61" s="85">
        <f t="shared" si="0"/>
        <v>59431528</v>
      </c>
      <c r="AD61" s="85"/>
      <c r="AE61" s="86">
        <f t="shared" si="1"/>
        <v>57458479</v>
      </c>
      <c r="AF61" s="19"/>
      <c r="AG61" s="67">
        <v>777529</v>
      </c>
      <c r="AH61" s="106"/>
      <c r="AI61" s="106">
        <v>41844573</v>
      </c>
      <c r="AJ61" s="106"/>
      <c r="AK61" s="106">
        <v>-52888</v>
      </c>
      <c r="AL61" s="106"/>
      <c r="AM61" s="106">
        <f>+'Gov Fd Rv'!Q61+'Gov Fd Rv'!S61-'Gov Fnd Exp'!AC61-AG61+'Gov Fd Rv'!U61+AI61+AK61-'Gov Fd BS'!O64</f>
        <v>0</v>
      </c>
    </row>
    <row r="62" spans="1:39" ht="12.75">
      <c r="A62" s="28" t="s">
        <v>58</v>
      </c>
      <c r="B62" s="36"/>
      <c r="C62" s="84">
        <v>1310866</v>
      </c>
      <c r="D62" s="84"/>
      <c r="E62" s="84">
        <v>496633</v>
      </c>
      <c r="F62" s="84"/>
      <c r="G62" s="84">
        <v>1753271</v>
      </c>
      <c r="H62" s="84"/>
      <c r="I62" s="84">
        <v>2235704</v>
      </c>
      <c r="J62" s="84"/>
      <c r="K62" s="84">
        <v>1372507</v>
      </c>
      <c r="L62" s="84"/>
      <c r="M62" s="84">
        <v>4701646</v>
      </c>
      <c r="N62" s="84"/>
      <c r="O62" s="84">
        <v>294240</v>
      </c>
      <c r="P62" s="84"/>
      <c r="Q62" s="84">
        <v>0</v>
      </c>
      <c r="R62" s="84"/>
      <c r="S62" s="84">
        <v>579954</v>
      </c>
      <c r="T62" s="84"/>
      <c r="U62" s="84">
        <v>1015053</v>
      </c>
      <c r="V62" s="84"/>
      <c r="W62" s="84">
        <v>0</v>
      </c>
      <c r="X62" s="84"/>
      <c r="Y62" s="84">
        <v>46128</v>
      </c>
      <c r="Z62" s="84"/>
      <c r="AA62" s="84">
        <v>25823</v>
      </c>
      <c r="AB62" s="84"/>
      <c r="AC62" s="85">
        <f t="shared" si="0"/>
        <v>13831825</v>
      </c>
      <c r="AD62" s="85"/>
      <c r="AE62" s="86">
        <f t="shared" si="1"/>
        <v>12744821</v>
      </c>
      <c r="AF62" s="19"/>
      <c r="AG62" s="67">
        <v>1556462</v>
      </c>
      <c r="AH62" s="106"/>
      <c r="AI62" s="106">
        <v>4587770</v>
      </c>
      <c r="AJ62" s="106"/>
      <c r="AK62" s="106"/>
      <c r="AL62" s="106"/>
      <c r="AM62" s="106">
        <f>+'Gov Fd Rv'!Q62+'Gov Fd Rv'!S62-'Gov Fnd Exp'!AC62-AG62+'Gov Fd Rv'!U62+AI62+AK62-'Gov Fd BS'!O65</f>
        <v>0</v>
      </c>
    </row>
    <row r="63" spans="1:39" ht="12.75">
      <c r="A63" s="28" t="s">
        <v>59</v>
      </c>
      <c r="B63" s="28"/>
      <c r="C63" s="84">
        <v>31657412</v>
      </c>
      <c r="D63" s="84"/>
      <c r="E63" s="84">
        <v>132470525</v>
      </c>
      <c r="F63" s="84"/>
      <c r="G63" s="84">
        <v>0</v>
      </c>
      <c r="H63" s="84"/>
      <c r="I63" s="84">
        <v>19482723</v>
      </c>
      <c r="J63" s="84"/>
      <c r="K63" s="84">
        <v>0</v>
      </c>
      <c r="L63" s="84"/>
      <c r="M63" s="84">
        <v>233531332</v>
      </c>
      <c r="N63" s="84"/>
      <c r="O63" s="84">
        <v>13376134</v>
      </c>
      <c r="P63" s="84"/>
      <c r="Q63" s="84">
        <v>0</v>
      </c>
      <c r="R63" s="84"/>
      <c r="S63" s="84">
        <v>0</v>
      </c>
      <c r="T63" s="84"/>
      <c r="U63" s="84">
        <v>20793226</v>
      </c>
      <c r="V63" s="84"/>
      <c r="W63" s="84">
        <f>103300+12525722+11797341+232744</f>
        <v>24659107</v>
      </c>
      <c r="X63" s="84"/>
      <c r="Y63" s="84">
        <v>3459666</v>
      </c>
      <c r="Z63" s="84"/>
      <c r="AA63" s="84">
        <v>2266250</v>
      </c>
      <c r="AB63" s="84"/>
      <c r="AC63" s="85">
        <f t="shared" si="0"/>
        <v>481696375</v>
      </c>
      <c r="AD63" s="85"/>
      <c r="AE63" s="86">
        <f t="shared" si="1"/>
        <v>430518126</v>
      </c>
      <c r="AF63" s="19"/>
      <c r="AG63" s="67">
        <v>105192076</v>
      </c>
      <c r="AH63" s="106"/>
      <c r="AI63" s="106">
        <v>276091952</v>
      </c>
      <c r="AJ63" s="106"/>
      <c r="AK63" s="106"/>
      <c r="AL63" s="106"/>
      <c r="AM63" s="106">
        <f>+'Gov Fd Rv'!Q63+'Gov Fd Rv'!S63-'Gov Fnd Exp'!AC63-AG63+'Gov Fd Rv'!U63+AI63+AK63-'Gov Fd BS'!O66</f>
        <v>0</v>
      </c>
    </row>
    <row r="64" spans="1:39" ht="12.75" hidden="1">
      <c r="A64" s="28" t="s">
        <v>60</v>
      </c>
      <c r="B64" s="28"/>
      <c r="C64" s="84">
        <v>0</v>
      </c>
      <c r="D64" s="84"/>
      <c r="E64" s="84">
        <v>0</v>
      </c>
      <c r="F64" s="84"/>
      <c r="G64" s="84">
        <v>0</v>
      </c>
      <c r="H64" s="84"/>
      <c r="I64" s="84">
        <v>0</v>
      </c>
      <c r="J64" s="84"/>
      <c r="K64" s="84">
        <v>0</v>
      </c>
      <c r="L64" s="84"/>
      <c r="M64" s="84">
        <v>0</v>
      </c>
      <c r="N64" s="84"/>
      <c r="O64" s="84">
        <v>0</v>
      </c>
      <c r="P64" s="84"/>
      <c r="Q64" s="84">
        <v>0</v>
      </c>
      <c r="R64" s="84"/>
      <c r="S64" s="84">
        <v>0</v>
      </c>
      <c r="T64" s="84"/>
      <c r="U64" s="84">
        <v>0</v>
      </c>
      <c r="V64" s="84"/>
      <c r="W64" s="84">
        <v>0</v>
      </c>
      <c r="X64" s="84"/>
      <c r="Y64" s="84">
        <v>0</v>
      </c>
      <c r="Z64" s="84"/>
      <c r="AA64" s="84">
        <v>0</v>
      </c>
      <c r="AB64" s="84"/>
      <c r="AC64" s="85">
        <f t="shared" si="0"/>
        <v>0</v>
      </c>
      <c r="AD64" s="85"/>
      <c r="AE64" s="86">
        <f t="shared" si="1"/>
        <v>0</v>
      </c>
      <c r="AF64" s="19"/>
      <c r="AG64" s="67"/>
      <c r="AH64" s="106"/>
      <c r="AI64" s="106"/>
      <c r="AJ64" s="106"/>
      <c r="AK64" s="106"/>
      <c r="AL64" s="106"/>
      <c r="AM64" s="106">
        <f>+'Gov Fd Rv'!Q64+'Gov Fd Rv'!S64-'Gov Fnd Exp'!AC64-AG64+'Gov Fd Rv'!U64+AI64+AK64-'Gov Fd BS'!O67</f>
        <v>0</v>
      </c>
    </row>
    <row r="65" spans="1:39" ht="12.75">
      <c r="A65" s="28" t="s">
        <v>98</v>
      </c>
      <c r="B65" s="28"/>
      <c r="C65" s="84">
        <v>3561559</v>
      </c>
      <c r="D65" s="84"/>
      <c r="E65" s="84">
        <v>1265428</v>
      </c>
      <c r="F65" s="84"/>
      <c r="G65" s="84">
        <v>4391399</v>
      </c>
      <c r="H65" s="84"/>
      <c r="I65" s="84">
        <v>2419567</v>
      </c>
      <c r="J65" s="84"/>
      <c r="K65" s="84">
        <v>2782067</v>
      </c>
      <c r="L65" s="84"/>
      <c r="M65" s="84">
        <v>5691139</v>
      </c>
      <c r="N65" s="84"/>
      <c r="O65" s="84">
        <v>87013</v>
      </c>
      <c r="P65" s="84"/>
      <c r="Q65" s="84">
        <v>0</v>
      </c>
      <c r="R65" s="84"/>
      <c r="S65" s="84">
        <f>506571+10205</f>
        <v>516776</v>
      </c>
      <c r="T65" s="84"/>
      <c r="U65" s="84">
        <v>321083</v>
      </c>
      <c r="V65" s="84"/>
      <c r="W65" s="84">
        <v>217000</v>
      </c>
      <c r="X65" s="84"/>
      <c r="Y65" s="84">
        <v>1024544</v>
      </c>
      <c r="Z65" s="84"/>
      <c r="AA65" s="84">
        <v>215996</v>
      </c>
      <c r="AB65" s="84"/>
      <c r="AC65" s="85">
        <f t="shared" si="0"/>
        <v>22493571</v>
      </c>
      <c r="AD65" s="85"/>
      <c r="AE65" s="86">
        <f t="shared" si="1"/>
        <v>20714948</v>
      </c>
      <c r="AF65" s="19"/>
      <c r="AG65" s="67">
        <v>323346</v>
      </c>
      <c r="AH65" s="106"/>
      <c r="AI65" s="106">
        <v>4895050</v>
      </c>
      <c r="AJ65" s="106"/>
      <c r="AK65" s="106"/>
      <c r="AL65" s="106"/>
      <c r="AM65" s="106">
        <f>+'Gov Fd Rv'!Q65+'Gov Fd Rv'!S65-'Gov Fnd Exp'!AC65-AG65+'Gov Fd Rv'!U65+AI65+AK65-'Gov Fd BS'!O68</f>
        <v>0</v>
      </c>
    </row>
    <row r="66" spans="1:39" ht="12.75">
      <c r="A66" s="28" t="s">
        <v>62</v>
      </c>
      <c r="B66" s="28"/>
      <c r="C66" s="84">
        <v>10828545</v>
      </c>
      <c r="D66" s="84"/>
      <c r="E66" s="84">
        <v>5307299</v>
      </c>
      <c r="F66" s="84"/>
      <c r="G66" s="84">
        <v>8169253</v>
      </c>
      <c r="H66" s="84"/>
      <c r="I66" s="84">
        <v>6997696</v>
      </c>
      <c r="J66" s="84"/>
      <c r="K66" s="84">
        <v>1264062</v>
      </c>
      <c r="L66" s="84"/>
      <c r="M66" s="84">
        <v>33996146</v>
      </c>
      <c r="N66" s="84"/>
      <c r="O66" s="84">
        <v>599198</v>
      </c>
      <c r="P66" s="84"/>
      <c r="Q66" s="84">
        <v>0</v>
      </c>
      <c r="R66" s="84"/>
      <c r="S66" s="84">
        <v>1176000</v>
      </c>
      <c r="T66" s="84"/>
      <c r="U66" s="84">
        <v>876696</v>
      </c>
      <c r="V66" s="84"/>
      <c r="W66" s="84">
        <v>3181411</v>
      </c>
      <c r="X66" s="84"/>
      <c r="Y66" s="84">
        <v>1033840</v>
      </c>
      <c r="Z66" s="84"/>
      <c r="AA66" s="84">
        <v>1003441</v>
      </c>
      <c r="AB66" s="84"/>
      <c r="AC66" s="85">
        <f t="shared" si="0"/>
        <v>74433587</v>
      </c>
      <c r="AD66" s="85"/>
      <c r="AE66" s="86">
        <f t="shared" si="1"/>
        <v>68338199</v>
      </c>
      <c r="AF66" s="19"/>
      <c r="AG66" s="67">
        <f>3751882+273251</f>
        <v>4025133</v>
      </c>
      <c r="AH66" s="106"/>
      <c r="AI66" s="106">
        <v>38984000</v>
      </c>
      <c r="AJ66" s="106"/>
      <c r="AK66" s="106"/>
      <c r="AL66" s="106"/>
      <c r="AM66" s="106">
        <f>+'Gov Fd Rv'!Q66+'Gov Fd Rv'!S66-'Gov Fnd Exp'!AC66-AG66+'Gov Fd Rv'!U66+AI66+AK66-'Gov Fd BS'!O69</f>
        <v>0</v>
      </c>
    </row>
    <row r="67" spans="1:39" ht="12.75">
      <c r="A67" s="28" t="s">
        <v>63</v>
      </c>
      <c r="B67" s="28"/>
      <c r="C67" s="84">
        <v>1553918</v>
      </c>
      <c r="D67" s="84"/>
      <c r="E67" s="84">
        <v>325071</v>
      </c>
      <c r="F67" s="84"/>
      <c r="G67" s="84">
        <v>1259012</v>
      </c>
      <c r="H67" s="84"/>
      <c r="I67" s="84">
        <v>2558230</v>
      </c>
      <c r="J67" s="84"/>
      <c r="K67" s="84">
        <v>804712</v>
      </c>
      <c r="L67" s="84"/>
      <c r="M67" s="84">
        <v>4178104</v>
      </c>
      <c r="N67" s="84"/>
      <c r="O67" s="84">
        <v>223291</v>
      </c>
      <c r="P67" s="84"/>
      <c r="Q67" s="84">
        <v>0</v>
      </c>
      <c r="R67" s="84"/>
      <c r="S67" s="84">
        <v>175384</v>
      </c>
      <c r="T67" s="84"/>
      <c r="U67" s="84">
        <v>68064</v>
      </c>
      <c r="V67" s="84"/>
      <c r="W67" s="84">
        <v>487470</v>
      </c>
      <c r="X67" s="84"/>
      <c r="Y67" s="84">
        <v>102280</v>
      </c>
      <c r="Z67" s="84"/>
      <c r="AA67" s="84">
        <v>72438</v>
      </c>
      <c r="AB67" s="84"/>
      <c r="AC67" s="85">
        <f t="shared" si="0"/>
        <v>11807974</v>
      </c>
      <c r="AD67" s="85"/>
      <c r="AE67" s="86">
        <f t="shared" si="1"/>
        <v>11077722</v>
      </c>
      <c r="AF67" s="19"/>
      <c r="AG67" s="67">
        <v>120447</v>
      </c>
      <c r="AH67" s="106"/>
      <c r="AI67" s="106">
        <v>3715506</v>
      </c>
      <c r="AJ67" s="106"/>
      <c r="AK67" s="106"/>
      <c r="AL67" s="106"/>
      <c r="AM67" s="106">
        <f>+'Gov Fd Rv'!Q67+'Gov Fd Rv'!S67-'Gov Fnd Exp'!AC67-AG67+'Gov Fd Rv'!U67+AI67+AK67-'Gov Fd BS'!O70</f>
        <v>0</v>
      </c>
    </row>
    <row r="68" spans="1:39" ht="12.75">
      <c r="A68" s="28" t="s">
        <v>64</v>
      </c>
      <c r="B68" s="28"/>
      <c r="C68" s="84">
        <v>4442832</v>
      </c>
      <c r="D68" s="84"/>
      <c r="E68" s="84">
        <v>2577097</v>
      </c>
      <c r="F68" s="84"/>
      <c r="G68" s="84">
        <f>417495+4023660+1472164</f>
        <v>5913319</v>
      </c>
      <c r="H68" s="84"/>
      <c r="I68" s="84">
        <v>5215118</v>
      </c>
      <c r="J68" s="84"/>
      <c r="K68" s="84">
        <v>510416</v>
      </c>
      <c r="L68" s="84"/>
      <c r="M68" s="84">
        <f>3506836+4172618+684437+2359760</f>
        <v>10723651</v>
      </c>
      <c r="N68" s="84"/>
      <c r="O68" s="84">
        <v>1636</v>
      </c>
      <c r="P68" s="84"/>
      <c r="Q68" s="84">
        <v>1008965</v>
      </c>
      <c r="R68" s="84"/>
      <c r="S68" s="84">
        <f>4655+114240</f>
        <v>118895</v>
      </c>
      <c r="T68" s="84"/>
      <c r="U68" s="84">
        <v>726537</v>
      </c>
      <c r="V68" s="84"/>
      <c r="W68" s="84">
        <v>0</v>
      </c>
      <c r="X68" s="84"/>
      <c r="Y68" s="84">
        <v>5719493</v>
      </c>
      <c r="Z68" s="84"/>
      <c r="AA68" s="84">
        <v>613394</v>
      </c>
      <c r="AB68" s="84"/>
      <c r="AC68" s="85">
        <f t="shared" si="0"/>
        <v>37571353</v>
      </c>
      <c r="AD68" s="85"/>
      <c r="AE68" s="86">
        <f t="shared" si="1"/>
        <v>30511929</v>
      </c>
      <c r="AF68" s="19"/>
      <c r="AG68" s="67">
        <f>2760670+2314250</f>
        <v>5074920</v>
      </c>
      <c r="AH68" s="106"/>
      <c r="AI68" s="106">
        <v>13588657</v>
      </c>
      <c r="AJ68" s="106"/>
      <c r="AK68" s="106"/>
      <c r="AL68" s="106"/>
      <c r="AM68" s="106">
        <f>+'Gov Fd Rv'!Q68+'Gov Fd Rv'!S68-'Gov Fnd Exp'!AC68-AG68+'Gov Fd Rv'!U68+AI68+AK68-'Gov Fd BS'!O71</f>
        <v>0</v>
      </c>
    </row>
    <row r="69" spans="1:39" ht="15" customHeight="1" hidden="1">
      <c r="A69" s="28" t="s">
        <v>137</v>
      </c>
      <c r="B69" s="28"/>
      <c r="C69" s="84">
        <v>0</v>
      </c>
      <c r="D69" s="84"/>
      <c r="E69" s="84">
        <v>0</v>
      </c>
      <c r="F69" s="84"/>
      <c r="G69" s="84">
        <v>0</v>
      </c>
      <c r="H69" s="84"/>
      <c r="I69" s="84">
        <v>0</v>
      </c>
      <c r="J69" s="84"/>
      <c r="K69" s="84">
        <v>0</v>
      </c>
      <c r="L69" s="84"/>
      <c r="M69" s="84">
        <v>0</v>
      </c>
      <c r="N69" s="84"/>
      <c r="O69" s="84">
        <v>0</v>
      </c>
      <c r="P69" s="84"/>
      <c r="Q69" s="84">
        <v>0</v>
      </c>
      <c r="R69" s="84"/>
      <c r="S69" s="84">
        <v>0</v>
      </c>
      <c r="T69" s="84"/>
      <c r="U69" s="84">
        <v>0</v>
      </c>
      <c r="V69" s="84"/>
      <c r="W69" s="84">
        <v>0</v>
      </c>
      <c r="X69" s="84"/>
      <c r="Y69" s="84">
        <v>0</v>
      </c>
      <c r="Z69" s="84"/>
      <c r="AA69" s="84">
        <v>0</v>
      </c>
      <c r="AB69" s="84"/>
      <c r="AC69" s="85">
        <f t="shared" si="0"/>
        <v>0</v>
      </c>
      <c r="AD69" s="85"/>
      <c r="AE69" s="86">
        <f t="shared" si="1"/>
        <v>0</v>
      </c>
      <c r="AF69" s="19"/>
      <c r="AG69" s="67"/>
      <c r="AH69" s="106"/>
      <c r="AI69" s="106"/>
      <c r="AJ69" s="106"/>
      <c r="AK69" s="106"/>
      <c r="AL69" s="106"/>
      <c r="AM69" s="106">
        <f>+'Gov Fd Rv'!Q69+'Gov Fd Rv'!S69-'Gov Fnd Exp'!AC69-AG69+'Gov Fd Rv'!U69+AI69+AK69-'Gov Fd BS'!O72</f>
        <v>0</v>
      </c>
    </row>
    <row r="70" spans="1:39" ht="12.75" hidden="1">
      <c r="A70" s="28" t="s">
        <v>65</v>
      </c>
      <c r="B70" s="28"/>
      <c r="C70" s="84">
        <v>0</v>
      </c>
      <c r="D70" s="84"/>
      <c r="E70" s="84">
        <v>0</v>
      </c>
      <c r="F70" s="84"/>
      <c r="G70" s="84">
        <v>0</v>
      </c>
      <c r="H70" s="84"/>
      <c r="I70" s="84">
        <v>0</v>
      </c>
      <c r="J70" s="84"/>
      <c r="K70" s="84">
        <v>0</v>
      </c>
      <c r="L70" s="84"/>
      <c r="M70" s="84">
        <v>0</v>
      </c>
      <c r="N70" s="84"/>
      <c r="O70" s="84">
        <v>0</v>
      </c>
      <c r="P70" s="84"/>
      <c r="Q70" s="84">
        <v>0</v>
      </c>
      <c r="R70" s="84"/>
      <c r="S70" s="84">
        <v>0</v>
      </c>
      <c r="T70" s="84"/>
      <c r="U70" s="84">
        <v>0</v>
      </c>
      <c r="V70" s="84"/>
      <c r="W70" s="84">
        <v>0</v>
      </c>
      <c r="X70" s="84"/>
      <c r="Y70" s="84">
        <v>0</v>
      </c>
      <c r="Z70" s="84"/>
      <c r="AA70" s="84">
        <v>0</v>
      </c>
      <c r="AB70" s="84"/>
      <c r="AC70" s="85">
        <f t="shared" si="0"/>
        <v>0</v>
      </c>
      <c r="AD70" s="85"/>
      <c r="AE70" s="86">
        <f t="shared" si="1"/>
        <v>0</v>
      </c>
      <c r="AF70" s="19"/>
      <c r="AG70" s="67"/>
      <c r="AH70" s="106"/>
      <c r="AI70" s="106"/>
      <c r="AJ70" s="106"/>
      <c r="AK70" s="106"/>
      <c r="AL70" s="106"/>
      <c r="AM70" s="106">
        <f>+'Gov Fd Rv'!Q70+'Gov Fd Rv'!S70-'Gov Fnd Exp'!AC70-AG70+'Gov Fd Rv'!U70+AI70+AK70-'Gov Fd BS'!O73</f>
        <v>0</v>
      </c>
    </row>
    <row r="71" spans="1:39" ht="12.75">
      <c r="A71" s="28" t="s">
        <v>66</v>
      </c>
      <c r="B71" s="28"/>
      <c r="C71" s="84">
        <v>3940013</v>
      </c>
      <c r="D71" s="84"/>
      <c r="E71" s="84">
        <v>1623115</v>
      </c>
      <c r="F71" s="84"/>
      <c r="G71" s="84">
        <v>5327311</v>
      </c>
      <c r="H71" s="84"/>
      <c r="I71" s="84">
        <v>4126037</v>
      </c>
      <c r="J71" s="84"/>
      <c r="K71" s="84">
        <v>3765213</v>
      </c>
      <c r="L71" s="84"/>
      <c r="M71" s="84">
        <v>6801381</v>
      </c>
      <c r="N71" s="84"/>
      <c r="O71" s="84">
        <v>408758</v>
      </c>
      <c r="P71" s="84"/>
      <c r="Q71" s="84">
        <v>366474</v>
      </c>
      <c r="R71" s="84"/>
      <c r="S71" s="84">
        <v>210310</v>
      </c>
      <c r="T71" s="84"/>
      <c r="U71" s="84">
        <v>2780800</v>
      </c>
      <c r="V71" s="84"/>
      <c r="W71" s="84">
        <v>0</v>
      </c>
      <c r="X71" s="84"/>
      <c r="Y71" s="84">
        <v>404891</v>
      </c>
      <c r="Z71" s="84"/>
      <c r="AA71" s="84">
        <v>105309</v>
      </c>
      <c r="AB71" s="84"/>
      <c r="AC71" s="85">
        <f t="shared" si="0"/>
        <v>29859612</v>
      </c>
      <c r="AD71" s="85"/>
      <c r="AE71" s="86">
        <f t="shared" si="1"/>
        <v>26568612</v>
      </c>
      <c r="AF71" s="19"/>
      <c r="AG71" s="67">
        <v>793850</v>
      </c>
      <c r="AH71" s="106"/>
      <c r="AI71" s="106">
        <v>10098681</v>
      </c>
      <c r="AJ71" s="106"/>
      <c r="AK71" s="106"/>
      <c r="AL71" s="106"/>
      <c r="AM71" s="106">
        <f>+'Gov Fd Rv'!Q71+'Gov Fd Rv'!S71-'Gov Fnd Exp'!AC71-AG71+'Gov Fd Rv'!U71+AI71+AK71-'Gov Fd BS'!O74</f>
        <v>0</v>
      </c>
    </row>
    <row r="72" spans="1:39" ht="12.75">
      <c r="A72" s="28" t="s">
        <v>67</v>
      </c>
      <c r="B72" s="28"/>
      <c r="C72" s="84">
        <v>2785105</v>
      </c>
      <c r="D72" s="84"/>
      <c r="E72" s="84">
        <v>977431</v>
      </c>
      <c r="F72" s="84"/>
      <c r="G72" s="84">
        <v>2207834</v>
      </c>
      <c r="H72" s="84"/>
      <c r="I72" s="84">
        <v>4683934</v>
      </c>
      <c r="J72" s="84"/>
      <c r="K72" s="84">
        <v>3113939</v>
      </c>
      <c r="L72" s="84"/>
      <c r="M72" s="84">
        <v>5458347</v>
      </c>
      <c r="N72" s="84"/>
      <c r="O72" s="84">
        <v>819217</v>
      </c>
      <c r="P72" s="84"/>
      <c r="Q72" s="84">
        <v>210532</v>
      </c>
      <c r="R72" s="84"/>
      <c r="S72" s="84">
        <v>403</v>
      </c>
      <c r="T72" s="84"/>
      <c r="U72" s="84">
        <v>2508208</v>
      </c>
      <c r="V72" s="84"/>
      <c r="W72" s="84">
        <v>0</v>
      </c>
      <c r="X72" s="84"/>
      <c r="Y72" s="84">
        <v>81445</v>
      </c>
      <c r="Z72" s="84"/>
      <c r="AA72" s="84">
        <v>108842</v>
      </c>
      <c r="AB72" s="84"/>
      <c r="AC72" s="85">
        <f t="shared" si="0"/>
        <v>22955237</v>
      </c>
      <c r="AD72" s="85"/>
      <c r="AE72" s="86">
        <f t="shared" si="1"/>
        <v>20256742</v>
      </c>
      <c r="AF72" s="19"/>
      <c r="AG72" s="67">
        <v>592393</v>
      </c>
      <c r="AH72" s="106"/>
      <c r="AI72" s="106">
        <v>8473594</v>
      </c>
      <c r="AJ72" s="106"/>
      <c r="AK72" s="106"/>
      <c r="AL72" s="106"/>
      <c r="AM72" s="106">
        <f>+'Gov Fd Rv'!Q72+'Gov Fd Rv'!S72-'Gov Fnd Exp'!AC72-AG72+'Gov Fd Rv'!U72+AI72+AK72-'Gov Fd BS'!O75</f>
        <v>0</v>
      </c>
    </row>
    <row r="73" spans="1:39" ht="12.75">
      <c r="A73" s="28" t="s">
        <v>68</v>
      </c>
      <c r="B73" s="28"/>
      <c r="C73" s="84">
        <v>14088090</v>
      </c>
      <c r="D73" s="84"/>
      <c r="E73" s="84">
        <v>9684687</v>
      </c>
      <c r="F73" s="84"/>
      <c r="G73" s="84">
        <v>13797999</v>
      </c>
      <c r="H73" s="84"/>
      <c r="I73" s="84">
        <v>6529308</v>
      </c>
      <c r="J73" s="84"/>
      <c r="K73" s="84">
        <v>28894714</v>
      </c>
      <c r="L73" s="84"/>
      <c r="M73" s="84">
        <v>18812400</v>
      </c>
      <c r="N73" s="84"/>
      <c r="O73" s="84">
        <v>0</v>
      </c>
      <c r="P73" s="84"/>
      <c r="Q73" s="84">
        <v>0</v>
      </c>
      <c r="R73" s="84"/>
      <c r="S73" s="84">
        <v>335613</v>
      </c>
      <c r="T73" s="84"/>
      <c r="U73" s="84">
        <v>4586885</v>
      </c>
      <c r="V73" s="84"/>
      <c r="W73" s="84">
        <v>13676</v>
      </c>
      <c r="X73" s="84"/>
      <c r="Y73" s="84">
        <v>1707168</v>
      </c>
      <c r="Z73" s="84"/>
      <c r="AA73" s="84">
        <v>1139997</v>
      </c>
      <c r="AB73" s="84"/>
      <c r="AC73" s="85">
        <f aca="true" t="shared" si="2" ref="AC73:AC93">SUM(C73:AA73)</f>
        <v>99590537</v>
      </c>
      <c r="AD73" s="85"/>
      <c r="AE73" s="86">
        <f aca="true" t="shared" si="3" ref="AE73:AE93">SUM(C73:S73)</f>
        <v>92142811</v>
      </c>
      <c r="AF73" s="19"/>
      <c r="AG73" s="67">
        <v>1491811</v>
      </c>
      <c r="AH73" s="106"/>
      <c r="AI73" s="106">
        <v>45620994</v>
      </c>
      <c r="AJ73" s="106"/>
      <c r="AK73" s="106"/>
      <c r="AL73" s="106"/>
      <c r="AM73" s="106">
        <f>+'Gov Fd Rv'!Q73+'Gov Fd Rv'!S73-'Gov Fnd Exp'!AC73-AG73+'Gov Fd Rv'!U73+AI73+AK73-'Gov Fd BS'!O76</f>
        <v>0</v>
      </c>
    </row>
    <row r="74" spans="1:39" ht="12.75">
      <c r="A74" s="28" t="s">
        <v>69</v>
      </c>
      <c r="B74" s="28"/>
      <c r="C74" s="84">
        <v>3422402</v>
      </c>
      <c r="D74" s="84"/>
      <c r="E74" s="84">
        <v>1417664</v>
      </c>
      <c r="F74" s="84"/>
      <c r="G74" s="84">
        <v>4182682</v>
      </c>
      <c r="H74" s="84"/>
      <c r="I74" s="84">
        <v>4651339</v>
      </c>
      <c r="J74" s="84"/>
      <c r="K74" s="84">
        <v>2690693</v>
      </c>
      <c r="L74" s="84"/>
      <c r="M74" s="84">
        <v>8187333</v>
      </c>
      <c r="N74" s="84"/>
      <c r="O74" s="84">
        <v>515767</v>
      </c>
      <c r="P74" s="84"/>
      <c r="Q74" s="84">
        <v>0</v>
      </c>
      <c r="R74" s="84"/>
      <c r="S74" s="84">
        <v>351325</v>
      </c>
      <c r="T74" s="84"/>
      <c r="U74" s="84">
        <v>656020</v>
      </c>
      <c r="V74" s="84"/>
      <c r="W74" s="84">
        <v>277162</v>
      </c>
      <c r="X74" s="84"/>
      <c r="Y74" s="84">
        <v>520000</v>
      </c>
      <c r="Z74" s="84"/>
      <c r="AA74" s="84">
        <v>114629</v>
      </c>
      <c r="AB74" s="84"/>
      <c r="AC74" s="85">
        <f t="shared" si="2"/>
        <v>26987016</v>
      </c>
      <c r="AD74" s="85"/>
      <c r="AE74" s="86">
        <f t="shared" si="3"/>
        <v>25419205</v>
      </c>
      <c r="AF74" s="19"/>
      <c r="AG74" s="67">
        <v>243525</v>
      </c>
      <c r="AH74" s="106"/>
      <c r="AI74" s="106">
        <v>10308624</v>
      </c>
      <c r="AJ74" s="106"/>
      <c r="AK74" s="106"/>
      <c r="AL74" s="106"/>
      <c r="AM74" s="106">
        <f>+'Gov Fd Rv'!Q74+'Gov Fd Rv'!S74-'Gov Fnd Exp'!AC74-AG74+'Gov Fd Rv'!U74+AI74+AK74-'Gov Fd BS'!O77</f>
        <v>0</v>
      </c>
    </row>
    <row r="75" spans="1:39" ht="12.75" hidden="1">
      <c r="A75" s="28" t="s">
        <v>185</v>
      </c>
      <c r="B75" s="28"/>
      <c r="C75" s="84">
        <v>0</v>
      </c>
      <c r="D75" s="84"/>
      <c r="E75" s="84">
        <v>0</v>
      </c>
      <c r="F75" s="84"/>
      <c r="G75" s="84">
        <v>0</v>
      </c>
      <c r="H75" s="84"/>
      <c r="I75" s="84">
        <v>0</v>
      </c>
      <c r="J75" s="84"/>
      <c r="K75" s="84">
        <v>0</v>
      </c>
      <c r="L75" s="84"/>
      <c r="M75" s="84">
        <v>0</v>
      </c>
      <c r="N75" s="84"/>
      <c r="O75" s="84">
        <v>0</v>
      </c>
      <c r="P75" s="84"/>
      <c r="Q75" s="84">
        <v>0</v>
      </c>
      <c r="R75" s="84"/>
      <c r="S75" s="84">
        <v>0</v>
      </c>
      <c r="T75" s="84"/>
      <c r="U75" s="84">
        <v>0</v>
      </c>
      <c r="V75" s="84"/>
      <c r="W75" s="84">
        <v>0</v>
      </c>
      <c r="X75" s="84"/>
      <c r="Y75" s="84">
        <v>0</v>
      </c>
      <c r="Z75" s="84"/>
      <c r="AA75" s="84">
        <v>0</v>
      </c>
      <c r="AB75" s="84"/>
      <c r="AC75" s="85">
        <f t="shared" si="2"/>
        <v>0</v>
      </c>
      <c r="AD75" s="85"/>
      <c r="AE75" s="86">
        <f t="shared" si="3"/>
        <v>0</v>
      </c>
      <c r="AF75" s="19"/>
      <c r="AG75" s="67"/>
      <c r="AH75" s="106"/>
      <c r="AI75" s="106"/>
      <c r="AJ75" s="106"/>
      <c r="AK75" s="106"/>
      <c r="AL75" s="106"/>
      <c r="AM75" s="106">
        <f>+'Gov Fd Rv'!Q75+'Gov Fd Rv'!S75-'Gov Fnd Exp'!AC75-AG75+'Gov Fd Rv'!U75+AI75+AK75-'Gov Fd BS'!O78</f>
        <v>0</v>
      </c>
    </row>
    <row r="76" spans="1:39" ht="12.75">
      <c r="A76" s="28" t="s">
        <v>190</v>
      </c>
      <c r="B76" s="28"/>
      <c r="C76" s="84">
        <v>9789609</v>
      </c>
      <c r="D76" s="84"/>
      <c r="E76" s="84">
        <v>5679856</v>
      </c>
      <c r="F76" s="84"/>
      <c r="G76" s="84">
        <v>11742617</v>
      </c>
      <c r="H76" s="84"/>
      <c r="I76" s="84">
        <v>4884435</v>
      </c>
      <c r="J76" s="84"/>
      <c r="K76" s="84">
        <v>28849877</v>
      </c>
      <c r="L76" s="84"/>
      <c r="M76" s="84">
        <v>26803278</v>
      </c>
      <c r="N76" s="84"/>
      <c r="O76" s="84">
        <v>634927</v>
      </c>
      <c r="P76" s="84"/>
      <c r="Q76" s="84">
        <v>160223</v>
      </c>
      <c r="R76" s="84"/>
      <c r="S76" s="84">
        <v>72934</v>
      </c>
      <c r="T76" s="84"/>
      <c r="U76" s="84">
        <v>5515410</v>
      </c>
      <c r="V76" s="84"/>
      <c r="W76" s="84">
        <v>1465399</v>
      </c>
      <c r="X76" s="84"/>
      <c r="Y76" s="84">
        <v>1540240</v>
      </c>
      <c r="Z76" s="84"/>
      <c r="AA76" s="84">
        <v>1413520</v>
      </c>
      <c r="AB76" s="84"/>
      <c r="AC76" s="85">
        <f t="shared" si="2"/>
        <v>98552325</v>
      </c>
      <c r="AD76" s="85"/>
      <c r="AE76" s="86">
        <f t="shared" si="3"/>
        <v>88617756</v>
      </c>
      <c r="AF76" s="19"/>
      <c r="AG76" s="67">
        <v>2788176</v>
      </c>
      <c r="AH76" s="106"/>
      <c r="AI76" s="106">
        <v>29115785</v>
      </c>
      <c r="AJ76" s="106"/>
      <c r="AK76" s="106"/>
      <c r="AL76" s="106"/>
      <c r="AM76" s="106">
        <f>+'Gov Fd Rv'!Q76+'Gov Fd Rv'!S76-'Gov Fnd Exp'!AC76-AG76+'Gov Fd Rv'!U76+AI76+AK76-'Gov Fd BS'!O79</f>
        <v>0</v>
      </c>
    </row>
    <row r="77" spans="1:39" ht="12.75">
      <c r="A77" s="28" t="s">
        <v>70</v>
      </c>
      <c r="B77" s="28"/>
      <c r="C77" s="84">
        <v>3987089</v>
      </c>
      <c r="D77" s="84"/>
      <c r="E77" s="84">
        <v>2363027</v>
      </c>
      <c r="F77" s="84"/>
      <c r="G77" s="84">
        <v>7735939</v>
      </c>
      <c r="H77" s="84"/>
      <c r="I77" s="84">
        <v>5306029</v>
      </c>
      <c r="J77" s="84"/>
      <c r="K77" s="84">
        <v>591009</v>
      </c>
      <c r="L77" s="84"/>
      <c r="M77" s="84">
        <v>20839973</v>
      </c>
      <c r="N77" s="84"/>
      <c r="O77" s="84">
        <v>710199</v>
      </c>
      <c r="P77" s="84"/>
      <c r="Q77" s="84">
        <v>0</v>
      </c>
      <c r="R77" s="84"/>
      <c r="S77" s="84">
        <v>2070602</v>
      </c>
      <c r="T77" s="84"/>
      <c r="U77" s="84">
        <v>4861687</v>
      </c>
      <c r="V77" s="84"/>
      <c r="W77" s="84">
        <v>0</v>
      </c>
      <c r="X77" s="84"/>
      <c r="Y77" s="84">
        <v>2872130</v>
      </c>
      <c r="Z77" s="84"/>
      <c r="AA77" s="84">
        <v>707392</v>
      </c>
      <c r="AB77" s="84"/>
      <c r="AC77" s="85">
        <f t="shared" si="2"/>
        <v>52045076</v>
      </c>
      <c r="AD77" s="85"/>
      <c r="AE77" s="86">
        <f t="shared" si="3"/>
        <v>43603867</v>
      </c>
      <c r="AF77" s="19"/>
      <c r="AG77" s="67">
        <v>7404121</v>
      </c>
      <c r="AH77" s="106"/>
      <c r="AI77" s="106">
        <v>5384751</v>
      </c>
      <c r="AJ77" s="106"/>
      <c r="AK77" s="106"/>
      <c r="AL77" s="106"/>
      <c r="AM77" s="106">
        <f>+'Gov Fd Rv'!Q77+'Gov Fd Rv'!S77-'Gov Fnd Exp'!AC77-AG77+'Gov Fd Rv'!U77+AI77+AK77-'Gov Fd BS'!O80</f>
        <v>0</v>
      </c>
    </row>
    <row r="78" spans="1:39" ht="12.75">
      <c r="A78" s="28" t="s">
        <v>99</v>
      </c>
      <c r="B78" s="28"/>
      <c r="C78" s="84">
        <v>4211821</v>
      </c>
      <c r="D78" s="84"/>
      <c r="E78" s="84">
        <v>2490197</v>
      </c>
      <c r="F78" s="84"/>
      <c r="G78" s="84">
        <v>8384166</v>
      </c>
      <c r="H78" s="84"/>
      <c r="I78" s="84">
        <v>4417237</v>
      </c>
      <c r="J78" s="84"/>
      <c r="K78" s="84">
        <v>308678</v>
      </c>
      <c r="L78" s="84"/>
      <c r="M78" s="84">
        <v>18191391</v>
      </c>
      <c r="N78" s="84"/>
      <c r="O78" s="84">
        <v>1505072</v>
      </c>
      <c r="P78" s="84"/>
      <c r="Q78" s="84">
        <v>0</v>
      </c>
      <c r="R78" s="84"/>
      <c r="S78" s="84">
        <v>391470</v>
      </c>
      <c r="T78" s="84"/>
      <c r="U78" s="84">
        <v>5020933</v>
      </c>
      <c r="V78" s="84"/>
      <c r="W78" s="84">
        <v>228400</v>
      </c>
      <c r="X78" s="84"/>
      <c r="Y78" s="84">
        <v>403355</v>
      </c>
      <c r="Z78" s="84"/>
      <c r="AA78" s="84">
        <v>334800</v>
      </c>
      <c r="AB78" s="84"/>
      <c r="AC78" s="85">
        <f t="shared" si="2"/>
        <v>45887520</v>
      </c>
      <c r="AD78" s="85"/>
      <c r="AE78" s="86">
        <f t="shared" si="3"/>
        <v>39900032</v>
      </c>
      <c r="AF78" s="19"/>
      <c r="AG78" s="67">
        <v>1551339</v>
      </c>
      <c r="AH78" s="106"/>
      <c r="AI78" s="106">
        <v>17109011</v>
      </c>
      <c r="AJ78" s="106"/>
      <c r="AK78" s="106"/>
      <c r="AL78" s="106"/>
      <c r="AM78" s="106">
        <f>+'Gov Fd Rv'!Q78+'Gov Fd Rv'!S78-'Gov Fnd Exp'!AC78-AG78+'Gov Fd Rv'!U78+AI78+AK78-'Gov Fd BS'!O81</f>
        <v>0</v>
      </c>
    </row>
    <row r="79" spans="1:39" ht="12.75">
      <c r="A79" s="28" t="s">
        <v>71</v>
      </c>
      <c r="B79" s="28"/>
      <c r="C79" s="84">
        <v>6518033</v>
      </c>
      <c r="D79" s="84"/>
      <c r="E79" s="84">
        <v>2569639</v>
      </c>
      <c r="F79" s="84"/>
      <c r="G79" s="84">
        <f>3668451+3914306</f>
        <v>7582757</v>
      </c>
      <c r="H79" s="84"/>
      <c r="I79" s="84">
        <v>4731345</v>
      </c>
      <c r="J79" s="84"/>
      <c r="K79" s="84">
        <v>7674485</v>
      </c>
      <c r="L79" s="84"/>
      <c r="M79" s="84">
        <v>18587778</v>
      </c>
      <c r="N79" s="84"/>
      <c r="O79" s="84">
        <v>1035074</v>
      </c>
      <c r="P79" s="84"/>
      <c r="Q79" s="84">
        <v>293995</v>
      </c>
      <c r="R79" s="84"/>
      <c r="S79" s="84">
        <v>836084</v>
      </c>
      <c r="T79" s="84"/>
      <c r="U79" s="84">
        <v>1582975</v>
      </c>
      <c r="V79" s="84"/>
      <c r="W79" s="84">
        <v>0</v>
      </c>
      <c r="X79" s="84"/>
      <c r="Y79" s="84">
        <v>939217</v>
      </c>
      <c r="Z79" s="84"/>
      <c r="AA79" s="84">
        <v>550159</v>
      </c>
      <c r="AB79" s="84"/>
      <c r="AC79" s="85">
        <f t="shared" si="2"/>
        <v>52901541</v>
      </c>
      <c r="AD79" s="85"/>
      <c r="AE79" s="86">
        <f t="shared" si="3"/>
        <v>49829190</v>
      </c>
      <c r="AF79" s="19"/>
      <c r="AG79" s="67">
        <v>2864227</v>
      </c>
      <c r="AH79" s="106"/>
      <c r="AI79" s="106">
        <v>14710375</v>
      </c>
      <c r="AJ79" s="106"/>
      <c r="AK79" s="106"/>
      <c r="AL79" s="106"/>
      <c r="AM79" s="106">
        <f>+'Gov Fd Rv'!Q79+'Gov Fd Rv'!S79-'Gov Fnd Exp'!AC79-AG79+'Gov Fd Rv'!U79+AI79+AK79-'Gov Fd BS'!O82</f>
        <v>0</v>
      </c>
    </row>
    <row r="80" spans="1:39" ht="12.75">
      <c r="A80" s="28" t="s">
        <v>72</v>
      </c>
      <c r="B80" s="28"/>
      <c r="C80" s="84">
        <v>4075891</v>
      </c>
      <c r="D80" s="84"/>
      <c r="E80" s="84">
        <v>2313136</v>
      </c>
      <c r="F80" s="84"/>
      <c r="G80" s="84">
        <v>4616140</v>
      </c>
      <c r="H80" s="84"/>
      <c r="I80" s="84">
        <v>2860979</v>
      </c>
      <c r="J80" s="84"/>
      <c r="K80" s="84">
        <v>6765262</v>
      </c>
      <c r="L80" s="84"/>
      <c r="M80" s="84">
        <v>8525039</v>
      </c>
      <c r="N80" s="84"/>
      <c r="O80" s="84">
        <v>516254</v>
      </c>
      <c r="P80" s="84"/>
      <c r="Q80" s="84">
        <v>187869</v>
      </c>
      <c r="R80" s="84"/>
      <c r="S80" s="84">
        <v>-2451996</v>
      </c>
      <c r="T80" s="84"/>
      <c r="U80" s="84">
        <v>6935842</v>
      </c>
      <c r="V80" s="84"/>
      <c r="W80" s="84">
        <v>0</v>
      </c>
      <c r="X80" s="84"/>
      <c r="Y80" s="84">
        <v>1473373</v>
      </c>
      <c r="Z80" s="84"/>
      <c r="AA80" s="84">
        <v>324023</v>
      </c>
      <c r="AB80" s="84"/>
      <c r="AC80" s="85">
        <f t="shared" si="2"/>
        <v>36141812</v>
      </c>
      <c r="AD80" s="85"/>
      <c r="AE80" s="86">
        <f t="shared" si="3"/>
        <v>27408574</v>
      </c>
      <c r="AF80" s="19"/>
      <c r="AG80" s="67">
        <v>1034598</v>
      </c>
      <c r="AH80" s="106"/>
      <c r="AI80" s="106">
        <v>11006427</v>
      </c>
      <c r="AJ80" s="106"/>
      <c r="AK80" s="106"/>
      <c r="AL80" s="106"/>
      <c r="AM80" s="106">
        <f>+'Gov Fd Rv'!Q80+'Gov Fd Rv'!S80-'Gov Fnd Exp'!AC80-AG80+'Gov Fd Rv'!U80+AI80+AK80-'Gov Fd BS'!O83</f>
        <v>0</v>
      </c>
    </row>
    <row r="81" spans="1:39" ht="12.75">
      <c r="A81" s="28" t="s">
        <v>73</v>
      </c>
      <c r="B81" s="28"/>
      <c r="C81" s="84">
        <v>4146451</v>
      </c>
      <c r="D81" s="84"/>
      <c r="E81" s="84">
        <v>2231733</v>
      </c>
      <c r="F81" s="84"/>
      <c r="G81" s="84">
        <v>4434374</v>
      </c>
      <c r="H81" s="84"/>
      <c r="I81" s="84">
        <v>6776336</v>
      </c>
      <c r="J81" s="84"/>
      <c r="K81" s="84">
        <v>315414</v>
      </c>
      <c r="L81" s="84"/>
      <c r="M81" s="84">
        <v>13774746</v>
      </c>
      <c r="N81" s="84"/>
      <c r="O81" s="84">
        <v>290321</v>
      </c>
      <c r="P81" s="84"/>
      <c r="Q81" s="84">
        <v>0</v>
      </c>
      <c r="R81" s="84"/>
      <c r="S81" s="84">
        <v>0</v>
      </c>
      <c r="T81" s="84"/>
      <c r="U81" s="84">
        <v>3264967</v>
      </c>
      <c r="V81" s="84"/>
      <c r="W81" s="84">
        <v>499920</v>
      </c>
      <c r="X81" s="84"/>
      <c r="Y81" s="84">
        <v>1564930</v>
      </c>
      <c r="Z81" s="84"/>
      <c r="AA81" s="84">
        <v>124191</v>
      </c>
      <c r="AB81" s="84"/>
      <c r="AC81" s="85">
        <f t="shared" si="2"/>
        <v>37423383</v>
      </c>
      <c r="AD81" s="85"/>
      <c r="AE81" s="86">
        <f t="shared" si="3"/>
        <v>31969375</v>
      </c>
      <c r="AF81" s="19"/>
      <c r="AG81" s="67">
        <v>1490123</v>
      </c>
      <c r="AH81" s="106"/>
      <c r="AI81" s="106">
        <v>14057389</v>
      </c>
      <c r="AJ81" s="106"/>
      <c r="AK81" s="106"/>
      <c r="AL81" s="106"/>
      <c r="AM81" s="106">
        <f>+'Gov Fd Rv'!Q81+'Gov Fd Rv'!S81-'Gov Fnd Exp'!AC81-AG81+'Gov Fd Rv'!U81+AI81+AK81-'Gov Fd BS'!O84</f>
        <v>0</v>
      </c>
    </row>
    <row r="82" spans="1:39" ht="12.75">
      <c r="A82" s="28" t="s">
        <v>74</v>
      </c>
      <c r="B82" s="28"/>
      <c r="C82" s="84">
        <v>16802004</v>
      </c>
      <c r="D82" s="84"/>
      <c r="E82" s="84">
        <v>12573286</v>
      </c>
      <c r="F82" s="84"/>
      <c r="G82" s="84">
        <v>19433106</v>
      </c>
      <c r="H82" s="84"/>
      <c r="I82" s="84">
        <v>16496313</v>
      </c>
      <c r="J82" s="84"/>
      <c r="K82" s="84">
        <v>65888811</v>
      </c>
      <c r="L82" s="84"/>
      <c r="M82" s="84">
        <v>64615161</v>
      </c>
      <c r="N82" s="84"/>
      <c r="O82" s="84">
        <v>0</v>
      </c>
      <c r="P82" s="84"/>
      <c r="Q82" s="84">
        <v>0</v>
      </c>
      <c r="R82" s="84"/>
      <c r="S82" s="84">
        <v>889611</v>
      </c>
      <c r="T82" s="84"/>
      <c r="U82" s="84">
        <v>5961169</v>
      </c>
      <c r="V82" s="84"/>
      <c r="W82" s="84">
        <v>8766802</v>
      </c>
      <c r="X82" s="84"/>
      <c r="Y82" s="84">
        <v>367771</v>
      </c>
      <c r="Z82" s="84"/>
      <c r="AA82" s="84">
        <v>211165</v>
      </c>
      <c r="AB82" s="84"/>
      <c r="AC82" s="85">
        <f t="shared" si="2"/>
        <v>212005199</v>
      </c>
      <c r="AD82" s="85"/>
      <c r="AE82" s="86">
        <f t="shared" si="3"/>
        <v>196698292</v>
      </c>
      <c r="AF82" s="19"/>
      <c r="AG82" s="67">
        <v>412314</v>
      </c>
      <c r="AH82" s="106"/>
      <c r="AI82" s="106">
        <v>76804228</v>
      </c>
      <c r="AJ82" s="106"/>
      <c r="AK82" s="106"/>
      <c r="AL82" s="106"/>
      <c r="AM82" s="106">
        <f>+'Gov Fd Rv'!Q82+'Gov Fd Rv'!S82-'Gov Fnd Exp'!AC82-AG82+'Gov Fd Rv'!U82+AI82+AK82-'Gov Fd BS'!O85</f>
        <v>0</v>
      </c>
    </row>
    <row r="83" spans="1:39" ht="12.75">
      <c r="A83" s="28" t="s">
        <v>75</v>
      </c>
      <c r="B83" s="28"/>
      <c r="C83" s="84">
        <v>30861566</v>
      </c>
      <c r="D83" s="84"/>
      <c r="E83" s="84">
        <v>25238545</v>
      </c>
      <c r="F83" s="84"/>
      <c r="G83" s="84">
        <v>60416651</v>
      </c>
      <c r="H83" s="84"/>
      <c r="I83" s="84">
        <v>15818398</v>
      </c>
      <c r="J83" s="84"/>
      <c r="K83" s="84">
        <v>109596315</v>
      </c>
      <c r="L83" s="84"/>
      <c r="M83" s="84">
        <v>4399332</v>
      </c>
      <c r="N83" s="84"/>
      <c r="O83" s="84">
        <v>3404632</v>
      </c>
      <c r="P83" s="84"/>
      <c r="Q83" s="84">
        <v>292411</v>
      </c>
      <c r="R83" s="84"/>
      <c r="S83" s="84">
        <v>1542821</v>
      </c>
      <c r="T83" s="84"/>
      <c r="U83" s="84">
        <v>26695098</v>
      </c>
      <c r="V83" s="84"/>
      <c r="W83" s="84">
        <v>113008532</v>
      </c>
      <c r="X83" s="84"/>
      <c r="Y83" s="84">
        <v>9592648</v>
      </c>
      <c r="Z83" s="84"/>
      <c r="AA83" s="84">
        <v>4842374</v>
      </c>
      <c r="AB83" s="84"/>
      <c r="AC83" s="85">
        <f t="shared" si="2"/>
        <v>405709323</v>
      </c>
      <c r="AD83" s="85"/>
      <c r="AE83" s="86">
        <f t="shared" si="3"/>
        <v>251570671</v>
      </c>
      <c r="AF83" s="19"/>
      <c r="AG83" s="67">
        <v>8076532</v>
      </c>
      <c r="AH83" s="106"/>
      <c r="AI83" s="106">
        <v>203212532</v>
      </c>
      <c r="AJ83" s="106"/>
      <c r="AK83" s="106"/>
      <c r="AL83" s="106"/>
      <c r="AM83" s="106">
        <f>+'Gov Fd Rv'!Q83+'Gov Fd Rv'!S83-'Gov Fnd Exp'!AC83-AG83+'Gov Fd Rv'!U83+AI83+AK83-'Gov Fd BS'!O86</f>
        <v>0</v>
      </c>
    </row>
    <row r="84" spans="1:39" ht="12.75">
      <c r="A84" s="28" t="s">
        <v>76</v>
      </c>
      <c r="B84" s="28"/>
      <c r="C84" s="84">
        <v>16292524</v>
      </c>
      <c r="D84" s="84"/>
      <c r="E84" s="84">
        <v>10531978</v>
      </c>
      <c r="F84" s="84"/>
      <c r="G84" s="84">
        <v>13880551</v>
      </c>
      <c r="H84" s="84"/>
      <c r="I84" s="84">
        <v>11536109</v>
      </c>
      <c r="J84" s="84"/>
      <c r="K84" s="84">
        <v>31983392</v>
      </c>
      <c r="L84" s="84"/>
      <c r="M84" s="84">
        <v>44681212</v>
      </c>
      <c r="N84" s="84"/>
      <c r="O84" s="84">
        <v>665353</v>
      </c>
      <c r="P84" s="84"/>
      <c r="Q84" s="84">
        <v>0</v>
      </c>
      <c r="R84" s="84"/>
      <c r="S84" s="84">
        <v>76960</v>
      </c>
      <c r="T84" s="84"/>
      <c r="U84" s="84">
        <v>4792253</v>
      </c>
      <c r="V84" s="84"/>
      <c r="W84" s="84">
        <v>3512388</v>
      </c>
      <c r="X84" s="84"/>
      <c r="Y84" s="84">
        <v>7873249</v>
      </c>
      <c r="Z84" s="84"/>
      <c r="AA84" s="84">
        <v>2204458</v>
      </c>
      <c r="AB84" s="84"/>
      <c r="AC84" s="85">
        <f t="shared" si="2"/>
        <v>148030427</v>
      </c>
      <c r="AD84" s="85"/>
      <c r="AE84" s="86">
        <f t="shared" si="3"/>
        <v>129648079</v>
      </c>
      <c r="AF84" s="19"/>
      <c r="AG84" s="67">
        <v>4275608</v>
      </c>
      <c r="AH84" s="106"/>
      <c r="AI84" s="106">
        <v>52279480</v>
      </c>
      <c r="AJ84" s="106"/>
      <c r="AK84" s="106"/>
      <c r="AL84" s="106"/>
      <c r="AM84" s="106">
        <f>+'Gov Fd Rv'!Q84+'Gov Fd Rv'!S84-'Gov Fnd Exp'!AC84-AG84+'Gov Fd Rv'!U84+AI84+AK84-'Gov Fd BS'!O87</f>
        <v>0</v>
      </c>
    </row>
    <row r="85" spans="1:39" ht="12.75">
      <c r="A85" s="28" t="s">
        <v>77</v>
      </c>
      <c r="B85" s="28"/>
      <c r="C85" s="84">
        <v>5828419</v>
      </c>
      <c r="D85" s="84"/>
      <c r="E85" s="84">
        <v>3605615</v>
      </c>
      <c r="F85" s="84"/>
      <c r="G85" s="84">
        <v>7509514</v>
      </c>
      <c r="H85" s="84"/>
      <c r="I85" s="84">
        <v>6372235</v>
      </c>
      <c r="J85" s="84"/>
      <c r="K85" s="84">
        <v>6414739</v>
      </c>
      <c r="L85" s="84"/>
      <c r="M85" s="84">
        <v>16625171</v>
      </c>
      <c r="N85" s="84"/>
      <c r="O85" s="84">
        <v>0</v>
      </c>
      <c r="P85" s="84"/>
      <c r="Q85" s="84">
        <v>0</v>
      </c>
      <c r="R85" s="84"/>
      <c r="S85" s="84">
        <v>0</v>
      </c>
      <c r="T85" s="84"/>
      <c r="U85" s="84">
        <v>2048817</v>
      </c>
      <c r="V85" s="84"/>
      <c r="W85" s="84">
        <v>1093361</v>
      </c>
      <c r="X85" s="84"/>
      <c r="Y85" s="84">
        <v>74563</v>
      </c>
      <c r="Z85" s="84"/>
      <c r="AA85" s="84">
        <v>14461</v>
      </c>
      <c r="AB85" s="84"/>
      <c r="AC85" s="85">
        <f t="shared" si="2"/>
        <v>49586895</v>
      </c>
      <c r="AD85" s="85"/>
      <c r="AE85" s="86">
        <f t="shared" si="3"/>
        <v>46355693</v>
      </c>
      <c r="AF85" s="19"/>
      <c r="AG85" s="67">
        <v>7088703</v>
      </c>
      <c r="AH85" s="106"/>
      <c r="AI85" s="106">
        <v>50250486</v>
      </c>
      <c r="AJ85" s="106"/>
      <c r="AK85" s="106"/>
      <c r="AL85" s="106"/>
      <c r="AM85" s="106">
        <f>+'Gov Fd Rv'!Q85+'Gov Fd Rv'!S85-'Gov Fnd Exp'!AC85-AG85+'Gov Fd Rv'!U85+AI85+AK85-'Gov Fd BS'!O88</f>
        <v>0</v>
      </c>
    </row>
    <row r="86" spans="1:39" ht="12.75">
      <c r="A86" s="28" t="s">
        <v>78</v>
      </c>
      <c r="B86" s="28"/>
      <c r="C86" s="84">
        <v>9283243</v>
      </c>
      <c r="D86" s="84"/>
      <c r="E86" s="84">
        <v>1662842</v>
      </c>
      <c r="F86" s="84"/>
      <c r="G86" s="84">
        <v>5194829</v>
      </c>
      <c r="H86" s="84"/>
      <c r="I86" s="84">
        <v>4020510</v>
      </c>
      <c r="J86" s="84"/>
      <c r="K86" s="84">
        <v>3364327</v>
      </c>
      <c r="L86" s="84"/>
      <c r="M86" s="84">
        <v>11483709</v>
      </c>
      <c r="N86" s="84"/>
      <c r="O86" s="84">
        <v>235593</v>
      </c>
      <c r="P86" s="84"/>
      <c r="Q86" s="84">
        <v>0</v>
      </c>
      <c r="R86" s="84"/>
      <c r="S86" s="84">
        <v>663205</v>
      </c>
      <c r="T86" s="84"/>
      <c r="U86" s="84">
        <v>4254021</v>
      </c>
      <c r="V86" s="84"/>
      <c r="W86" s="84">
        <v>0</v>
      </c>
      <c r="X86" s="84"/>
      <c r="Y86" s="84">
        <v>542511</v>
      </c>
      <c r="Z86" s="84"/>
      <c r="AA86" s="84">
        <v>454318</v>
      </c>
      <c r="AB86" s="84"/>
      <c r="AC86" s="85">
        <f t="shared" si="2"/>
        <v>41159108</v>
      </c>
      <c r="AD86" s="85"/>
      <c r="AE86" s="86">
        <f t="shared" si="3"/>
        <v>35908258</v>
      </c>
      <c r="AF86" s="19"/>
      <c r="AG86" s="67">
        <v>3540147</v>
      </c>
      <c r="AH86" s="106"/>
      <c r="AI86" s="106">
        <v>13310089</v>
      </c>
      <c r="AJ86" s="106"/>
      <c r="AK86" s="106">
        <v>-115288</v>
      </c>
      <c r="AL86" s="106"/>
      <c r="AM86" s="106">
        <f>+'Gov Fd Rv'!Q86+'Gov Fd Rv'!S86-'Gov Fnd Exp'!AC86-AG86+'Gov Fd Rv'!U86+AI86+AK86-'Gov Fd BS'!O89</f>
        <v>0</v>
      </c>
    </row>
    <row r="87" spans="1:39" ht="12.75">
      <c r="A87" s="28" t="s">
        <v>79</v>
      </c>
      <c r="B87" s="28"/>
      <c r="C87" s="84">
        <v>4170740</v>
      </c>
      <c r="D87" s="84"/>
      <c r="E87" s="84">
        <v>1302238</v>
      </c>
      <c r="F87" s="84"/>
      <c r="G87" s="84">
        <v>2998757</v>
      </c>
      <c r="H87" s="84"/>
      <c r="I87" s="84">
        <v>2858199</v>
      </c>
      <c r="J87" s="84"/>
      <c r="K87" s="84">
        <v>88862</v>
      </c>
      <c r="L87" s="84"/>
      <c r="M87" s="84">
        <v>8881805</v>
      </c>
      <c r="N87" s="84"/>
      <c r="O87" s="84">
        <v>497843</v>
      </c>
      <c r="P87" s="84"/>
      <c r="Q87" s="84">
        <v>0</v>
      </c>
      <c r="R87" s="84"/>
      <c r="S87" s="84">
        <v>-187153</v>
      </c>
      <c r="T87" s="84"/>
      <c r="U87" s="84">
        <v>3412679</v>
      </c>
      <c r="V87" s="84"/>
      <c r="W87" s="84">
        <v>305891</v>
      </c>
      <c r="X87" s="84"/>
      <c r="Y87" s="84">
        <v>776591</v>
      </c>
      <c r="Z87" s="84"/>
      <c r="AA87" s="84">
        <v>72602</v>
      </c>
      <c r="AB87" s="84"/>
      <c r="AC87" s="85">
        <f t="shared" si="2"/>
        <v>25179054</v>
      </c>
      <c r="AD87" s="85"/>
      <c r="AE87" s="86">
        <f t="shared" si="3"/>
        <v>20611291</v>
      </c>
      <c r="AF87" s="19"/>
      <c r="AG87" s="67">
        <v>710473</v>
      </c>
      <c r="AH87" s="106"/>
      <c r="AI87" s="106">
        <v>9189130</v>
      </c>
      <c r="AJ87" s="106"/>
      <c r="AK87" s="106"/>
      <c r="AL87" s="106"/>
      <c r="AM87" s="106">
        <f>+'Gov Fd Rv'!Q87+'Gov Fd Rv'!S87-'Gov Fnd Exp'!AC87-AG87+'Gov Fd Rv'!U87+AI87+AK87-'Gov Fd BS'!O90</f>
        <v>0</v>
      </c>
    </row>
    <row r="88" spans="1:39" ht="12.75">
      <c r="A88" s="28" t="s">
        <v>80</v>
      </c>
      <c r="B88" s="28"/>
      <c r="C88" s="84">
        <v>1391264</v>
      </c>
      <c r="D88" s="84"/>
      <c r="E88" s="84">
        <v>720986</v>
      </c>
      <c r="F88" s="84"/>
      <c r="G88" s="84">
        <v>1019995</v>
      </c>
      <c r="H88" s="84"/>
      <c r="I88" s="84">
        <v>4039940</v>
      </c>
      <c r="J88" s="84"/>
      <c r="K88" s="84">
        <v>1353716</v>
      </c>
      <c r="L88" s="84"/>
      <c r="M88" s="84">
        <v>4485681</v>
      </c>
      <c r="N88" s="84"/>
      <c r="O88" s="84">
        <v>0</v>
      </c>
      <c r="P88" s="84"/>
      <c r="Q88" s="84">
        <v>15956</v>
      </c>
      <c r="R88" s="84"/>
      <c r="S88" s="84">
        <v>418156</v>
      </c>
      <c r="T88" s="84"/>
      <c r="U88" s="84">
        <v>2267395</v>
      </c>
      <c r="V88" s="84"/>
      <c r="W88" s="84">
        <v>0</v>
      </c>
      <c r="X88" s="84"/>
      <c r="Y88" s="84">
        <v>60472</v>
      </c>
      <c r="Z88" s="84"/>
      <c r="AA88" s="84">
        <v>158696</v>
      </c>
      <c r="AB88" s="84"/>
      <c r="AC88" s="85">
        <f t="shared" si="2"/>
        <v>15932257</v>
      </c>
      <c r="AD88" s="85"/>
      <c r="AE88" s="86">
        <f t="shared" si="3"/>
        <v>13445694</v>
      </c>
      <c r="AF88" s="19"/>
      <c r="AG88" s="67">
        <v>475998</v>
      </c>
      <c r="AH88" s="106"/>
      <c r="AI88" s="106">
        <v>5509755</v>
      </c>
      <c r="AJ88" s="106"/>
      <c r="AK88" s="106">
        <v>-134255</v>
      </c>
      <c r="AL88" s="106"/>
      <c r="AM88" s="106">
        <f>+'Gov Fd Rv'!Q88+'Gov Fd Rv'!S88-'Gov Fnd Exp'!AC88-AG88+'Gov Fd Rv'!U88+AI88+AK88-'Gov Fd BS'!O91</f>
        <v>0</v>
      </c>
    </row>
    <row r="89" spans="1:39" ht="12.75">
      <c r="A89" s="28" t="s">
        <v>81</v>
      </c>
      <c r="B89" s="28"/>
      <c r="C89" s="84">
        <v>15406359</v>
      </c>
      <c r="D89" s="84"/>
      <c r="E89" s="84">
        <v>7302996</v>
      </c>
      <c r="F89" s="84"/>
      <c r="G89" s="84">
        <v>17971299</v>
      </c>
      <c r="H89" s="84"/>
      <c r="I89" s="84">
        <v>5879020</v>
      </c>
      <c r="J89" s="84"/>
      <c r="K89" s="84">
        <v>613223</v>
      </c>
      <c r="L89" s="84"/>
      <c r="M89" s="84">
        <v>35358416</v>
      </c>
      <c r="N89" s="84"/>
      <c r="O89" s="84">
        <v>850560</v>
      </c>
      <c r="P89" s="84"/>
      <c r="Q89" s="84">
        <v>0</v>
      </c>
      <c r="R89" s="84"/>
      <c r="S89" s="84">
        <v>0</v>
      </c>
      <c r="T89" s="84"/>
      <c r="U89" s="84">
        <v>1778516</v>
      </c>
      <c r="V89" s="84"/>
      <c r="W89" s="84">
        <v>0</v>
      </c>
      <c r="X89" s="84"/>
      <c r="Y89" s="84">
        <v>1293562</v>
      </c>
      <c r="Z89" s="84"/>
      <c r="AA89" s="84">
        <v>1208673</v>
      </c>
      <c r="AB89" s="84"/>
      <c r="AC89" s="85">
        <f t="shared" si="2"/>
        <v>87662624</v>
      </c>
      <c r="AD89" s="85"/>
      <c r="AE89" s="86">
        <f t="shared" si="3"/>
        <v>83381873</v>
      </c>
      <c r="AF89" s="19"/>
      <c r="AG89" s="67">
        <v>4888278</v>
      </c>
      <c r="AH89" s="106"/>
      <c r="AI89" s="106">
        <v>47854318</v>
      </c>
      <c r="AJ89" s="106"/>
      <c r="AK89" s="106">
        <v>60539</v>
      </c>
      <c r="AL89" s="106"/>
      <c r="AM89" s="106">
        <f>+'Gov Fd Rv'!Q89+'Gov Fd Rv'!S89-'Gov Fnd Exp'!AC89-AG89+'Gov Fd Rv'!U89+AI89+AK89-'Gov Fd BS'!O92</f>
        <v>0</v>
      </c>
    </row>
    <row r="90" spans="1:39" ht="12.75">
      <c r="A90" s="28" t="s">
        <v>82</v>
      </c>
      <c r="B90" s="28"/>
      <c r="C90" s="84">
        <v>4401186</v>
      </c>
      <c r="D90" s="84"/>
      <c r="E90" s="84">
        <v>1605418</v>
      </c>
      <c r="F90" s="84"/>
      <c r="G90" s="84">
        <v>5854746</v>
      </c>
      <c r="H90" s="84"/>
      <c r="I90" s="84">
        <v>7309645</v>
      </c>
      <c r="J90" s="84"/>
      <c r="K90" s="84">
        <f>3895985+6023326+2084408+269145</f>
        <v>12272864</v>
      </c>
      <c r="L90" s="84"/>
      <c r="M90" s="84">
        <f>890670+2309568+8331187+1526896</f>
        <v>13058321</v>
      </c>
      <c r="N90" s="84"/>
      <c r="O90" s="84">
        <v>608732</v>
      </c>
      <c r="P90" s="84"/>
      <c r="Q90" s="84">
        <v>0</v>
      </c>
      <c r="R90" s="84"/>
      <c r="S90" s="84">
        <v>0</v>
      </c>
      <c r="T90" s="84"/>
      <c r="U90" s="84">
        <v>7992654</v>
      </c>
      <c r="V90" s="84"/>
      <c r="W90" s="84">
        <v>2307173</v>
      </c>
      <c r="X90" s="84"/>
      <c r="Y90" s="84">
        <v>6062019</v>
      </c>
      <c r="Z90" s="84"/>
      <c r="AA90" s="84">
        <v>339413</v>
      </c>
      <c r="AB90" s="84"/>
      <c r="AC90" s="85">
        <f t="shared" si="2"/>
        <v>61812171</v>
      </c>
      <c r="AD90" s="85"/>
      <c r="AE90" s="86">
        <f t="shared" si="3"/>
        <v>45110912</v>
      </c>
      <c r="AF90" s="19"/>
      <c r="AG90" s="67">
        <v>3323864</v>
      </c>
      <c r="AH90" s="106"/>
      <c r="AI90" s="106">
        <v>27251702</v>
      </c>
      <c r="AJ90" s="106"/>
      <c r="AK90" s="106"/>
      <c r="AL90" s="106"/>
      <c r="AM90" s="106">
        <v>0</v>
      </c>
    </row>
    <row r="91" spans="1:39" ht="12.75">
      <c r="A91" s="28" t="s">
        <v>83</v>
      </c>
      <c r="B91" s="28"/>
      <c r="C91" s="84">
        <v>8323649</v>
      </c>
      <c r="D91" s="84"/>
      <c r="E91" s="84">
        <v>3919875</v>
      </c>
      <c r="F91" s="84"/>
      <c r="G91" s="84">
        <v>8685057</v>
      </c>
      <c r="H91" s="84"/>
      <c r="I91" s="84">
        <v>5651449</v>
      </c>
      <c r="J91" s="84"/>
      <c r="K91" s="84">
        <v>471654</v>
      </c>
      <c r="L91" s="84"/>
      <c r="M91" s="84">
        <v>30372975</v>
      </c>
      <c r="N91" s="84"/>
      <c r="O91" s="84">
        <v>357410</v>
      </c>
      <c r="P91" s="84"/>
      <c r="Q91" s="84">
        <v>162190</v>
      </c>
      <c r="R91" s="84"/>
      <c r="S91" s="84">
        <f>103002+376144+980936</f>
        <v>1460082</v>
      </c>
      <c r="T91" s="84"/>
      <c r="U91" s="84">
        <v>7886569</v>
      </c>
      <c r="V91" s="84"/>
      <c r="W91" s="84">
        <v>0</v>
      </c>
      <c r="X91" s="84"/>
      <c r="Y91" s="84">
        <v>768687</v>
      </c>
      <c r="Z91" s="84"/>
      <c r="AA91" s="84">
        <v>849476</v>
      </c>
      <c r="AB91" s="84"/>
      <c r="AC91" s="85">
        <f t="shared" si="2"/>
        <v>68909073</v>
      </c>
      <c r="AD91" s="85"/>
      <c r="AE91" s="86">
        <f t="shared" si="3"/>
        <v>59404341</v>
      </c>
      <c r="AF91" s="19"/>
      <c r="AG91" s="67">
        <v>1946937</v>
      </c>
      <c r="AH91" s="106"/>
      <c r="AI91" s="106">
        <v>35079141</v>
      </c>
      <c r="AJ91" s="106"/>
      <c r="AK91" s="106">
        <v>33539</v>
      </c>
      <c r="AL91" s="106"/>
      <c r="AM91" s="106">
        <v>0</v>
      </c>
    </row>
    <row r="92" spans="1:39" ht="12.75" hidden="1">
      <c r="A92" s="28" t="s">
        <v>183</v>
      </c>
      <c r="B92" s="28"/>
      <c r="C92" s="84">
        <v>0</v>
      </c>
      <c r="D92" s="84"/>
      <c r="E92" s="84">
        <v>0</v>
      </c>
      <c r="F92" s="84"/>
      <c r="G92" s="84">
        <v>0</v>
      </c>
      <c r="H92" s="84"/>
      <c r="I92" s="84">
        <v>0</v>
      </c>
      <c r="J92" s="84"/>
      <c r="K92" s="84">
        <v>0</v>
      </c>
      <c r="L92" s="84"/>
      <c r="M92" s="84">
        <v>0</v>
      </c>
      <c r="N92" s="84"/>
      <c r="O92" s="84">
        <v>0</v>
      </c>
      <c r="P92" s="84"/>
      <c r="Q92" s="84">
        <v>0</v>
      </c>
      <c r="R92" s="84"/>
      <c r="S92" s="84">
        <v>0</v>
      </c>
      <c r="T92" s="84"/>
      <c r="U92" s="84">
        <v>0</v>
      </c>
      <c r="V92" s="84"/>
      <c r="W92" s="84">
        <v>0</v>
      </c>
      <c r="X92" s="84"/>
      <c r="Y92" s="84">
        <v>0</v>
      </c>
      <c r="Z92" s="84"/>
      <c r="AA92" s="84">
        <v>0</v>
      </c>
      <c r="AB92" s="84"/>
      <c r="AC92" s="85">
        <f t="shared" si="2"/>
        <v>0</v>
      </c>
      <c r="AD92" s="85"/>
      <c r="AE92" s="86">
        <f t="shared" si="3"/>
        <v>0</v>
      </c>
      <c r="AF92" s="19"/>
      <c r="AG92" s="67"/>
      <c r="AH92" s="106"/>
      <c r="AI92" s="106"/>
      <c r="AJ92" s="106"/>
      <c r="AK92" s="106"/>
      <c r="AL92" s="106"/>
      <c r="AM92" s="106">
        <v>0</v>
      </c>
    </row>
    <row r="93" spans="1:39" ht="12.75">
      <c r="A93" s="28" t="s">
        <v>84</v>
      </c>
      <c r="B93" s="28"/>
      <c r="C93" s="84">
        <v>14904452</v>
      </c>
      <c r="D93" s="84"/>
      <c r="E93" s="84">
        <v>6556316</v>
      </c>
      <c r="F93" s="84"/>
      <c r="G93" s="84">
        <v>6936623</v>
      </c>
      <c r="H93" s="84"/>
      <c r="I93" s="84">
        <v>10298585</v>
      </c>
      <c r="J93" s="84"/>
      <c r="K93" s="84">
        <v>10330216</v>
      </c>
      <c r="L93" s="84"/>
      <c r="M93" s="84">
        <v>32790850</v>
      </c>
      <c r="N93" s="84"/>
      <c r="O93" s="84">
        <v>1440028</v>
      </c>
      <c r="P93" s="84"/>
      <c r="Q93" s="84">
        <v>219640</v>
      </c>
      <c r="R93" s="84"/>
      <c r="S93" s="84">
        <v>418847</v>
      </c>
      <c r="T93" s="84"/>
      <c r="U93" s="84">
        <v>7941193</v>
      </c>
      <c r="V93" s="84"/>
      <c r="W93" s="84">
        <v>518030</v>
      </c>
      <c r="X93" s="84"/>
      <c r="Y93" s="84">
        <v>1716385</v>
      </c>
      <c r="Z93" s="84"/>
      <c r="AA93" s="84">
        <v>838358</v>
      </c>
      <c r="AB93" s="84"/>
      <c r="AC93" s="85">
        <f t="shared" si="2"/>
        <v>94909523</v>
      </c>
      <c r="AD93" s="85"/>
      <c r="AE93" s="86">
        <f t="shared" si="3"/>
        <v>83895557</v>
      </c>
      <c r="AF93" s="19"/>
      <c r="AG93" s="67">
        <v>7646324</v>
      </c>
      <c r="AH93" s="106"/>
      <c r="AI93" s="106">
        <v>53800930</v>
      </c>
      <c r="AJ93" s="106"/>
      <c r="AK93" s="106"/>
      <c r="AL93" s="106"/>
      <c r="AM93" s="106">
        <v>0</v>
      </c>
    </row>
    <row r="94" spans="1:39" ht="12.75" hidden="1">
      <c r="A94" s="28" t="s">
        <v>184</v>
      </c>
      <c r="B94" s="28"/>
      <c r="C94" s="52"/>
      <c r="D94" s="52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5"/>
      <c r="AD94" s="85"/>
      <c r="AE94" s="86"/>
      <c r="AF94" s="19"/>
      <c r="AG94" s="67"/>
      <c r="AH94" s="106"/>
      <c r="AI94" s="106"/>
      <c r="AJ94" s="106"/>
      <c r="AK94" s="106"/>
      <c r="AL94" s="106"/>
      <c r="AM94" s="106">
        <f>+'Gov Fd Rv'!Q94+'Gov Fd Rv'!S94-'Gov Fnd Exp'!AC94-AG94+'Gov Fd Rv'!U94+AI94+AK94-'Gov Fd BS'!O97</f>
        <v>0</v>
      </c>
    </row>
    <row r="95" spans="1:39" ht="12.75">
      <c r="A95" s="28"/>
      <c r="B95" s="2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67"/>
      <c r="AH95" s="106"/>
      <c r="AI95" s="106"/>
      <c r="AJ95" s="106"/>
      <c r="AK95" s="106"/>
      <c r="AL95" s="106"/>
      <c r="AM95" s="106"/>
    </row>
    <row r="96" spans="1:39" ht="12.75">
      <c r="A96" s="28"/>
      <c r="B96" s="2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67"/>
      <c r="AH96" s="106"/>
      <c r="AI96" s="106"/>
      <c r="AJ96" s="106"/>
      <c r="AK96" s="106"/>
      <c r="AL96" s="106"/>
      <c r="AM96" s="106"/>
    </row>
    <row r="97" spans="3:39" ht="12.75"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67"/>
      <c r="AH97" s="106"/>
      <c r="AI97" s="106"/>
      <c r="AJ97" s="106"/>
      <c r="AK97" s="106"/>
      <c r="AL97" s="106"/>
      <c r="AM97" s="106"/>
    </row>
    <row r="98" spans="3:39" ht="12.75"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67"/>
      <c r="AH98" s="106"/>
      <c r="AI98" s="106"/>
      <c r="AJ98" s="106"/>
      <c r="AK98" s="106"/>
      <c r="AL98" s="106"/>
      <c r="AM98" s="106"/>
    </row>
    <row r="99" spans="3:39" ht="12.75"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67"/>
      <c r="AH99" s="106"/>
      <c r="AI99" s="106"/>
      <c r="AJ99" s="106"/>
      <c r="AK99" s="106"/>
      <c r="AL99" s="106"/>
      <c r="AM99" s="106"/>
    </row>
    <row r="100" spans="33:39" ht="12.75">
      <c r="AG100" s="67"/>
      <c r="AH100" s="106"/>
      <c r="AI100" s="106"/>
      <c r="AJ100" s="106"/>
      <c r="AK100" s="106"/>
      <c r="AL100" s="106"/>
      <c r="AM100" s="106"/>
    </row>
    <row r="101" spans="33:39" ht="12.75">
      <c r="AG101" s="67"/>
      <c r="AH101" s="106"/>
      <c r="AI101" s="106"/>
      <c r="AJ101" s="106"/>
      <c r="AK101" s="106"/>
      <c r="AL101" s="106"/>
      <c r="AM101" s="106"/>
    </row>
    <row r="102" spans="33:39" ht="12.75">
      <c r="AG102" s="106"/>
      <c r="AH102" s="106"/>
      <c r="AI102" s="106"/>
      <c r="AJ102" s="106"/>
      <c r="AK102" s="106"/>
      <c r="AL102" s="106"/>
      <c r="AM102" s="106"/>
    </row>
    <row r="103" spans="33:39" ht="12.75">
      <c r="AG103" s="106"/>
      <c r="AH103" s="106"/>
      <c r="AI103" s="106"/>
      <c r="AJ103" s="106"/>
      <c r="AK103" s="106"/>
      <c r="AL103" s="106"/>
      <c r="AM103" s="106"/>
    </row>
    <row r="104" spans="33:39" ht="12.75">
      <c r="AG104" s="106"/>
      <c r="AH104" s="106"/>
      <c r="AI104" s="106"/>
      <c r="AJ104" s="106"/>
      <c r="AK104" s="106"/>
      <c r="AL104" s="106"/>
      <c r="AM104" s="106"/>
    </row>
    <row r="105" spans="33:39" ht="12.75">
      <c r="AG105" s="106"/>
      <c r="AH105" s="106"/>
      <c r="AI105" s="106"/>
      <c r="AJ105" s="106"/>
      <c r="AK105" s="106"/>
      <c r="AL105" s="106"/>
      <c r="AM105" s="106"/>
    </row>
    <row r="106" spans="33:39" ht="12.75">
      <c r="AG106" s="106"/>
      <c r="AH106" s="106"/>
      <c r="AI106" s="106"/>
      <c r="AJ106" s="106"/>
      <c r="AK106" s="106"/>
      <c r="AL106" s="106"/>
      <c r="AM106" s="106"/>
    </row>
    <row r="107" spans="33:39" ht="12.75">
      <c r="AG107" s="106"/>
      <c r="AH107" s="106"/>
      <c r="AI107" s="106"/>
      <c r="AJ107" s="106"/>
      <c r="AK107" s="106"/>
      <c r="AL107" s="106"/>
      <c r="AM107" s="106"/>
    </row>
    <row r="108" spans="33:39" ht="12.75">
      <c r="AG108" s="106"/>
      <c r="AH108" s="106"/>
      <c r="AI108" s="106"/>
      <c r="AJ108" s="106"/>
      <c r="AK108" s="106"/>
      <c r="AL108" s="106"/>
      <c r="AM108" s="106"/>
    </row>
    <row r="109" spans="33:39" ht="12.75">
      <c r="AG109" s="106"/>
      <c r="AH109" s="106"/>
      <c r="AI109" s="106"/>
      <c r="AJ109" s="106"/>
      <c r="AK109" s="106"/>
      <c r="AL109" s="106"/>
      <c r="AM109" s="106"/>
    </row>
    <row r="110" spans="33:39" ht="12.75">
      <c r="AG110" s="106"/>
      <c r="AH110" s="106"/>
      <c r="AI110" s="106"/>
      <c r="AJ110" s="106"/>
      <c r="AK110" s="106"/>
      <c r="AL110" s="106"/>
      <c r="AM110" s="106"/>
    </row>
    <row r="111" spans="33:39" ht="12.75">
      <c r="AG111" s="106"/>
      <c r="AH111" s="106"/>
      <c r="AI111" s="106"/>
      <c r="AJ111" s="106"/>
      <c r="AK111" s="106"/>
      <c r="AL111" s="106"/>
      <c r="AM111" s="106"/>
    </row>
    <row r="112" spans="33:39" ht="12.75">
      <c r="AG112" s="106"/>
      <c r="AH112" s="106"/>
      <c r="AI112" s="106"/>
      <c r="AJ112" s="106"/>
      <c r="AK112" s="106"/>
      <c r="AL112" s="106"/>
      <c r="AM112" s="106"/>
    </row>
    <row r="113" spans="33:39" ht="12.75">
      <c r="AG113" s="106"/>
      <c r="AH113" s="106"/>
      <c r="AI113" s="106"/>
      <c r="AJ113" s="106"/>
      <c r="AK113" s="106"/>
      <c r="AL113" s="106"/>
      <c r="AM113" s="106"/>
    </row>
    <row r="114" spans="33:39" ht="12.75">
      <c r="AG114" s="106"/>
      <c r="AH114" s="106"/>
      <c r="AI114" s="106"/>
      <c r="AJ114" s="106"/>
      <c r="AK114" s="106"/>
      <c r="AL114" s="106"/>
      <c r="AM114" s="106"/>
    </row>
    <row r="115" spans="33:39" ht="12.75">
      <c r="AG115" s="106"/>
      <c r="AH115" s="106"/>
      <c r="AI115" s="106"/>
      <c r="AJ115" s="106"/>
      <c r="AK115" s="106"/>
      <c r="AL115" s="106"/>
      <c r="AM115" s="106"/>
    </row>
    <row r="116" spans="33:39" ht="12.75">
      <c r="AG116" s="106"/>
      <c r="AH116" s="106"/>
      <c r="AI116" s="106"/>
      <c r="AJ116" s="106"/>
      <c r="AK116" s="106"/>
      <c r="AL116" s="106"/>
      <c r="AM116" s="106"/>
    </row>
    <row r="117" spans="33:39" ht="12.75">
      <c r="AG117" s="106"/>
      <c r="AH117" s="106"/>
      <c r="AI117" s="106"/>
      <c r="AJ117" s="106"/>
      <c r="AK117" s="106"/>
      <c r="AL117" s="106"/>
      <c r="AM117" s="106"/>
    </row>
    <row r="118" spans="33:39" ht="12.75">
      <c r="AG118" s="106"/>
      <c r="AH118" s="106"/>
      <c r="AI118" s="106"/>
      <c r="AJ118" s="106"/>
      <c r="AK118" s="106"/>
      <c r="AL118" s="106"/>
      <c r="AM118" s="106"/>
    </row>
    <row r="119" spans="33:39" ht="12.75">
      <c r="AG119" s="106"/>
      <c r="AH119" s="106"/>
      <c r="AI119" s="106"/>
      <c r="AJ119" s="106"/>
      <c r="AK119" s="106"/>
      <c r="AL119" s="106"/>
      <c r="AM119" s="106"/>
    </row>
    <row r="120" spans="33:39" ht="12.75">
      <c r="AG120" s="106"/>
      <c r="AH120" s="106"/>
      <c r="AI120" s="106"/>
      <c r="AJ120" s="106"/>
      <c r="AK120" s="106"/>
      <c r="AL120" s="106"/>
      <c r="AM120" s="106"/>
    </row>
    <row r="121" spans="33:39" ht="12.75">
      <c r="AG121" s="106"/>
      <c r="AH121" s="106"/>
      <c r="AI121" s="106"/>
      <c r="AJ121" s="106"/>
      <c r="AK121" s="106"/>
      <c r="AL121" s="106"/>
      <c r="AM121" s="106"/>
    </row>
    <row r="122" spans="33:39" ht="12.75">
      <c r="AG122" s="106"/>
      <c r="AH122" s="106"/>
      <c r="AI122" s="106"/>
      <c r="AJ122" s="106"/>
      <c r="AK122" s="106"/>
      <c r="AL122" s="106"/>
      <c r="AM122" s="106"/>
    </row>
    <row r="123" spans="33:39" ht="12.75">
      <c r="AG123" s="106"/>
      <c r="AH123" s="106"/>
      <c r="AI123" s="106"/>
      <c r="AJ123" s="106"/>
      <c r="AK123" s="106"/>
      <c r="AL123" s="106"/>
      <c r="AM123" s="106"/>
    </row>
    <row r="124" spans="33:39" ht="12.75">
      <c r="AG124" s="106"/>
      <c r="AH124" s="106"/>
      <c r="AI124" s="106"/>
      <c r="AJ124" s="106"/>
      <c r="AK124" s="106"/>
      <c r="AL124" s="106"/>
      <c r="AM124" s="106"/>
    </row>
    <row r="125" spans="33:39" ht="12.75">
      <c r="AG125" s="106"/>
      <c r="AH125" s="106"/>
      <c r="AI125" s="106"/>
      <c r="AJ125" s="106"/>
      <c r="AK125" s="106"/>
      <c r="AL125" s="106"/>
      <c r="AM125" s="106"/>
    </row>
    <row r="126" spans="33:39" ht="12.75">
      <c r="AG126" s="106"/>
      <c r="AH126" s="106"/>
      <c r="AI126" s="106"/>
      <c r="AJ126" s="106"/>
      <c r="AK126" s="106"/>
      <c r="AL126" s="106"/>
      <c r="AM126" s="106"/>
    </row>
    <row r="127" spans="33:39" ht="12.75">
      <c r="AG127" s="106"/>
      <c r="AH127" s="106"/>
      <c r="AI127" s="106"/>
      <c r="AJ127" s="106"/>
      <c r="AK127" s="106"/>
      <c r="AL127" s="106"/>
      <c r="AM127" s="106"/>
    </row>
    <row r="128" spans="33:39" ht="12.75">
      <c r="AG128" s="106"/>
      <c r="AH128" s="106"/>
      <c r="AI128" s="106"/>
      <c r="AJ128" s="106"/>
      <c r="AK128" s="106"/>
      <c r="AL128" s="106"/>
      <c r="AM128" s="106"/>
    </row>
    <row r="129" spans="33:39" ht="12.75">
      <c r="AG129" s="106"/>
      <c r="AH129" s="106"/>
      <c r="AI129" s="106"/>
      <c r="AJ129" s="106"/>
      <c r="AK129" s="106"/>
      <c r="AL129" s="106"/>
      <c r="AM129" s="106"/>
    </row>
    <row r="130" spans="33:39" ht="12.75">
      <c r="AG130" s="106"/>
      <c r="AH130" s="106"/>
      <c r="AI130" s="106"/>
      <c r="AJ130" s="106"/>
      <c r="AK130" s="106"/>
      <c r="AL130" s="106"/>
      <c r="AM130" s="106"/>
    </row>
    <row r="131" spans="33:39" ht="12.75">
      <c r="AG131" s="106"/>
      <c r="AH131" s="106"/>
      <c r="AI131" s="106"/>
      <c r="AJ131" s="106"/>
      <c r="AK131" s="106"/>
      <c r="AL131" s="106"/>
      <c r="AM131" s="106"/>
    </row>
    <row r="132" spans="33:39" ht="12.75">
      <c r="AG132" s="106"/>
      <c r="AH132" s="106"/>
      <c r="AI132" s="106"/>
      <c r="AJ132" s="106"/>
      <c r="AK132" s="106"/>
      <c r="AL132" s="106"/>
      <c r="AM132" s="106"/>
    </row>
    <row r="133" spans="33:39" ht="12.75">
      <c r="AG133" s="106"/>
      <c r="AH133" s="106"/>
      <c r="AI133" s="106"/>
      <c r="AJ133" s="106"/>
      <c r="AK133" s="106"/>
      <c r="AL133" s="106"/>
      <c r="AM133" s="106"/>
    </row>
    <row r="134" spans="33:39" ht="12.75">
      <c r="AG134" s="106"/>
      <c r="AH134" s="106"/>
      <c r="AI134" s="106"/>
      <c r="AJ134" s="106"/>
      <c r="AK134" s="106"/>
      <c r="AL134" s="106"/>
      <c r="AM134" s="106"/>
    </row>
    <row r="135" spans="33:39" ht="12.75">
      <c r="AG135" s="106"/>
      <c r="AH135" s="106"/>
      <c r="AI135" s="106"/>
      <c r="AJ135" s="106"/>
      <c r="AK135" s="106"/>
      <c r="AL135" s="106"/>
      <c r="AM135" s="106"/>
    </row>
    <row r="136" spans="33:39" ht="12.75">
      <c r="AG136" s="106"/>
      <c r="AH136" s="106"/>
      <c r="AI136" s="106"/>
      <c r="AJ136" s="106"/>
      <c r="AK136" s="106"/>
      <c r="AL136" s="106"/>
      <c r="AM136" s="106"/>
    </row>
    <row r="137" spans="33:39" ht="12.75">
      <c r="AG137" s="106"/>
      <c r="AH137" s="106"/>
      <c r="AI137" s="106"/>
      <c r="AJ137" s="106"/>
      <c r="AK137" s="106"/>
      <c r="AL137" s="106"/>
      <c r="AM137" s="106"/>
    </row>
    <row r="138" spans="33:39" ht="12.75">
      <c r="AG138" s="106"/>
      <c r="AH138" s="106"/>
      <c r="AI138" s="106"/>
      <c r="AJ138" s="106"/>
      <c r="AK138" s="106"/>
      <c r="AL138" s="106"/>
      <c r="AM138" s="106"/>
    </row>
    <row r="139" spans="33:39" ht="12.75">
      <c r="AG139" s="106"/>
      <c r="AH139" s="106"/>
      <c r="AI139" s="106"/>
      <c r="AJ139" s="106"/>
      <c r="AK139" s="106"/>
      <c r="AL139" s="106"/>
      <c r="AM139" s="106"/>
    </row>
    <row r="140" spans="33:39" ht="12.75">
      <c r="AG140" s="106"/>
      <c r="AH140" s="106"/>
      <c r="AI140" s="106"/>
      <c r="AJ140" s="106"/>
      <c r="AK140" s="106"/>
      <c r="AL140" s="106"/>
      <c r="AM140" s="106"/>
    </row>
    <row r="141" spans="33:39" ht="12.75">
      <c r="AG141" s="106"/>
      <c r="AH141" s="106"/>
      <c r="AI141" s="106"/>
      <c r="AJ141" s="106"/>
      <c r="AK141" s="106"/>
      <c r="AL141" s="106"/>
      <c r="AM141" s="106"/>
    </row>
    <row r="142" spans="33:39" ht="12.75">
      <c r="AG142" s="106"/>
      <c r="AH142" s="106"/>
      <c r="AI142" s="106"/>
      <c r="AJ142" s="106"/>
      <c r="AK142" s="106"/>
      <c r="AL142" s="106"/>
      <c r="AM142" s="106"/>
    </row>
    <row r="143" spans="33:39" ht="12.75">
      <c r="AG143" s="106"/>
      <c r="AH143" s="106"/>
      <c r="AI143" s="106"/>
      <c r="AJ143" s="106"/>
      <c r="AK143" s="106"/>
      <c r="AL143" s="106"/>
      <c r="AM143" s="106"/>
    </row>
    <row r="144" spans="33:39" ht="12.75">
      <c r="AG144" s="106"/>
      <c r="AH144" s="106"/>
      <c r="AI144" s="106"/>
      <c r="AJ144" s="106"/>
      <c r="AK144" s="106"/>
      <c r="AL144" s="106"/>
      <c r="AM144" s="106"/>
    </row>
    <row r="145" spans="33:39" ht="12.75">
      <c r="AG145" s="106"/>
      <c r="AH145" s="106"/>
      <c r="AI145" s="106"/>
      <c r="AJ145" s="106"/>
      <c r="AK145" s="106"/>
      <c r="AL145" s="106"/>
      <c r="AM145" s="106"/>
    </row>
    <row r="146" spans="33:39" ht="12.75">
      <c r="AG146" s="106"/>
      <c r="AH146" s="106"/>
      <c r="AI146" s="106"/>
      <c r="AJ146" s="106"/>
      <c r="AK146" s="106"/>
      <c r="AL146" s="106"/>
      <c r="AM146" s="106"/>
    </row>
    <row r="147" spans="33:39" ht="12.75">
      <c r="AG147" s="106"/>
      <c r="AH147" s="106"/>
      <c r="AI147" s="106"/>
      <c r="AJ147" s="106"/>
      <c r="AK147" s="106"/>
      <c r="AL147" s="106"/>
      <c r="AM147" s="106"/>
    </row>
    <row r="148" spans="33:39" ht="12.75">
      <c r="AG148" s="106"/>
      <c r="AH148" s="106"/>
      <c r="AI148" s="106"/>
      <c r="AJ148" s="106"/>
      <c r="AK148" s="106"/>
      <c r="AL148" s="106"/>
      <c r="AM148" s="106"/>
    </row>
    <row r="149" spans="33:39" ht="12.75">
      <c r="AG149" s="106"/>
      <c r="AH149" s="106"/>
      <c r="AI149" s="106"/>
      <c r="AJ149" s="106"/>
      <c r="AK149" s="106"/>
      <c r="AL149" s="106"/>
      <c r="AM149" s="106"/>
    </row>
    <row r="150" spans="33:39" ht="12.75">
      <c r="AG150" s="106"/>
      <c r="AH150" s="106"/>
      <c r="AI150" s="106"/>
      <c r="AJ150" s="106"/>
      <c r="AK150" s="106"/>
      <c r="AL150" s="106"/>
      <c r="AM150" s="106"/>
    </row>
    <row r="151" spans="33:39" ht="12.75">
      <c r="AG151" s="106"/>
      <c r="AH151" s="106"/>
      <c r="AI151" s="106"/>
      <c r="AJ151" s="106"/>
      <c r="AK151" s="106"/>
      <c r="AL151" s="106"/>
      <c r="AM151" s="106"/>
    </row>
    <row r="152" spans="33:39" ht="12.75">
      <c r="AG152" s="106"/>
      <c r="AH152" s="106"/>
      <c r="AI152" s="106"/>
      <c r="AJ152" s="106"/>
      <c r="AK152" s="106"/>
      <c r="AL152" s="106"/>
      <c r="AM152" s="106"/>
    </row>
    <row r="153" spans="33:39" ht="12.75">
      <c r="AG153" s="106"/>
      <c r="AH153" s="106"/>
      <c r="AI153" s="106"/>
      <c r="AJ153" s="106"/>
      <c r="AK153" s="106"/>
      <c r="AL153" s="106"/>
      <c r="AM153" s="106"/>
    </row>
    <row r="154" spans="33:39" ht="12.75">
      <c r="AG154" s="106"/>
      <c r="AH154" s="106"/>
      <c r="AI154" s="106"/>
      <c r="AJ154" s="106"/>
      <c r="AK154" s="106"/>
      <c r="AL154" s="106"/>
      <c r="AM154" s="106"/>
    </row>
    <row r="155" spans="33:39" ht="12.75">
      <c r="AG155" s="106"/>
      <c r="AH155" s="106"/>
      <c r="AI155" s="106"/>
      <c r="AJ155" s="106"/>
      <c r="AK155" s="106"/>
      <c r="AL155" s="106"/>
      <c r="AM155" s="106"/>
    </row>
    <row r="156" spans="33:39" ht="12.75">
      <c r="AG156" s="106"/>
      <c r="AH156" s="106"/>
      <c r="AI156" s="106"/>
      <c r="AJ156" s="106"/>
      <c r="AK156" s="106"/>
      <c r="AL156" s="106"/>
      <c r="AM156" s="106"/>
    </row>
    <row r="157" spans="33:39" ht="12.75">
      <c r="AG157" s="106"/>
      <c r="AH157" s="106"/>
      <c r="AI157" s="106"/>
      <c r="AJ157" s="106"/>
      <c r="AK157" s="106"/>
      <c r="AL157" s="106"/>
      <c r="AM157" s="106"/>
    </row>
    <row r="158" spans="33:39" ht="12.75">
      <c r="AG158" s="106"/>
      <c r="AH158" s="106"/>
      <c r="AI158" s="106"/>
      <c r="AJ158" s="106"/>
      <c r="AK158" s="106"/>
      <c r="AL158" s="106"/>
      <c r="AM158" s="106"/>
    </row>
    <row r="159" spans="33:39" ht="12.75">
      <c r="AG159" s="106"/>
      <c r="AH159" s="106"/>
      <c r="AI159" s="106"/>
      <c r="AJ159" s="106"/>
      <c r="AK159" s="106"/>
      <c r="AL159" s="106"/>
      <c r="AM159" s="106"/>
    </row>
    <row r="160" spans="33:39" ht="12.75">
      <c r="AG160" s="106"/>
      <c r="AH160" s="106"/>
      <c r="AI160" s="106"/>
      <c r="AJ160" s="106"/>
      <c r="AK160" s="106"/>
      <c r="AL160" s="106"/>
      <c r="AM160" s="106"/>
    </row>
    <row r="161" spans="33:39" ht="12.75">
      <c r="AG161" s="106"/>
      <c r="AH161" s="106"/>
      <c r="AI161" s="106"/>
      <c r="AJ161" s="106"/>
      <c r="AK161" s="106"/>
      <c r="AL161" s="106"/>
      <c r="AM161" s="106"/>
    </row>
    <row r="162" spans="33:39" ht="12.75">
      <c r="AG162" s="106"/>
      <c r="AH162" s="106"/>
      <c r="AI162" s="106"/>
      <c r="AJ162" s="106"/>
      <c r="AK162" s="106"/>
      <c r="AL162" s="106"/>
      <c r="AM162" s="106"/>
    </row>
    <row r="163" spans="33:39" ht="12.75">
      <c r="AG163" s="106"/>
      <c r="AH163" s="106"/>
      <c r="AI163" s="106"/>
      <c r="AJ163" s="106"/>
      <c r="AK163" s="106"/>
      <c r="AL163" s="106"/>
      <c r="AM163" s="106"/>
    </row>
    <row r="164" spans="33:39" ht="12.75">
      <c r="AG164" s="106"/>
      <c r="AH164" s="106"/>
      <c r="AI164" s="106"/>
      <c r="AJ164" s="106"/>
      <c r="AK164" s="106"/>
      <c r="AL164" s="106"/>
      <c r="AM164" s="106"/>
    </row>
    <row r="165" spans="33:39" ht="12.75">
      <c r="AG165" s="106"/>
      <c r="AH165" s="106"/>
      <c r="AI165" s="106"/>
      <c r="AJ165" s="106"/>
      <c r="AK165" s="106"/>
      <c r="AL165" s="106"/>
      <c r="AM165" s="106"/>
    </row>
    <row r="166" spans="33:39" ht="12.75">
      <c r="AG166" s="106"/>
      <c r="AH166" s="106"/>
      <c r="AI166" s="106"/>
      <c r="AJ166" s="106"/>
      <c r="AK166" s="106"/>
      <c r="AL166" s="106"/>
      <c r="AM166" s="106"/>
    </row>
    <row r="167" spans="33:39" ht="12.75">
      <c r="AG167" s="106"/>
      <c r="AH167" s="106"/>
      <c r="AI167" s="106"/>
      <c r="AJ167" s="106"/>
      <c r="AK167" s="106"/>
      <c r="AL167" s="106"/>
      <c r="AM167" s="106"/>
    </row>
    <row r="168" spans="33:39" ht="12.75">
      <c r="AG168" s="106"/>
      <c r="AH168" s="106"/>
      <c r="AI168" s="106"/>
      <c r="AJ168" s="106"/>
      <c r="AK168" s="106"/>
      <c r="AL168" s="106"/>
      <c r="AM168" s="106"/>
    </row>
    <row r="169" spans="33:39" ht="12.75">
      <c r="AG169" s="106"/>
      <c r="AH169" s="106"/>
      <c r="AI169" s="106"/>
      <c r="AJ169" s="106"/>
      <c r="AK169" s="106"/>
      <c r="AL169" s="106"/>
      <c r="AM169" s="106"/>
    </row>
    <row r="170" spans="33:39" ht="12.75">
      <c r="AG170" s="106"/>
      <c r="AH170" s="106"/>
      <c r="AI170" s="106"/>
      <c r="AJ170" s="106"/>
      <c r="AK170" s="106"/>
      <c r="AL170" s="106"/>
      <c r="AM170" s="106"/>
    </row>
    <row r="171" spans="33:39" ht="12.75">
      <c r="AG171" s="106"/>
      <c r="AH171" s="106"/>
      <c r="AI171" s="106"/>
      <c r="AJ171" s="106"/>
      <c r="AK171" s="106"/>
      <c r="AL171" s="106"/>
      <c r="AM171" s="106"/>
    </row>
    <row r="172" spans="33:39" ht="12.75">
      <c r="AG172" s="106"/>
      <c r="AH172" s="106"/>
      <c r="AI172" s="106"/>
      <c r="AJ172" s="106"/>
      <c r="AK172" s="106"/>
      <c r="AL172" s="106"/>
      <c r="AM172" s="106"/>
    </row>
    <row r="173" spans="33:39" ht="12.75">
      <c r="AG173" s="106"/>
      <c r="AH173" s="106"/>
      <c r="AI173" s="106"/>
      <c r="AJ173" s="106"/>
      <c r="AK173" s="106"/>
      <c r="AL173" s="106"/>
      <c r="AM173" s="106"/>
    </row>
    <row r="174" spans="33:39" ht="12.75">
      <c r="AG174" s="106"/>
      <c r="AH174" s="106"/>
      <c r="AI174" s="106"/>
      <c r="AJ174" s="106"/>
      <c r="AK174" s="106"/>
      <c r="AL174" s="106"/>
      <c r="AM174" s="106"/>
    </row>
    <row r="175" spans="33:39" ht="12.75">
      <c r="AG175" s="106"/>
      <c r="AH175" s="106"/>
      <c r="AI175" s="106"/>
      <c r="AJ175" s="106"/>
      <c r="AK175" s="106"/>
      <c r="AL175" s="106"/>
      <c r="AM175" s="106"/>
    </row>
    <row r="176" spans="33:39" ht="12.75">
      <c r="AG176" s="106"/>
      <c r="AH176" s="106"/>
      <c r="AI176" s="106"/>
      <c r="AJ176" s="106"/>
      <c r="AK176" s="106"/>
      <c r="AL176" s="106"/>
      <c r="AM176" s="106"/>
    </row>
    <row r="177" spans="33:39" ht="12.75">
      <c r="AG177" s="106"/>
      <c r="AH177" s="106"/>
      <c r="AI177" s="106"/>
      <c r="AJ177" s="106"/>
      <c r="AK177" s="106"/>
      <c r="AL177" s="106"/>
      <c r="AM177" s="106"/>
    </row>
    <row r="178" spans="33:39" ht="12.75">
      <c r="AG178" s="106"/>
      <c r="AH178" s="106"/>
      <c r="AI178" s="106"/>
      <c r="AJ178" s="106"/>
      <c r="AK178" s="106"/>
      <c r="AL178" s="106"/>
      <c r="AM178" s="106"/>
    </row>
    <row r="179" spans="33:39" ht="12.75">
      <c r="AG179" s="106"/>
      <c r="AH179" s="106"/>
      <c r="AI179" s="106"/>
      <c r="AJ179" s="106"/>
      <c r="AK179" s="106"/>
      <c r="AL179" s="106"/>
      <c r="AM179" s="106"/>
    </row>
    <row r="180" spans="33:39" ht="12.75">
      <c r="AG180" s="106"/>
      <c r="AH180" s="106"/>
      <c r="AI180" s="106"/>
      <c r="AJ180" s="106"/>
      <c r="AK180" s="106"/>
      <c r="AL180" s="106"/>
      <c r="AM180" s="106"/>
    </row>
    <row r="181" spans="33:39" ht="12.75">
      <c r="AG181" s="106"/>
      <c r="AH181" s="106"/>
      <c r="AI181" s="106"/>
      <c r="AJ181" s="106"/>
      <c r="AK181" s="106"/>
      <c r="AL181" s="106"/>
      <c r="AM181" s="106"/>
    </row>
    <row r="182" spans="33:39" ht="12.75">
      <c r="AG182" s="106"/>
      <c r="AH182" s="106"/>
      <c r="AI182" s="106"/>
      <c r="AJ182" s="106"/>
      <c r="AK182" s="106"/>
      <c r="AL182" s="106"/>
      <c r="AM182" s="106"/>
    </row>
    <row r="183" spans="33:39" ht="12.75">
      <c r="AG183" s="106"/>
      <c r="AH183" s="106"/>
      <c r="AI183" s="106"/>
      <c r="AJ183" s="106"/>
      <c r="AK183" s="106"/>
      <c r="AL183" s="106"/>
      <c r="AM183" s="106"/>
    </row>
    <row r="184" spans="33:39" ht="12.75">
      <c r="AG184" s="106"/>
      <c r="AH184" s="106"/>
      <c r="AI184" s="106"/>
      <c r="AJ184" s="106"/>
      <c r="AK184" s="106"/>
      <c r="AL184" s="106"/>
      <c r="AM184" s="106"/>
    </row>
    <row r="185" spans="33:39" ht="12.75">
      <c r="AG185" s="106"/>
      <c r="AH185" s="106"/>
      <c r="AI185" s="106"/>
      <c r="AJ185" s="106"/>
      <c r="AK185" s="106"/>
      <c r="AL185" s="106"/>
      <c r="AM185" s="106"/>
    </row>
    <row r="186" spans="33:39" ht="12.75">
      <c r="AG186" s="106"/>
      <c r="AH186" s="106"/>
      <c r="AI186" s="106"/>
      <c r="AJ186" s="106"/>
      <c r="AK186" s="106"/>
      <c r="AL186" s="106"/>
      <c r="AM186" s="106"/>
    </row>
    <row r="187" spans="33:39" ht="12.75">
      <c r="AG187" s="106"/>
      <c r="AH187" s="106"/>
      <c r="AI187" s="106"/>
      <c r="AJ187" s="106"/>
      <c r="AK187" s="106"/>
      <c r="AL187" s="106"/>
      <c r="AM187" s="106"/>
    </row>
    <row r="188" spans="33:39" ht="12.75">
      <c r="AG188" s="106"/>
      <c r="AH188" s="106"/>
      <c r="AI188" s="106"/>
      <c r="AJ188" s="106"/>
      <c r="AK188" s="106"/>
      <c r="AL188" s="106"/>
      <c r="AM188" s="106"/>
    </row>
    <row r="189" spans="33:39" ht="12.75">
      <c r="AG189" s="106"/>
      <c r="AH189" s="106"/>
      <c r="AI189" s="106"/>
      <c r="AJ189" s="106"/>
      <c r="AK189" s="106"/>
      <c r="AL189" s="106"/>
      <c r="AM189" s="106"/>
    </row>
    <row r="190" spans="33:39" ht="12.75">
      <c r="AG190" s="106"/>
      <c r="AH190" s="106"/>
      <c r="AI190" s="106"/>
      <c r="AJ190" s="106"/>
      <c r="AK190" s="106"/>
      <c r="AL190" s="106"/>
      <c r="AM190" s="106"/>
    </row>
    <row r="191" spans="33:39" ht="12.75">
      <c r="AG191" s="106"/>
      <c r="AH191" s="106"/>
      <c r="AI191" s="106"/>
      <c r="AJ191" s="106"/>
      <c r="AK191" s="106"/>
      <c r="AL191" s="106"/>
      <c r="AM191" s="106"/>
    </row>
    <row r="192" spans="33:39" ht="12.75">
      <c r="AG192" s="106"/>
      <c r="AH192" s="106"/>
      <c r="AI192" s="106"/>
      <c r="AJ192" s="106"/>
      <c r="AK192" s="106"/>
      <c r="AL192" s="106"/>
      <c r="AM192" s="106"/>
    </row>
    <row r="193" spans="33:39" ht="12.75">
      <c r="AG193" s="106"/>
      <c r="AH193" s="106"/>
      <c r="AI193" s="106"/>
      <c r="AJ193" s="106"/>
      <c r="AK193" s="106"/>
      <c r="AL193" s="106"/>
      <c r="AM193" s="106"/>
    </row>
    <row r="194" spans="33:39" ht="12.75">
      <c r="AG194" s="106"/>
      <c r="AH194" s="106"/>
      <c r="AI194" s="106"/>
      <c r="AJ194" s="106"/>
      <c r="AK194" s="106"/>
      <c r="AL194" s="106"/>
      <c r="AM194" s="106"/>
    </row>
    <row r="195" spans="33:39" ht="12.75">
      <c r="AG195" s="106"/>
      <c r="AH195" s="106"/>
      <c r="AI195" s="106"/>
      <c r="AJ195" s="106"/>
      <c r="AK195" s="106"/>
      <c r="AL195" s="106"/>
      <c r="AM195" s="106"/>
    </row>
    <row r="196" spans="33:39" ht="12.75">
      <c r="AG196" s="106"/>
      <c r="AH196" s="106"/>
      <c r="AI196" s="106"/>
      <c r="AJ196" s="106"/>
      <c r="AK196" s="106"/>
      <c r="AL196" s="106"/>
      <c r="AM196" s="106"/>
    </row>
    <row r="197" spans="33:39" ht="12.75">
      <c r="AG197" s="106"/>
      <c r="AH197" s="106"/>
      <c r="AI197" s="106"/>
      <c r="AJ197" s="106"/>
      <c r="AK197" s="106"/>
      <c r="AL197" s="106"/>
      <c r="AM197" s="106"/>
    </row>
    <row r="198" spans="33:39" ht="12.75">
      <c r="AG198" s="106"/>
      <c r="AH198" s="106"/>
      <c r="AI198" s="106"/>
      <c r="AJ198" s="106"/>
      <c r="AK198" s="106"/>
      <c r="AL198" s="106"/>
      <c r="AM198" s="106"/>
    </row>
    <row r="199" spans="33:39" ht="12.75">
      <c r="AG199" s="106"/>
      <c r="AH199" s="106"/>
      <c r="AI199" s="106"/>
      <c r="AJ199" s="106"/>
      <c r="AK199" s="106"/>
      <c r="AL199" s="106"/>
      <c r="AM199" s="106"/>
    </row>
    <row r="200" spans="33:39" ht="12.75">
      <c r="AG200" s="106"/>
      <c r="AH200" s="106"/>
      <c r="AI200" s="106"/>
      <c r="AJ200" s="106"/>
      <c r="AK200" s="106"/>
      <c r="AL200" s="106"/>
      <c r="AM200" s="106"/>
    </row>
    <row r="201" spans="33:39" ht="12.75">
      <c r="AG201" s="106"/>
      <c r="AH201" s="106"/>
      <c r="AI201" s="106"/>
      <c r="AJ201" s="106"/>
      <c r="AK201" s="106"/>
      <c r="AL201" s="106"/>
      <c r="AM201" s="106"/>
    </row>
    <row r="202" spans="33:39" ht="12.75">
      <c r="AG202" s="106"/>
      <c r="AH202" s="106"/>
      <c r="AI202" s="106"/>
      <c r="AJ202" s="106"/>
      <c r="AK202" s="106"/>
      <c r="AL202" s="106"/>
      <c r="AM202" s="106"/>
    </row>
    <row r="203" spans="33:39" ht="12.75">
      <c r="AG203" s="106"/>
      <c r="AH203" s="106"/>
      <c r="AI203" s="106"/>
      <c r="AJ203" s="106"/>
      <c r="AK203" s="106"/>
      <c r="AL203" s="106"/>
      <c r="AM203" s="106"/>
    </row>
    <row r="204" spans="33:39" ht="12.75">
      <c r="AG204" s="106"/>
      <c r="AH204" s="106"/>
      <c r="AI204" s="106"/>
      <c r="AJ204" s="106"/>
      <c r="AK204" s="106"/>
      <c r="AL204" s="106"/>
      <c r="AM204" s="106"/>
    </row>
    <row r="205" spans="33:39" ht="12.75">
      <c r="AG205" s="106"/>
      <c r="AH205" s="106"/>
      <c r="AI205" s="106"/>
      <c r="AJ205" s="106"/>
      <c r="AK205" s="106"/>
      <c r="AL205" s="106"/>
      <c r="AM205" s="106"/>
    </row>
    <row r="206" spans="33:39" ht="12.75">
      <c r="AG206" s="106"/>
      <c r="AH206" s="106"/>
      <c r="AI206" s="106"/>
      <c r="AJ206" s="106"/>
      <c r="AK206" s="106"/>
      <c r="AL206" s="106"/>
      <c r="AM206" s="106"/>
    </row>
    <row r="207" spans="33:39" ht="12.75">
      <c r="AG207" s="106"/>
      <c r="AH207" s="106"/>
      <c r="AI207" s="106"/>
      <c r="AJ207" s="106"/>
      <c r="AK207" s="106"/>
      <c r="AL207" s="106"/>
      <c r="AM207" s="106"/>
    </row>
    <row r="208" spans="33:39" ht="12.75">
      <c r="AG208" s="106"/>
      <c r="AH208" s="106"/>
      <c r="AI208" s="106"/>
      <c r="AJ208" s="106"/>
      <c r="AK208" s="106"/>
      <c r="AL208" s="106"/>
      <c r="AM208" s="106"/>
    </row>
    <row r="209" spans="33:39" ht="12.75">
      <c r="AG209" s="106"/>
      <c r="AH209" s="106"/>
      <c r="AI209" s="106"/>
      <c r="AJ209" s="106"/>
      <c r="AK209" s="106"/>
      <c r="AL209" s="106"/>
      <c r="AM209" s="106"/>
    </row>
    <row r="210" spans="33:39" ht="12.75">
      <c r="AG210" s="106"/>
      <c r="AH210" s="106"/>
      <c r="AI210" s="106"/>
      <c r="AJ210" s="106"/>
      <c r="AK210" s="106"/>
      <c r="AL210" s="106"/>
      <c r="AM210" s="106"/>
    </row>
    <row r="211" spans="33:39" ht="12.75">
      <c r="AG211" s="106"/>
      <c r="AH211" s="106"/>
      <c r="AI211" s="106"/>
      <c r="AJ211" s="106"/>
      <c r="AK211" s="106"/>
      <c r="AL211" s="106"/>
      <c r="AM211" s="106"/>
    </row>
    <row r="212" spans="33:39" ht="12.75">
      <c r="AG212" s="106"/>
      <c r="AH212" s="106"/>
      <c r="AI212" s="106"/>
      <c r="AJ212" s="106"/>
      <c r="AK212" s="106"/>
      <c r="AL212" s="106"/>
      <c r="AM212" s="106"/>
    </row>
    <row r="213" spans="33:39" ht="12.75">
      <c r="AG213" s="106"/>
      <c r="AH213" s="106"/>
      <c r="AI213" s="106"/>
      <c r="AJ213" s="106"/>
      <c r="AK213" s="106"/>
      <c r="AL213" s="106"/>
      <c r="AM213" s="106"/>
    </row>
    <row r="214" spans="33:39" ht="12.75">
      <c r="AG214" s="106"/>
      <c r="AH214" s="106"/>
      <c r="AI214" s="106"/>
      <c r="AJ214" s="106"/>
      <c r="AK214" s="106"/>
      <c r="AL214" s="106"/>
      <c r="AM214" s="106"/>
    </row>
    <row r="215" spans="33:39" ht="12.75">
      <c r="AG215" s="106"/>
      <c r="AH215" s="106"/>
      <c r="AI215" s="106"/>
      <c r="AJ215" s="106"/>
      <c r="AK215" s="106"/>
      <c r="AL215" s="106"/>
      <c r="AM215" s="106"/>
    </row>
    <row r="216" spans="33:39" ht="12.75">
      <c r="AG216" s="106"/>
      <c r="AH216" s="106"/>
      <c r="AI216" s="106"/>
      <c r="AJ216" s="106"/>
      <c r="AK216" s="106"/>
      <c r="AL216" s="106"/>
      <c r="AM216" s="106"/>
    </row>
    <row r="217" spans="33:39" ht="12.75">
      <c r="AG217" s="106"/>
      <c r="AH217" s="106"/>
      <c r="AI217" s="106"/>
      <c r="AJ217" s="106"/>
      <c r="AK217" s="106"/>
      <c r="AL217" s="106"/>
      <c r="AM217" s="106"/>
    </row>
    <row r="218" spans="33:39" ht="12.75">
      <c r="AG218" s="106"/>
      <c r="AH218" s="106"/>
      <c r="AI218" s="106"/>
      <c r="AJ218" s="106"/>
      <c r="AK218" s="106"/>
      <c r="AL218" s="106"/>
      <c r="AM218" s="106"/>
    </row>
    <row r="219" spans="33:39" ht="12.75">
      <c r="AG219" s="106"/>
      <c r="AH219" s="106"/>
      <c r="AI219" s="106"/>
      <c r="AJ219" s="106"/>
      <c r="AK219" s="106"/>
      <c r="AL219" s="106"/>
      <c r="AM219" s="106"/>
    </row>
    <row r="220" spans="33:39" ht="12.75">
      <c r="AG220" s="106"/>
      <c r="AH220" s="106"/>
      <c r="AI220" s="106"/>
      <c r="AJ220" s="106"/>
      <c r="AK220" s="106"/>
      <c r="AL220" s="106"/>
      <c r="AM220" s="106"/>
    </row>
    <row r="221" spans="33:39" ht="12.75">
      <c r="AG221" s="106"/>
      <c r="AH221" s="106"/>
      <c r="AI221" s="106"/>
      <c r="AJ221" s="106"/>
      <c r="AK221" s="106"/>
      <c r="AL221" s="106"/>
      <c r="AM221" s="106"/>
    </row>
    <row r="222" spans="33:39" ht="12.75">
      <c r="AG222" s="106"/>
      <c r="AH222" s="106"/>
      <c r="AI222" s="106"/>
      <c r="AJ222" s="106"/>
      <c r="AK222" s="106"/>
      <c r="AL222" s="106"/>
      <c r="AM222" s="106"/>
    </row>
    <row r="223" spans="33:39" ht="12.75">
      <c r="AG223" s="106"/>
      <c r="AH223" s="106"/>
      <c r="AI223" s="106"/>
      <c r="AJ223" s="106"/>
      <c r="AK223" s="106"/>
      <c r="AL223" s="106"/>
      <c r="AM223" s="106"/>
    </row>
    <row r="224" spans="33:39" ht="12.75">
      <c r="AG224" s="106"/>
      <c r="AH224" s="106"/>
      <c r="AI224" s="106"/>
      <c r="AJ224" s="106"/>
      <c r="AK224" s="106"/>
      <c r="AL224" s="106"/>
      <c r="AM224" s="106"/>
    </row>
    <row r="225" spans="33:39" ht="12.75">
      <c r="AG225" s="106"/>
      <c r="AH225" s="106"/>
      <c r="AI225" s="106"/>
      <c r="AJ225" s="106"/>
      <c r="AK225" s="106"/>
      <c r="AL225" s="106"/>
      <c r="AM225" s="106"/>
    </row>
    <row r="226" spans="33:39" ht="12.75">
      <c r="AG226" s="106"/>
      <c r="AH226" s="106"/>
      <c r="AI226" s="106"/>
      <c r="AJ226" s="106"/>
      <c r="AK226" s="106"/>
      <c r="AL226" s="106"/>
      <c r="AM226" s="106"/>
    </row>
    <row r="227" spans="33:39" ht="12.75">
      <c r="AG227" s="106"/>
      <c r="AH227" s="106"/>
      <c r="AI227" s="106"/>
      <c r="AJ227" s="106"/>
      <c r="AK227" s="106"/>
      <c r="AL227" s="106"/>
      <c r="AM227" s="106"/>
    </row>
    <row r="228" spans="33:39" ht="12.75">
      <c r="AG228" s="106"/>
      <c r="AH228" s="106"/>
      <c r="AI228" s="106"/>
      <c r="AJ228" s="106"/>
      <c r="AK228" s="106"/>
      <c r="AL228" s="106"/>
      <c r="AM228" s="106"/>
    </row>
    <row r="229" spans="33:39" ht="12.75">
      <c r="AG229" s="106"/>
      <c r="AH229" s="106"/>
      <c r="AI229" s="106"/>
      <c r="AJ229" s="106"/>
      <c r="AK229" s="106"/>
      <c r="AL229" s="106"/>
      <c r="AM229" s="106"/>
    </row>
    <row r="230" spans="33:39" ht="12.75">
      <c r="AG230" s="106"/>
      <c r="AH230" s="106"/>
      <c r="AI230" s="106"/>
      <c r="AJ230" s="106"/>
      <c r="AK230" s="106"/>
      <c r="AL230" s="106"/>
      <c r="AM230" s="106"/>
    </row>
    <row r="231" spans="33:39" ht="12.75">
      <c r="AG231" s="106"/>
      <c r="AH231" s="106"/>
      <c r="AI231" s="106"/>
      <c r="AJ231" s="106"/>
      <c r="AK231" s="106"/>
      <c r="AL231" s="106"/>
      <c r="AM231" s="106"/>
    </row>
    <row r="232" spans="33:39" ht="12.75">
      <c r="AG232" s="106"/>
      <c r="AH232" s="106"/>
      <c r="AI232" s="106"/>
      <c r="AJ232" s="106"/>
      <c r="AK232" s="106"/>
      <c r="AL232" s="106"/>
      <c r="AM232" s="106"/>
    </row>
    <row r="233" spans="33:39" ht="12.75">
      <c r="AG233" s="106"/>
      <c r="AH233" s="106"/>
      <c r="AI233" s="106"/>
      <c r="AJ233" s="106"/>
      <c r="AK233" s="106"/>
      <c r="AL233" s="106"/>
      <c r="AM233" s="106"/>
    </row>
    <row r="234" spans="33:39" ht="12.75">
      <c r="AG234" s="106"/>
      <c r="AH234" s="106"/>
      <c r="AI234" s="106"/>
      <c r="AJ234" s="106"/>
      <c r="AK234" s="106"/>
      <c r="AL234" s="106"/>
      <c r="AM234" s="106"/>
    </row>
    <row r="235" spans="33:39" ht="12.75">
      <c r="AG235" s="106"/>
      <c r="AH235" s="106"/>
      <c r="AI235" s="106"/>
      <c r="AJ235" s="106"/>
      <c r="AK235" s="106"/>
      <c r="AL235" s="106"/>
      <c r="AM235" s="106"/>
    </row>
    <row r="236" spans="33:39" ht="12.75">
      <c r="AG236" s="106"/>
      <c r="AH236" s="106"/>
      <c r="AI236" s="106"/>
      <c r="AJ236" s="106"/>
      <c r="AK236" s="106"/>
      <c r="AL236" s="106"/>
      <c r="AM236" s="106"/>
    </row>
    <row r="237" spans="33:39" ht="12.75">
      <c r="AG237" s="106"/>
      <c r="AH237" s="106"/>
      <c r="AI237" s="106"/>
      <c r="AJ237" s="106"/>
      <c r="AK237" s="106"/>
      <c r="AL237" s="106"/>
      <c r="AM237" s="106"/>
    </row>
    <row r="238" spans="33:39" ht="12.75">
      <c r="AG238" s="106"/>
      <c r="AH238" s="106"/>
      <c r="AI238" s="106"/>
      <c r="AJ238" s="106"/>
      <c r="AK238" s="106"/>
      <c r="AL238" s="106"/>
      <c r="AM238" s="106"/>
    </row>
    <row r="239" spans="33:39" ht="12.75">
      <c r="AG239" s="106"/>
      <c r="AH239" s="106"/>
      <c r="AI239" s="106"/>
      <c r="AJ239" s="106"/>
      <c r="AK239" s="106"/>
      <c r="AL239" s="106"/>
      <c r="AM239" s="106"/>
    </row>
    <row r="240" spans="33:39" ht="12.75">
      <c r="AG240" s="106"/>
      <c r="AH240" s="106"/>
      <c r="AI240" s="106"/>
      <c r="AJ240" s="106"/>
      <c r="AK240" s="106"/>
      <c r="AL240" s="106"/>
      <c r="AM240" s="106"/>
    </row>
    <row r="241" spans="33:39" ht="12.75">
      <c r="AG241" s="106"/>
      <c r="AH241" s="106"/>
      <c r="AI241" s="106"/>
      <c r="AJ241" s="106"/>
      <c r="AK241" s="106"/>
      <c r="AL241" s="106"/>
      <c r="AM241" s="106"/>
    </row>
    <row r="242" spans="33:39" ht="12.75">
      <c r="AG242" s="106"/>
      <c r="AH242" s="106"/>
      <c r="AI242" s="106"/>
      <c r="AJ242" s="106"/>
      <c r="AK242" s="106"/>
      <c r="AL242" s="106"/>
      <c r="AM242" s="106"/>
    </row>
    <row r="243" spans="33:39" ht="12.75">
      <c r="AG243" s="106"/>
      <c r="AH243" s="106"/>
      <c r="AI243" s="106"/>
      <c r="AJ243" s="106"/>
      <c r="AK243" s="106"/>
      <c r="AL243" s="106"/>
      <c r="AM243" s="106"/>
    </row>
    <row r="244" spans="33:39" ht="12.75">
      <c r="AG244" s="106"/>
      <c r="AH244" s="106"/>
      <c r="AI244" s="106"/>
      <c r="AJ244" s="106"/>
      <c r="AK244" s="106"/>
      <c r="AL244" s="106"/>
      <c r="AM244" s="106"/>
    </row>
    <row r="245" spans="33:39" ht="12.75">
      <c r="AG245" s="106"/>
      <c r="AH245" s="106"/>
      <c r="AI245" s="106"/>
      <c r="AJ245" s="106"/>
      <c r="AK245" s="106"/>
      <c r="AL245" s="106"/>
      <c r="AM245" s="106"/>
    </row>
    <row r="246" spans="33:39" ht="12.75">
      <c r="AG246" s="106"/>
      <c r="AH246" s="106"/>
      <c r="AI246" s="106"/>
      <c r="AJ246" s="106"/>
      <c r="AK246" s="106"/>
      <c r="AL246" s="106"/>
      <c r="AM246" s="106"/>
    </row>
    <row r="247" spans="33:39" ht="12.75">
      <c r="AG247" s="106"/>
      <c r="AH247" s="106"/>
      <c r="AI247" s="106"/>
      <c r="AJ247" s="106"/>
      <c r="AK247" s="106"/>
      <c r="AL247" s="106"/>
      <c r="AM247" s="106"/>
    </row>
    <row r="248" spans="33:39" ht="12.75">
      <c r="AG248" s="106"/>
      <c r="AH248" s="106"/>
      <c r="AI248" s="106"/>
      <c r="AJ248" s="106"/>
      <c r="AK248" s="106"/>
      <c r="AL248" s="106"/>
      <c r="AM248" s="106"/>
    </row>
    <row r="249" spans="33:39" ht="12.75">
      <c r="AG249" s="106"/>
      <c r="AH249" s="106"/>
      <c r="AI249" s="106"/>
      <c r="AJ249" s="106"/>
      <c r="AK249" s="106"/>
      <c r="AL249" s="106"/>
      <c r="AM249" s="106"/>
    </row>
    <row r="250" spans="33:39" ht="12.75">
      <c r="AG250" s="106"/>
      <c r="AH250" s="106"/>
      <c r="AI250" s="106"/>
      <c r="AJ250" s="106"/>
      <c r="AK250" s="106"/>
      <c r="AL250" s="106"/>
      <c r="AM250" s="106"/>
    </row>
    <row r="251" spans="33:39" ht="12.75">
      <c r="AG251" s="106"/>
      <c r="AH251" s="106"/>
      <c r="AI251" s="106"/>
      <c r="AJ251" s="106"/>
      <c r="AK251" s="106"/>
      <c r="AL251" s="106"/>
      <c r="AM251" s="106"/>
    </row>
    <row r="252" spans="33:39" ht="12.75">
      <c r="AG252" s="106"/>
      <c r="AH252" s="106"/>
      <c r="AI252" s="106"/>
      <c r="AJ252" s="106"/>
      <c r="AK252" s="106"/>
      <c r="AL252" s="106"/>
      <c r="AM252" s="106"/>
    </row>
    <row r="253" spans="33:39" ht="12.75">
      <c r="AG253" s="106"/>
      <c r="AH253" s="106"/>
      <c r="AI253" s="106"/>
      <c r="AJ253" s="106"/>
      <c r="AK253" s="106"/>
      <c r="AL253" s="106"/>
      <c r="AM253" s="106"/>
    </row>
    <row r="254" spans="33:39" ht="12.75">
      <c r="AG254" s="106"/>
      <c r="AH254" s="106"/>
      <c r="AI254" s="106"/>
      <c r="AJ254" s="106"/>
      <c r="AK254" s="106"/>
      <c r="AL254" s="106"/>
      <c r="AM254" s="106"/>
    </row>
    <row r="255" spans="33:39" ht="12.75">
      <c r="AG255" s="106"/>
      <c r="AH255" s="106"/>
      <c r="AI255" s="106"/>
      <c r="AJ255" s="106"/>
      <c r="AK255" s="106"/>
      <c r="AL255" s="106"/>
      <c r="AM255" s="106"/>
    </row>
    <row r="256" spans="33:39" ht="12.75">
      <c r="AG256" s="106"/>
      <c r="AH256" s="106"/>
      <c r="AI256" s="106"/>
      <c r="AJ256" s="106"/>
      <c r="AK256" s="106"/>
      <c r="AL256" s="106"/>
      <c r="AM256" s="106"/>
    </row>
    <row r="257" spans="33:39" ht="12.75">
      <c r="AG257" s="106"/>
      <c r="AH257" s="106"/>
      <c r="AI257" s="106"/>
      <c r="AJ257" s="106"/>
      <c r="AK257" s="106"/>
      <c r="AL257" s="106"/>
      <c r="AM257" s="106"/>
    </row>
    <row r="258" spans="33:39" ht="12.75">
      <c r="AG258" s="106"/>
      <c r="AH258" s="106"/>
      <c r="AI258" s="106"/>
      <c r="AJ258" s="106"/>
      <c r="AK258" s="106"/>
      <c r="AL258" s="106"/>
      <c r="AM258" s="106"/>
    </row>
    <row r="259" spans="33:39" ht="12.75">
      <c r="AG259" s="106"/>
      <c r="AH259" s="106"/>
      <c r="AI259" s="106"/>
      <c r="AJ259" s="106"/>
      <c r="AK259" s="106"/>
      <c r="AL259" s="106"/>
      <c r="AM259" s="106"/>
    </row>
    <row r="260" spans="33:39" ht="12.75">
      <c r="AG260" s="106"/>
      <c r="AH260" s="106"/>
      <c r="AI260" s="106"/>
      <c r="AJ260" s="106"/>
      <c r="AK260" s="106"/>
      <c r="AL260" s="106"/>
      <c r="AM260" s="106"/>
    </row>
    <row r="261" spans="33:39" ht="12.75">
      <c r="AG261" s="106"/>
      <c r="AH261" s="106"/>
      <c r="AI261" s="106"/>
      <c r="AJ261" s="106"/>
      <c r="AK261" s="106"/>
      <c r="AL261" s="106"/>
      <c r="AM261" s="106"/>
    </row>
    <row r="262" spans="33:39" ht="12.75">
      <c r="AG262" s="106"/>
      <c r="AH262" s="106"/>
      <c r="AI262" s="106"/>
      <c r="AJ262" s="106"/>
      <c r="AK262" s="106"/>
      <c r="AL262" s="106"/>
      <c r="AM262" s="106"/>
    </row>
    <row r="263" spans="33:39" ht="12.75">
      <c r="AG263" s="106"/>
      <c r="AH263" s="106"/>
      <c r="AI263" s="106"/>
      <c r="AJ263" s="106"/>
      <c r="AK263" s="106"/>
      <c r="AL263" s="106"/>
      <c r="AM263" s="106"/>
    </row>
    <row r="264" spans="33:39" ht="12.75">
      <c r="AG264" s="106"/>
      <c r="AH264" s="106"/>
      <c r="AI264" s="106"/>
      <c r="AJ264" s="106"/>
      <c r="AK264" s="106"/>
      <c r="AL264" s="106"/>
      <c r="AM264" s="106"/>
    </row>
    <row r="265" spans="33:39" ht="12.75">
      <c r="AG265" s="106"/>
      <c r="AH265" s="106"/>
      <c r="AI265" s="106"/>
      <c r="AJ265" s="106"/>
      <c r="AK265" s="106"/>
      <c r="AL265" s="106"/>
      <c r="AM265" s="106"/>
    </row>
    <row r="266" spans="33:39" ht="12.75">
      <c r="AG266" s="106"/>
      <c r="AH266" s="106"/>
      <c r="AI266" s="106"/>
      <c r="AJ266" s="106"/>
      <c r="AK266" s="106"/>
      <c r="AL266" s="106"/>
      <c r="AM266" s="106"/>
    </row>
    <row r="267" spans="33:39" ht="12.75">
      <c r="AG267" s="106"/>
      <c r="AH267" s="106"/>
      <c r="AI267" s="106"/>
      <c r="AJ267" s="106"/>
      <c r="AK267" s="106"/>
      <c r="AL267" s="106"/>
      <c r="AM267" s="106"/>
    </row>
    <row r="268" spans="33:39" ht="12.75">
      <c r="AG268" s="106"/>
      <c r="AH268" s="106"/>
      <c r="AI268" s="106"/>
      <c r="AJ268" s="106"/>
      <c r="AK268" s="106"/>
      <c r="AL268" s="106"/>
      <c r="AM268" s="106"/>
    </row>
    <row r="269" spans="33:39" ht="12.75">
      <c r="AG269" s="106"/>
      <c r="AH269" s="106"/>
      <c r="AI269" s="106"/>
      <c r="AJ269" s="106"/>
      <c r="AK269" s="106"/>
      <c r="AL269" s="106"/>
      <c r="AM269" s="106"/>
    </row>
    <row r="270" spans="33:39" ht="12.75">
      <c r="AG270" s="106"/>
      <c r="AH270" s="106"/>
      <c r="AI270" s="106"/>
      <c r="AJ270" s="106"/>
      <c r="AK270" s="106"/>
      <c r="AL270" s="106"/>
      <c r="AM270" s="106"/>
    </row>
    <row r="271" spans="33:39" ht="12.75">
      <c r="AG271" s="106"/>
      <c r="AH271" s="106"/>
      <c r="AI271" s="106"/>
      <c r="AJ271" s="106"/>
      <c r="AK271" s="106"/>
      <c r="AL271" s="106"/>
      <c r="AM271" s="106"/>
    </row>
    <row r="272" spans="33:39" ht="12.75">
      <c r="AG272" s="106"/>
      <c r="AH272" s="106"/>
      <c r="AI272" s="106"/>
      <c r="AJ272" s="106"/>
      <c r="AK272" s="106"/>
      <c r="AL272" s="106"/>
      <c r="AM272" s="106"/>
    </row>
    <row r="273" spans="33:39" ht="12.75">
      <c r="AG273" s="106"/>
      <c r="AH273" s="106"/>
      <c r="AI273" s="106"/>
      <c r="AJ273" s="106"/>
      <c r="AK273" s="106"/>
      <c r="AL273" s="106"/>
      <c r="AM273" s="106"/>
    </row>
    <row r="274" spans="33:39" ht="12.75">
      <c r="AG274" s="106"/>
      <c r="AH274" s="106"/>
      <c r="AI274" s="106"/>
      <c r="AJ274" s="106"/>
      <c r="AK274" s="106"/>
      <c r="AL274" s="106"/>
      <c r="AM274" s="106"/>
    </row>
    <row r="275" spans="33:39" ht="12.75">
      <c r="AG275" s="106"/>
      <c r="AH275" s="106"/>
      <c r="AI275" s="106"/>
      <c r="AJ275" s="106"/>
      <c r="AK275" s="106"/>
      <c r="AL275" s="106"/>
      <c r="AM275" s="106"/>
    </row>
    <row r="276" spans="33:39" ht="12.75">
      <c r="AG276" s="106"/>
      <c r="AH276" s="106"/>
      <c r="AI276" s="106"/>
      <c r="AJ276" s="106"/>
      <c r="AK276" s="106"/>
      <c r="AL276" s="106"/>
      <c r="AM276" s="106"/>
    </row>
    <row r="277" spans="33:39" ht="12.75">
      <c r="AG277" s="106"/>
      <c r="AH277" s="106"/>
      <c r="AI277" s="106"/>
      <c r="AJ277" s="106"/>
      <c r="AK277" s="106"/>
      <c r="AL277" s="106"/>
      <c r="AM277" s="106"/>
    </row>
    <row r="278" spans="33:39" ht="12.75">
      <c r="AG278" s="106"/>
      <c r="AH278" s="106"/>
      <c r="AI278" s="106"/>
      <c r="AJ278" s="106"/>
      <c r="AK278" s="106"/>
      <c r="AL278" s="106"/>
      <c r="AM278" s="106"/>
    </row>
    <row r="279" spans="33:39" ht="12.75">
      <c r="AG279" s="106"/>
      <c r="AH279" s="106"/>
      <c r="AI279" s="106"/>
      <c r="AJ279" s="106"/>
      <c r="AK279" s="106"/>
      <c r="AL279" s="106"/>
      <c r="AM279" s="106"/>
    </row>
    <row r="280" spans="33:39" ht="12.75">
      <c r="AG280" s="106"/>
      <c r="AH280" s="106"/>
      <c r="AI280" s="106"/>
      <c r="AJ280" s="106"/>
      <c r="AK280" s="106"/>
      <c r="AL280" s="106"/>
      <c r="AM280" s="106"/>
    </row>
    <row r="281" spans="33:39" ht="12.75">
      <c r="AG281" s="106"/>
      <c r="AH281" s="106"/>
      <c r="AI281" s="106"/>
      <c r="AJ281" s="106"/>
      <c r="AK281" s="106"/>
      <c r="AL281" s="106"/>
      <c r="AM281" s="106"/>
    </row>
    <row r="282" spans="33:39" ht="12.75">
      <c r="AG282" s="106"/>
      <c r="AH282" s="106"/>
      <c r="AI282" s="106"/>
      <c r="AJ282" s="106"/>
      <c r="AK282" s="106"/>
      <c r="AL282" s="106"/>
      <c r="AM282" s="106"/>
    </row>
    <row r="283" spans="33:39" ht="12.75">
      <c r="AG283" s="106"/>
      <c r="AH283" s="106"/>
      <c r="AI283" s="106"/>
      <c r="AJ283" s="106"/>
      <c r="AK283" s="106"/>
      <c r="AL283" s="106"/>
      <c r="AM283" s="106"/>
    </row>
    <row r="284" spans="33:39" ht="12.75">
      <c r="AG284" s="106"/>
      <c r="AH284" s="106"/>
      <c r="AI284" s="106"/>
      <c r="AJ284" s="106"/>
      <c r="AK284" s="106"/>
      <c r="AL284" s="106"/>
      <c r="AM284" s="106"/>
    </row>
    <row r="285" spans="33:39" ht="12.75">
      <c r="AG285" s="106"/>
      <c r="AH285" s="106"/>
      <c r="AI285" s="106"/>
      <c r="AJ285" s="106"/>
      <c r="AK285" s="106"/>
      <c r="AL285" s="106"/>
      <c r="AM285" s="106"/>
    </row>
    <row r="286" spans="33:39" ht="12.75">
      <c r="AG286" s="106"/>
      <c r="AH286" s="106"/>
      <c r="AI286" s="106"/>
      <c r="AJ286" s="106"/>
      <c r="AK286" s="106"/>
      <c r="AL286" s="106"/>
      <c r="AM286" s="106"/>
    </row>
    <row r="287" spans="33:39" ht="12.75">
      <c r="AG287" s="106"/>
      <c r="AH287" s="106"/>
      <c r="AI287" s="106"/>
      <c r="AJ287" s="106"/>
      <c r="AK287" s="106"/>
      <c r="AL287" s="106"/>
      <c r="AM287" s="106"/>
    </row>
    <row r="288" spans="33:39" ht="12.75">
      <c r="AG288" s="106"/>
      <c r="AH288" s="106"/>
      <c r="AI288" s="106"/>
      <c r="AJ288" s="106"/>
      <c r="AK288" s="106"/>
      <c r="AL288" s="106"/>
      <c r="AM288" s="106"/>
    </row>
    <row r="289" spans="33:39" ht="12.75">
      <c r="AG289" s="106"/>
      <c r="AH289" s="106"/>
      <c r="AI289" s="106"/>
      <c r="AJ289" s="106"/>
      <c r="AK289" s="106"/>
      <c r="AL289" s="106"/>
      <c r="AM289" s="106"/>
    </row>
    <row r="290" spans="33:39" ht="12.75">
      <c r="AG290" s="106"/>
      <c r="AH290" s="106"/>
      <c r="AI290" s="106"/>
      <c r="AJ290" s="106"/>
      <c r="AK290" s="106"/>
      <c r="AL290" s="106"/>
      <c r="AM290" s="106"/>
    </row>
    <row r="291" spans="33:39" ht="12.75">
      <c r="AG291" s="106"/>
      <c r="AH291" s="106"/>
      <c r="AI291" s="106"/>
      <c r="AJ291" s="106"/>
      <c r="AK291" s="106"/>
      <c r="AL291" s="106"/>
      <c r="AM291" s="106"/>
    </row>
    <row r="292" spans="33:39" ht="12.75">
      <c r="AG292" s="106"/>
      <c r="AH292" s="106"/>
      <c r="AI292" s="106"/>
      <c r="AJ292" s="106"/>
      <c r="AK292" s="106"/>
      <c r="AL292" s="106"/>
      <c r="AM292" s="106"/>
    </row>
    <row r="293" spans="33:39" ht="12.75">
      <c r="AG293" s="106"/>
      <c r="AH293" s="106"/>
      <c r="AI293" s="106"/>
      <c r="AJ293" s="106"/>
      <c r="AK293" s="106"/>
      <c r="AL293" s="106"/>
      <c r="AM293" s="106"/>
    </row>
    <row r="294" spans="33:39" ht="12.75">
      <c r="AG294" s="106"/>
      <c r="AH294" s="106"/>
      <c r="AI294" s="106"/>
      <c r="AJ294" s="106"/>
      <c r="AK294" s="106"/>
      <c r="AL294" s="106"/>
      <c r="AM294" s="106"/>
    </row>
    <row r="295" spans="33:39" ht="12.75">
      <c r="AG295" s="106"/>
      <c r="AH295" s="106"/>
      <c r="AI295" s="106"/>
      <c r="AJ295" s="106"/>
      <c r="AK295" s="106"/>
      <c r="AL295" s="106"/>
      <c r="AM295" s="106"/>
    </row>
    <row r="296" spans="33:39" ht="12.75">
      <c r="AG296" s="106"/>
      <c r="AH296" s="106"/>
      <c r="AI296" s="106"/>
      <c r="AJ296" s="106"/>
      <c r="AK296" s="106"/>
      <c r="AL296" s="106"/>
      <c r="AM296" s="106"/>
    </row>
    <row r="297" spans="33:39" ht="12.75">
      <c r="AG297" s="106"/>
      <c r="AH297" s="106"/>
      <c r="AI297" s="106"/>
      <c r="AJ297" s="106"/>
      <c r="AK297" s="106"/>
      <c r="AL297" s="106"/>
      <c r="AM297" s="106"/>
    </row>
    <row r="298" spans="33:39" ht="12.75">
      <c r="AG298" s="106"/>
      <c r="AH298" s="106"/>
      <c r="AI298" s="106"/>
      <c r="AJ298" s="106"/>
      <c r="AK298" s="106"/>
      <c r="AL298" s="106"/>
      <c r="AM298" s="106"/>
    </row>
    <row r="299" spans="33:39" ht="12.75">
      <c r="AG299" s="106"/>
      <c r="AH299" s="106"/>
      <c r="AI299" s="106"/>
      <c r="AJ299" s="106"/>
      <c r="AK299" s="106"/>
      <c r="AL299" s="106"/>
      <c r="AM299" s="106"/>
    </row>
    <row r="300" spans="33:39" ht="12.75">
      <c r="AG300" s="106"/>
      <c r="AH300" s="106"/>
      <c r="AI300" s="106"/>
      <c r="AJ300" s="106"/>
      <c r="AK300" s="106"/>
      <c r="AL300" s="106"/>
      <c r="AM300" s="106"/>
    </row>
    <row r="301" spans="33:39" ht="12.75">
      <c r="AG301" s="106"/>
      <c r="AH301" s="106"/>
      <c r="AI301" s="106"/>
      <c r="AJ301" s="106"/>
      <c r="AK301" s="106"/>
      <c r="AL301" s="106"/>
      <c r="AM301" s="106"/>
    </row>
    <row r="302" spans="33:39" ht="12.75">
      <c r="AG302" s="106"/>
      <c r="AH302" s="106"/>
      <c r="AI302" s="106"/>
      <c r="AJ302" s="106"/>
      <c r="AK302" s="106"/>
      <c r="AL302" s="106"/>
      <c r="AM302" s="106"/>
    </row>
    <row r="303" spans="33:39" ht="12.75">
      <c r="AG303" s="106"/>
      <c r="AH303" s="106"/>
      <c r="AI303" s="106"/>
      <c r="AJ303" s="106"/>
      <c r="AK303" s="106"/>
      <c r="AL303" s="106"/>
      <c r="AM303" s="106"/>
    </row>
    <row r="304" spans="33:39" ht="12.75">
      <c r="AG304" s="106"/>
      <c r="AH304" s="106"/>
      <c r="AI304" s="106"/>
      <c r="AJ304" s="106"/>
      <c r="AK304" s="106"/>
      <c r="AL304" s="106"/>
      <c r="AM304" s="106"/>
    </row>
    <row r="305" spans="33:39" ht="12.75">
      <c r="AG305" s="106"/>
      <c r="AH305" s="106"/>
      <c r="AI305" s="106"/>
      <c r="AJ305" s="106"/>
      <c r="AK305" s="106"/>
      <c r="AL305" s="106"/>
      <c r="AM305" s="106"/>
    </row>
    <row r="306" spans="33:39" ht="12.75">
      <c r="AG306" s="106"/>
      <c r="AH306" s="106"/>
      <c r="AI306" s="106"/>
      <c r="AJ306" s="106"/>
      <c r="AK306" s="106"/>
      <c r="AL306" s="106"/>
      <c r="AM306" s="106"/>
    </row>
    <row r="307" spans="33:39" ht="12.75">
      <c r="AG307" s="106"/>
      <c r="AH307" s="106"/>
      <c r="AI307" s="106"/>
      <c r="AJ307" s="106"/>
      <c r="AK307" s="106"/>
      <c r="AL307" s="106"/>
      <c r="AM307" s="106"/>
    </row>
    <row r="308" spans="33:39" ht="12.75">
      <c r="AG308" s="106"/>
      <c r="AH308" s="106"/>
      <c r="AI308" s="106"/>
      <c r="AJ308" s="106"/>
      <c r="AK308" s="106"/>
      <c r="AL308" s="106"/>
      <c r="AM308" s="106"/>
    </row>
    <row r="309" spans="33:39" ht="12.75">
      <c r="AG309" s="106"/>
      <c r="AH309" s="106"/>
      <c r="AI309" s="106"/>
      <c r="AJ309" s="106"/>
      <c r="AK309" s="106"/>
      <c r="AL309" s="106"/>
      <c r="AM309" s="106"/>
    </row>
    <row r="310" spans="33:39" ht="12.75">
      <c r="AG310" s="106"/>
      <c r="AH310" s="106"/>
      <c r="AI310" s="106"/>
      <c r="AJ310" s="106"/>
      <c r="AK310" s="106"/>
      <c r="AL310" s="106"/>
      <c r="AM310" s="106"/>
    </row>
    <row r="311" spans="33:39" ht="12.75">
      <c r="AG311" s="106"/>
      <c r="AH311" s="106"/>
      <c r="AI311" s="106"/>
      <c r="AJ311" s="106"/>
      <c r="AK311" s="106"/>
      <c r="AL311" s="106"/>
      <c r="AM311" s="106"/>
    </row>
    <row r="312" spans="33:39" ht="12.75">
      <c r="AG312" s="106"/>
      <c r="AH312" s="106"/>
      <c r="AI312" s="106"/>
      <c r="AJ312" s="106"/>
      <c r="AK312" s="106"/>
      <c r="AL312" s="106"/>
      <c r="AM312" s="106"/>
    </row>
    <row r="313" spans="33:39" ht="12.75">
      <c r="AG313" s="106"/>
      <c r="AH313" s="106"/>
      <c r="AI313" s="106"/>
      <c r="AJ313" s="106"/>
      <c r="AK313" s="106"/>
      <c r="AL313" s="106"/>
      <c r="AM313" s="106"/>
    </row>
    <row r="314" spans="33:39" ht="12.75">
      <c r="AG314" s="106"/>
      <c r="AH314" s="106"/>
      <c r="AI314" s="106"/>
      <c r="AJ314" s="106"/>
      <c r="AK314" s="106"/>
      <c r="AL314" s="106"/>
      <c r="AM314" s="106"/>
    </row>
    <row r="315" spans="33:39" ht="12.75">
      <c r="AG315" s="106"/>
      <c r="AH315" s="106"/>
      <c r="AI315" s="106"/>
      <c r="AJ315" s="106"/>
      <c r="AK315" s="106"/>
      <c r="AL315" s="106"/>
      <c r="AM315" s="106"/>
    </row>
    <row r="316" spans="33:39" ht="12.75">
      <c r="AG316" s="106"/>
      <c r="AH316" s="106"/>
      <c r="AI316" s="106"/>
      <c r="AJ316" s="106"/>
      <c r="AK316" s="106"/>
      <c r="AL316" s="106"/>
      <c r="AM316" s="106"/>
    </row>
    <row r="317" spans="33:39" ht="12.75">
      <c r="AG317" s="106"/>
      <c r="AH317" s="106"/>
      <c r="AI317" s="106"/>
      <c r="AJ317" s="106"/>
      <c r="AK317" s="106"/>
      <c r="AL317" s="106"/>
      <c r="AM317" s="106"/>
    </row>
    <row r="318" spans="33:39" ht="12.75">
      <c r="AG318" s="106"/>
      <c r="AH318" s="106"/>
      <c r="AI318" s="106"/>
      <c r="AJ318" s="106"/>
      <c r="AK318" s="106"/>
      <c r="AL318" s="106"/>
      <c r="AM318" s="106"/>
    </row>
    <row r="319" spans="33:39" ht="12.75">
      <c r="AG319" s="106"/>
      <c r="AH319" s="106"/>
      <c r="AI319" s="106"/>
      <c r="AJ319" s="106"/>
      <c r="AK319" s="106"/>
      <c r="AL319" s="106"/>
      <c r="AM319" s="106"/>
    </row>
    <row r="320" spans="33:39" ht="12.75">
      <c r="AG320" s="106"/>
      <c r="AH320" s="106"/>
      <c r="AI320" s="106"/>
      <c r="AJ320" s="106"/>
      <c r="AK320" s="106"/>
      <c r="AL320" s="106"/>
      <c r="AM320" s="106"/>
    </row>
    <row r="321" spans="33:39" ht="12.75">
      <c r="AG321" s="106"/>
      <c r="AH321" s="106"/>
      <c r="AI321" s="106"/>
      <c r="AJ321" s="106"/>
      <c r="AK321" s="106"/>
      <c r="AL321" s="106"/>
      <c r="AM321" s="106"/>
    </row>
    <row r="322" spans="33:39" ht="12.75">
      <c r="AG322" s="106"/>
      <c r="AH322" s="106"/>
      <c r="AI322" s="106"/>
      <c r="AJ322" s="106"/>
      <c r="AK322" s="106"/>
      <c r="AL322" s="106"/>
      <c r="AM322" s="106"/>
    </row>
    <row r="323" spans="33:39" ht="12.75">
      <c r="AG323" s="106"/>
      <c r="AH323" s="106"/>
      <c r="AI323" s="106"/>
      <c r="AJ323" s="106"/>
      <c r="AK323" s="106"/>
      <c r="AL323" s="106"/>
      <c r="AM323" s="106"/>
    </row>
    <row r="324" spans="33:39" ht="12.75">
      <c r="AG324" s="106"/>
      <c r="AH324" s="106"/>
      <c r="AI324" s="106"/>
      <c r="AJ324" s="106"/>
      <c r="AK324" s="106"/>
      <c r="AL324" s="106"/>
      <c r="AM324" s="106"/>
    </row>
    <row r="325" spans="33:39" ht="12.75">
      <c r="AG325" s="106"/>
      <c r="AH325" s="106"/>
      <c r="AI325" s="106"/>
      <c r="AJ325" s="106"/>
      <c r="AK325" s="106"/>
      <c r="AL325" s="106"/>
      <c r="AM325" s="106"/>
    </row>
    <row r="326" spans="33:39" ht="12.75">
      <c r="AG326" s="106"/>
      <c r="AH326" s="106"/>
      <c r="AI326" s="106"/>
      <c r="AJ326" s="106"/>
      <c r="AK326" s="106"/>
      <c r="AL326" s="106"/>
      <c r="AM326" s="106"/>
    </row>
    <row r="327" spans="33:39" ht="12.75">
      <c r="AG327" s="106"/>
      <c r="AH327" s="106"/>
      <c r="AI327" s="106"/>
      <c r="AJ327" s="106"/>
      <c r="AK327" s="106"/>
      <c r="AL327" s="106"/>
      <c r="AM327" s="106"/>
    </row>
    <row r="328" spans="33:39" ht="12.75">
      <c r="AG328" s="106"/>
      <c r="AH328" s="106"/>
      <c r="AI328" s="106"/>
      <c r="AJ328" s="106"/>
      <c r="AK328" s="106"/>
      <c r="AL328" s="106"/>
      <c r="AM328" s="106"/>
    </row>
    <row r="329" spans="33:39" ht="12.75">
      <c r="AG329" s="106"/>
      <c r="AH329" s="106"/>
      <c r="AI329" s="106"/>
      <c r="AJ329" s="106"/>
      <c r="AK329" s="106"/>
      <c r="AL329" s="106"/>
      <c r="AM329" s="106"/>
    </row>
    <row r="330" spans="33:39" ht="12.75">
      <c r="AG330" s="106"/>
      <c r="AH330" s="106"/>
      <c r="AI330" s="106"/>
      <c r="AJ330" s="106"/>
      <c r="AK330" s="106"/>
      <c r="AL330" s="106"/>
      <c r="AM330" s="106"/>
    </row>
    <row r="331" spans="33:39" ht="12.75">
      <c r="AG331" s="106"/>
      <c r="AH331" s="106"/>
      <c r="AI331" s="106"/>
      <c r="AJ331" s="106"/>
      <c r="AK331" s="106"/>
      <c r="AL331" s="106"/>
      <c r="AM331" s="106"/>
    </row>
    <row r="332" spans="33:39" ht="12.75">
      <c r="AG332" s="106"/>
      <c r="AH332" s="106"/>
      <c r="AI332" s="106"/>
      <c r="AJ332" s="106"/>
      <c r="AK332" s="106"/>
      <c r="AL332" s="106"/>
      <c r="AM332" s="106"/>
    </row>
    <row r="333" spans="33:39" ht="12.75">
      <c r="AG333" s="106"/>
      <c r="AH333" s="106"/>
      <c r="AI333" s="106"/>
      <c r="AJ333" s="106"/>
      <c r="AK333" s="106"/>
      <c r="AL333" s="106"/>
      <c r="AM333" s="106"/>
    </row>
    <row r="334" spans="33:39" ht="12.75">
      <c r="AG334" s="106"/>
      <c r="AH334" s="106"/>
      <c r="AI334" s="106"/>
      <c r="AJ334" s="106"/>
      <c r="AK334" s="106"/>
      <c r="AL334" s="106"/>
      <c r="AM334" s="106"/>
    </row>
    <row r="335" spans="33:39" ht="12.75">
      <c r="AG335" s="106"/>
      <c r="AH335" s="106"/>
      <c r="AI335" s="106"/>
      <c r="AJ335" s="106"/>
      <c r="AK335" s="106"/>
      <c r="AL335" s="106"/>
      <c r="AM335" s="106"/>
    </row>
    <row r="336" spans="33:39" ht="12.75">
      <c r="AG336" s="106"/>
      <c r="AH336" s="106"/>
      <c r="AI336" s="106"/>
      <c r="AJ336" s="106"/>
      <c r="AK336" s="106"/>
      <c r="AL336" s="106"/>
      <c r="AM336" s="106"/>
    </row>
    <row r="337" spans="33:39" ht="12.75">
      <c r="AG337" s="106"/>
      <c r="AH337" s="106"/>
      <c r="AI337" s="106"/>
      <c r="AJ337" s="106"/>
      <c r="AK337" s="106"/>
      <c r="AL337" s="106"/>
      <c r="AM337" s="106"/>
    </row>
    <row r="338" spans="33:39" ht="12.75">
      <c r="AG338" s="106"/>
      <c r="AH338" s="106"/>
      <c r="AI338" s="106"/>
      <c r="AJ338" s="106"/>
      <c r="AK338" s="106"/>
      <c r="AL338" s="106"/>
      <c r="AM338" s="106"/>
    </row>
    <row r="339" spans="33:39" ht="12.75">
      <c r="AG339" s="106"/>
      <c r="AH339" s="106"/>
      <c r="AI339" s="106"/>
      <c r="AJ339" s="106"/>
      <c r="AK339" s="106"/>
      <c r="AL339" s="106"/>
      <c r="AM339" s="106"/>
    </row>
    <row r="340" spans="33:39" ht="12.75">
      <c r="AG340" s="106"/>
      <c r="AH340" s="106"/>
      <c r="AI340" s="106"/>
      <c r="AJ340" s="106"/>
      <c r="AK340" s="106"/>
      <c r="AL340" s="106"/>
      <c r="AM340" s="106"/>
    </row>
    <row r="341" spans="33:39" ht="12.75">
      <c r="AG341" s="106"/>
      <c r="AH341" s="106"/>
      <c r="AI341" s="106"/>
      <c r="AJ341" s="106"/>
      <c r="AK341" s="106"/>
      <c r="AL341" s="106"/>
      <c r="AM341" s="106"/>
    </row>
    <row r="342" spans="33:39" ht="12.75">
      <c r="AG342" s="106"/>
      <c r="AH342" s="106"/>
      <c r="AI342" s="106"/>
      <c r="AJ342" s="106"/>
      <c r="AK342" s="106"/>
      <c r="AL342" s="106"/>
      <c r="AM342" s="106"/>
    </row>
    <row r="343" spans="33:39" ht="12.75">
      <c r="AG343" s="106"/>
      <c r="AH343" s="106"/>
      <c r="AI343" s="106"/>
      <c r="AJ343" s="106"/>
      <c r="AK343" s="106"/>
      <c r="AL343" s="106"/>
      <c r="AM343" s="106"/>
    </row>
    <row r="344" spans="33:39" ht="12.75">
      <c r="AG344" s="106"/>
      <c r="AH344" s="106"/>
      <c r="AI344" s="106"/>
      <c r="AJ344" s="106"/>
      <c r="AK344" s="106"/>
      <c r="AL344" s="106"/>
      <c r="AM344" s="106"/>
    </row>
    <row r="345" spans="33:39" ht="12.75">
      <c r="AG345" s="106"/>
      <c r="AH345" s="106"/>
      <c r="AI345" s="106"/>
      <c r="AJ345" s="106"/>
      <c r="AK345" s="106"/>
      <c r="AL345" s="106"/>
      <c r="AM345" s="106"/>
    </row>
    <row r="346" spans="33:39" ht="12.75">
      <c r="AG346" s="106"/>
      <c r="AH346" s="106"/>
      <c r="AI346" s="106"/>
      <c r="AJ346" s="106"/>
      <c r="AK346" s="106"/>
      <c r="AL346" s="106"/>
      <c r="AM346" s="106"/>
    </row>
    <row r="347" spans="33:39" ht="12.75">
      <c r="AG347" s="106"/>
      <c r="AH347" s="106"/>
      <c r="AI347" s="106"/>
      <c r="AJ347" s="106"/>
      <c r="AK347" s="106"/>
      <c r="AL347" s="106"/>
      <c r="AM347" s="106"/>
    </row>
    <row r="348" spans="33:39" ht="12.75">
      <c r="AG348" s="106"/>
      <c r="AH348" s="106"/>
      <c r="AI348" s="106"/>
      <c r="AJ348" s="106"/>
      <c r="AK348" s="106"/>
      <c r="AL348" s="106"/>
      <c r="AM348" s="106"/>
    </row>
    <row r="349" spans="33:39" ht="12.75">
      <c r="AG349" s="106"/>
      <c r="AH349" s="106"/>
      <c r="AI349" s="106"/>
      <c r="AJ349" s="106"/>
      <c r="AK349" s="106"/>
      <c r="AL349" s="106"/>
      <c r="AM349" s="106"/>
    </row>
    <row r="350" spans="33:39" ht="12.75">
      <c r="AG350" s="106"/>
      <c r="AH350" s="106"/>
      <c r="AI350" s="106"/>
      <c r="AJ350" s="106"/>
      <c r="AK350" s="106"/>
      <c r="AL350" s="106"/>
      <c r="AM350" s="106"/>
    </row>
    <row r="351" spans="33:39" ht="12.75">
      <c r="AG351" s="106"/>
      <c r="AH351" s="106"/>
      <c r="AI351" s="106"/>
      <c r="AJ351" s="106"/>
      <c r="AK351" s="106"/>
      <c r="AL351" s="106"/>
      <c r="AM351" s="106"/>
    </row>
    <row r="352" spans="33:39" ht="12.75">
      <c r="AG352" s="106"/>
      <c r="AH352" s="106"/>
      <c r="AI352" s="106"/>
      <c r="AJ352" s="106"/>
      <c r="AK352" s="106"/>
      <c r="AL352" s="106"/>
      <c r="AM352" s="106"/>
    </row>
    <row r="353" spans="33:39" ht="12.75">
      <c r="AG353" s="106"/>
      <c r="AH353" s="106"/>
      <c r="AI353" s="106"/>
      <c r="AJ353" s="106"/>
      <c r="AK353" s="106"/>
      <c r="AL353" s="106"/>
      <c r="AM353" s="106"/>
    </row>
    <row r="354" spans="33:39" ht="12.75">
      <c r="AG354" s="106"/>
      <c r="AH354" s="106"/>
      <c r="AI354" s="106"/>
      <c r="AJ354" s="106"/>
      <c r="AK354" s="106"/>
      <c r="AL354" s="106"/>
      <c r="AM354" s="106"/>
    </row>
    <row r="355" spans="33:39" ht="12.75">
      <c r="AG355" s="106"/>
      <c r="AH355" s="106"/>
      <c r="AI355" s="106"/>
      <c r="AJ355" s="106"/>
      <c r="AK355" s="106"/>
      <c r="AL355" s="106"/>
      <c r="AM355" s="106"/>
    </row>
    <row r="356" spans="33:39" ht="12.75">
      <c r="AG356" s="106"/>
      <c r="AH356" s="106"/>
      <c r="AI356" s="106"/>
      <c r="AJ356" s="106"/>
      <c r="AK356" s="106"/>
      <c r="AL356" s="106"/>
      <c r="AM356" s="106"/>
    </row>
    <row r="357" spans="33:39" ht="12.75">
      <c r="AG357" s="106"/>
      <c r="AH357" s="106"/>
      <c r="AI357" s="106"/>
      <c r="AJ357" s="106"/>
      <c r="AK357" s="106"/>
      <c r="AL357" s="106"/>
      <c r="AM357" s="106"/>
    </row>
    <row r="358" spans="33:39" ht="12.75">
      <c r="AG358" s="106"/>
      <c r="AH358" s="106"/>
      <c r="AI358" s="106"/>
      <c r="AJ358" s="106"/>
      <c r="AK358" s="106"/>
      <c r="AL358" s="106"/>
      <c r="AM358" s="106"/>
    </row>
    <row r="359" spans="33:39" ht="12.75">
      <c r="AG359" s="106"/>
      <c r="AH359" s="106"/>
      <c r="AI359" s="106"/>
      <c r="AJ359" s="106"/>
      <c r="AK359" s="106"/>
      <c r="AL359" s="106"/>
      <c r="AM359" s="106"/>
    </row>
    <row r="360" spans="33:39" ht="12.75">
      <c r="AG360" s="106"/>
      <c r="AH360" s="106"/>
      <c r="AI360" s="106"/>
      <c r="AJ360" s="106"/>
      <c r="AK360" s="106"/>
      <c r="AL360" s="106"/>
      <c r="AM360" s="106"/>
    </row>
    <row r="361" spans="33:39" ht="12.75">
      <c r="AG361" s="106"/>
      <c r="AH361" s="106"/>
      <c r="AI361" s="106"/>
      <c r="AJ361" s="106"/>
      <c r="AK361" s="106"/>
      <c r="AL361" s="106"/>
      <c r="AM361" s="106"/>
    </row>
    <row r="362" spans="33:39" ht="12.75">
      <c r="AG362" s="106"/>
      <c r="AH362" s="106"/>
      <c r="AI362" s="106"/>
      <c r="AJ362" s="106"/>
      <c r="AK362" s="106"/>
      <c r="AL362" s="106"/>
      <c r="AM362" s="106"/>
    </row>
    <row r="363" spans="33:39" ht="12.75">
      <c r="AG363" s="106"/>
      <c r="AH363" s="106"/>
      <c r="AI363" s="106"/>
      <c r="AJ363" s="106"/>
      <c r="AK363" s="106"/>
      <c r="AL363" s="106"/>
      <c r="AM363" s="106"/>
    </row>
    <row r="364" spans="33:39" ht="12.75">
      <c r="AG364" s="106"/>
      <c r="AH364" s="106"/>
      <c r="AI364" s="106"/>
      <c r="AJ364" s="106"/>
      <c r="AK364" s="106"/>
      <c r="AL364" s="106"/>
      <c r="AM364" s="106"/>
    </row>
    <row r="365" spans="33:39" ht="12.75">
      <c r="AG365" s="106"/>
      <c r="AH365" s="106"/>
      <c r="AI365" s="106"/>
      <c r="AJ365" s="106"/>
      <c r="AK365" s="106"/>
      <c r="AL365" s="106"/>
      <c r="AM365" s="106"/>
    </row>
    <row r="366" spans="33:39" ht="12.75">
      <c r="AG366" s="106"/>
      <c r="AH366" s="106"/>
      <c r="AI366" s="106"/>
      <c r="AJ366" s="106"/>
      <c r="AK366" s="106"/>
      <c r="AL366" s="106"/>
      <c r="AM366" s="106"/>
    </row>
    <row r="367" spans="33:39" ht="12.75">
      <c r="AG367" s="106"/>
      <c r="AH367" s="106"/>
      <c r="AI367" s="106"/>
      <c r="AJ367" s="106"/>
      <c r="AK367" s="106"/>
      <c r="AL367" s="106"/>
      <c r="AM367" s="106"/>
    </row>
    <row r="368" spans="33:39" ht="12.75">
      <c r="AG368" s="106"/>
      <c r="AH368" s="106"/>
      <c r="AI368" s="106"/>
      <c r="AJ368" s="106"/>
      <c r="AK368" s="106"/>
      <c r="AL368" s="106"/>
      <c r="AM368" s="106"/>
    </row>
    <row r="369" spans="33:39" ht="12.75">
      <c r="AG369" s="106"/>
      <c r="AH369" s="106"/>
      <c r="AI369" s="106"/>
      <c r="AJ369" s="106"/>
      <c r="AK369" s="106"/>
      <c r="AL369" s="106"/>
      <c r="AM369" s="106"/>
    </row>
    <row r="370" spans="33:39" ht="12.75">
      <c r="AG370" s="106"/>
      <c r="AH370" s="106"/>
      <c r="AI370" s="106"/>
      <c r="AJ370" s="106"/>
      <c r="AK370" s="106"/>
      <c r="AL370" s="106"/>
      <c r="AM370" s="106"/>
    </row>
    <row r="371" spans="33:39" ht="12.75">
      <c r="AG371" s="106"/>
      <c r="AH371" s="106"/>
      <c r="AI371" s="106"/>
      <c r="AJ371" s="106"/>
      <c r="AK371" s="106"/>
      <c r="AL371" s="106"/>
      <c r="AM371" s="106"/>
    </row>
    <row r="372" spans="33:39" ht="12.75">
      <c r="AG372" s="106"/>
      <c r="AH372" s="106"/>
      <c r="AI372" s="106"/>
      <c r="AJ372" s="106"/>
      <c r="AK372" s="106"/>
      <c r="AL372" s="106"/>
      <c r="AM372" s="106"/>
    </row>
    <row r="373" spans="33:39" ht="12.75">
      <c r="AG373" s="106"/>
      <c r="AH373" s="106"/>
      <c r="AI373" s="106"/>
      <c r="AJ373" s="106"/>
      <c r="AK373" s="106"/>
      <c r="AL373" s="106"/>
      <c r="AM373" s="106"/>
    </row>
    <row r="374" spans="33:39" ht="12.75">
      <c r="AG374" s="106"/>
      <c r="AH374" s="106"/>
      <c r="AI374" s="106"/>
      <c r="AJ374" s="106"/>
      <c r="AK374" s="106"/>
      <c r="AL374" s="106"/>
      <c r="AM374" s="106"/>
    </row>
    <row r="375" spans="33:39" ht="12.75">
      <c r="AG375" s="106"/>
      <c r="AH375" s="106"/>
      <c r="AI375" s="106"/>
      <c r="AJ375" s="106"/>
      <c r="AK375" s="106"/>
      <c r="AL375" s="106"/>
      <c r="AM375" s="106"/>
    </row>
    <row r="376" spans="33:39" ht="12.75">
      <c r="AG376" s="106"/>
      <c r="AH376" s="106"/>
      <c r="AI376" s="106"/>
      <c r="AJ376" s="106"/>
      <c r="AK376" s="106"/>
      <c r="AL376" s="106"/>
      <c r="AM376" s="106"/>
    </row>
    <row r="377" spans="33:39" ht="12.75">
      <c r="AG377" s="106"/>
      <c r="AH377" s="106"/>
      <c r="AI377" s="106"/>
      <c r="AJ377" s="106"/>
      <c r="AK377" s="106"/>
      <c r="AL377" s="106"/>
      <c r="AM377" s="106"/>
    </row>
    <row r="378" spans="33:39" ht="12.75">
      <c r="AG378" s="106"/>
      <c r="AH378" s="106"/>
      <c r="AI378" s="106"/>
      <c r="AJ378" s="106"/>
      <c r="AK378" s="106"/>
      <c r="AL378" s="106"/>
      <c r="AM378" s="106"/>
    </row>
    <row r="379" spans="33:39" ht="12.75">
      <c r="AG379" s="106"/>
      <c r="AH379" s="106"/>
      <c r="AI379" s="106"/>
      <c r="AJ379" s="106"/>
      <c r="AK379" s="106"/>
      <c r="AL379" s="106"/>
      <c r="AM379" s="106"/>
    </row>
    <row r="380" spans="33:39" ht="12.75">
      <c r="AG380" s="106"/>
      <c r="AH380" s="106"/>
      <c r="AI380" s="106"/>
      <c r="AJ380" s="106"/>
      <c r="AK380" s="106"/>
      <c r="AL380" s="106"/>
      <c r="AM380" s="106"/>
    </row>
    <row r="381" spans="33:39" ht="12.75">
      <c r="AG381" s="106"/>
      <c r="AH381" s="106"/>
      <c r="AI381" s="106"/>
      <c r="AJ381" s="106"/>
      <c r="AK381" s="106"/>
      <c r="AL381" s="106"/>
      <c r="AM381" s="106"/>
    </row>
    <row r="382" spans="33:39" ht="12.75">
      <c r="AG382" s="106"/>
      <c r="AH382" s="106"/>
      <c r="AI382" s="106"/>
      <c r="AJ382" s="106"/>
      <c r="AK382" s="106"/>
      <c r="AL382" s="106"/>
      <c r="AM382" s="106"/>
    </row>
    <row r="383" spans="33:39" ht="12.75">
      <c r="AG383" s="106"/>
      <c r="AH383" s="106"/>
      <c r="AI383" s="106"/>
      <c r="AJ383" s="106"/>
      <c r="AK383" s="106"/>
      <c r="AL383" s="106"/>
      <c r="AM383" s="106"/>
    </row>
    <row r="384" spans="33:39" ht="12.75">
      <c r="AG384" s="106"/>
      <c r="AH384" s="106"/>
      <c r="AI384" s="106"/>
      <c r="AJ384" s="106"/>
      <c r="AK384" s="106"/>
      <c r="AL384" s="106"/>
      <c r="AM384" s="106"/>
    </row>
    <row r="385" spans="33:39" ht="12.75">
      <c r="AG385" s="106"/>
      <c r="AH385" s="106"/>
      <c r="AI385" s="106"/>
      <c r="AJ385" s="106"/>
      <c r="AK385" s="106"/>
      <c r="AL385" s="106"/>
      <c r="AM385" s="106"/>
    </row>
    <row r="386" spans="33:39" ht="12.75">
      <c r="AG386" s="106"/>
      <c r="AH386" s="106"/>
      <c r="AI386" s="106"/>
      <c r="AJ386" s="106"/>
      <c r="AK386" s="106"/>
      <c r="AL386" s="106"/>
      <c r="AM386" s="106"/>
    </row>
    <row r="387" spans="33:39" ht="12.75">
      <c r="AG387" s="106"/>
      <c r="AH387" s="106"/>
      <c r="AI387" s="106"/>
      <c r="AJ387" s="106"/>
      <c r="AK387" s="106"/>
      <c r="AL387" s="106"/>
      <c r="AM387" s="106"/>
    </row>
    <row r="388" spans="33:39" ht="12.75">
      <c r="AG388" s="106"/>
      <c r="AH388" s="106"/>
      <c r="AI388" s="106"/>
      <c r="AJ388" s="106"/>
      <c r="AK388" s="106"/>
      <c r="AL388" s="106"/>
      <c r="AM388" s="106"/>
    </row>
    <row r="389" spans="33:39" ht="12.75">
      <c r="AG389" s="106"/>
      <c r="AH389" s="106"/>
      <c r="AI389" s="106"/>
      <c r="AJ389" s="106"/>
      <c r="AK389" s="106"/>
      <c r="AL389" s="106"/>
      <c r="AM389" s="106"/>
    </row>
    <row r="390" spans="33:39" ht="12.75">
      <c r="AG390" s="106"/>
      <c r="AH390" s="106"/>
      <c r="AI390" s="106"/>
      <c r="AJ390" s="106"/>
      <c r="AK390" s="106"/>
      <c r="AL390" s="106"/>
      <c r="AM390" s="106"/>
    </row>
    <row r="391" spans="33:39" ht="12.75">
      <c r="AG391" s="106"/>
      <c r="AH391" s="106"/>
      <c r="AI391" s="106"/>
      <c r="AJ391" s="106"/>
      <c r="AK391" s="106"/>
      <c r="AL391" s="106"/>
      <c r="AM391" s="106"/>
    </row>
    <row r="392" spans="33:39" ht="12.75">
      <c r="AG392" s="106"/>
      <c r="AH392" s="106"/>
      <c r="AI392" s="106"/>
      <c r="AJ392" s="106"/>
      <c r="AK392" s="106"/>
      <c r="AL392" s="106"/>
      <c r="AM392" s="106"/>
    </row>
    <row r="393" spans="33:39" ht="12.75">
      <c r="AG393" s="106"/>
      <c r="AH393" s="106"/>
      <c r="AI393" s="106"/>
      <c r="AJ393" s="106"/>
      <c r="AK393" s="106"/>
      <c r="AL393" s="106"/>
      <c r="AM393" s="106"/>
    </row>
    <row r="394" spans="33:39" ht="12.75">
      <c r="AG394" s="106"/>
      <c r="AH394" s="106"/>
      <c r="AI394" s="106"/>
      <c r="AJ394" s="106"/>
      <c r="AK394" s="106"/>
      <c r="AL394" s="106"/>
      <c r="AM394" s="106"/>
    </row>
    <row r="395" spans="33:39" ht="12.75">
      <c r="AG395" s="106"/>
      <c r="AH395" s="106"/>
      <c r="AI395" s="106"/>
      <c r="AJ395" s="106"/>
      <c r="AK395" s="106"/>
      <c r="AL395" s="106"/>
      <c r="AM395" s="106"/>
    </row>
    <row r="396" spans="33:39" ht="12.75">
      <c r="AG396" s="106"/>
      <c r="AH396" s="106"/>
      <c r="AI396" s="106"/>
      <c r="AJ396" s="106"/>
      <c r="AK396" s="106"/>
      <c r="AL396" s="106"/>
      <c r="AM396" s="106"/>
    </row>
    <row r="397" spans="33:39" ht="12.75">
      <c r="AG397" s="106"/>
      <c r="AH397" s="106"/>
      <c r="AI397" s="106"/>
      <c r="AJ397" s="106"/>
      <c r="AK397" s="106"/>
      <c r="AL397" s="106"/>
      <c r="AM397" s="106"/>
    </row>
    <row r="398" spans="33:39" ht="12.75">
      <c r="AG398" s="106"/>
      <c r="AH398" s="106"/>
      <c r="AI398" s="106"/>
      <c r="AJ398" s="106"/>
      <c r="AK398" s="106"/>
      <c r="AL398" s="106"/>
      <c r="AM398" s="106"/>
    </row>
    <row r="399" spans="33:39" ht="12.75">
      <c r="AG399" s="106"/>
      <c r="AH399" s="106"/>
      <c r="AI399" s="106"/>
      <c r="AJ399" s="106"/>
      <c r="AK399" s="106"/>
      <c r="AL399" s="106"/>
      <c r="AM399" s="106"/>
    </row>
    <row r="400" spans="33:39" ht="12.75">
      <c r="AG400" s="106"/>
      <c r="AH400" s="106"/>
      <c r="AI400" s="106"/>
      <c r="AJ400" s="106"/>
      <c r="AK400" s="106"/>
      <c r="AL400" s="106"/>
      <c r="AM400" s="106"/>
    </row>
    <row r="401" spans="33:39" ht="12.75">
      <c r="AG401" s="106"/>
      <c r="AH401" s="106"/>
      <c r="AI401" s="106"/>
      <c r="AJ401" s="106"/>
      <c r="AK401" s="106"/>
      <c r="AL401" s="106"/>
      <c r="AM401" s="106"/>
    </row>
    <row r="402" spans="33:39" ht="12.75">
      <c r="AG402" s="106"/>
      <c r="AH402" s="106"/>
      <c r="AI402" s="106"/>
      <c r="AJ402" s="106"/>
      <c r="AK402" s="106"/>
      <c r="AL402" s="106"/>
      <c r="AM402" s="106"/>
    </row>
    <row r="403" spans="33:39" ht="12.75">
      <c r="AG403" s="106"/>
      <c r="AH403" s="106"/>
      <c r="AI403" s="106"/>
      <c r="AJ403" s="106"/>
      <c r="AK403" s="106"/>
      <c r="AL403" s="106"/>
      <c r="AM403" s="106"/>
    </row>
    <row r="404" spans="33:39" ht="12.75">
      <c r="AG404" s="106"/>
      <c r="AH404" s="106"/>
      <c r="AI404" s="106"/>
      <c r="AJ404" s="106"/>
      <c r="AK404" s="106"/>
      <c r="AL404" s="106"/>
      <c r="AM404" s="106"/>
    </row>
    <row r="405" spans="33:39" ht="12.75">
      <c r="AG405" s="106"/>
      <c r="AH405" s="106"/>
      <c r="AI405" s="106"/>
      <c r="AJ405" s="106"/>
      <c r="AK405" s="106"/>
      <c r="AL405" s="106"/>
      <c r="AM405" s="106"/>
    </row>
    <row r="406" spans="33:39" ht="12.75">
      <c r="AG406" s="106"/>
      <c r="AH406" s="106"/>
      <c r="AI406" s="106"/>
      <c r="AJ406" s="106"/>
      <c r="AK406" s="106"/>
      <c r="AL406" s="106"/>
      <c r="AM406" s="106"/>
    </row>
    <row r="407" spans="33:39" ht="12.75">
      <c r="AG407" s="106"/>
      <c r="AH407" s="106"/>
      <c r="AI407" s="106"/>
      <c r="AJ407" s="106"/>
      <c r="AK407" s="106"/>
      <c r="AL407" s="106"/>
      <c r="AM407" s="106"/>
    </row>
    <row r="408" spans="33:39" ht="12.75">
      <c r="AG408" s="106"/>
      <c r="AH408" s="106"/>
      <c r="AI408" s="106"/>
      <c r="AJ408" s="106"/>
      <c r="AK408" s="106"/>
      <c r="AL408" s="106"/>
      <c r="AM408" s="106"/>
    </row>
    <row r="409" spans="33:39" ht="12.75">
      <c r="AG409" s="106"/>
      <c r="AH409" s="106"/>
      <c r="AI409" s="106"/>
      <c r="AJ409" s="106"/>
      <c r="AK409" s="106"/>
      <c r="AL409" s="106"/>
      <c r="AM409" s="106"/>
    </row>
    <row r="410" spans="33:39" ht="12.75">
      <c r="AG410" s="106"/>
      <c r="AH410" s="106"/>
      <c r="AI410" s="106"/>
      <c r="AJ410" s="106"/>
      <c r="AK410" s="106"/>
      <c r="AL410" s="106"/>
      <c r="AM410" s="106"/>
    </row>
    <row r="411" spans="33:39" ht="12.75">
      <c r="AG411" s="106"/>
      <c r="AH411" s="106"/>
      <c r="AI411" s="106"/>
      <c r="AJ411" s="106"/>
      <c r="AK411" s="106"/>
      <c r="AL411" s="106"/>
      <c r="AM411" s="106"/>
    </row>
    <row r="412" spans="33:39" ht="12.75">
      <c r="AG412" s="106"/>
      <c r="AH412" s="106"/>
      <c r="AI412" s="106"/>
      <c r="AJ412" s="106"/>
      <c r="AK412" s="106"/>
      <c r="AL412" s="106"/>
      <c r="AM412" s="106"/>
    </row>
    <row r="413" spans="33:39" ht="12.75">
      <c r="AG413" s="106"/>
      <c r="AH413" s="106"/>
      <c r="AI413" s="106"/>
      <c r="AJ413" s="106"/>
      <c r="AK413" s="106"/>
      <c r="AL413" s="106"/>
      <c r="AM413" s="106"/>
    </row>
    <row r="414" spans="33:39" ht="12.75">
      <c r="AG414" s="106"/>
      <c r="AH414" s="106"/>
      <c r="AI414" s="106"/>
      <c r="AJ414" s="106"/>
      <c r="AK414" s="106"/>
      <c r="AL414" s="106"/>
      <c r="AM414" s="106"/>
    </row>
    <row r="415" spans="33:39" ht="12.75">
      <c r="AG415" s="106"/>
      <c r="AH415" s="106"/>
      <c r="AI415" s="106"/>
      <c r="AJ415" s="106"/>
      <c r="AK415" s="106"/>
      <c r="AL415" s="106"/>
      <c r="AM415" s="106"/>
    </row>
    <row r="416" spans="33:39" ht="12.75">
      <c r="AG416" s="106"/>
      <c r="AH416" s="106"/>
      <c r="AI416" s="106"/>
      <c r="AJ416" s="106"/>
      <c r="AK416" s="106"/>
      <c r="AL416" s="106"/>
      <c r="AM416" s="106"/>
    </row>
    <row r="417" spans="33:39" ht="12.75">
      <c r="AG417" s="106"/>
      <c r="AH417" s="106"/>
      <c r="AI417" s="106"/>
      <c r="AJ417" s="106"/>
      <c r="AK417" s="106"/>
      <c r="AL417" s="106"/>
      <c r="AM417" s="106"/>
    </row>
    <row r="418" spans="33:39" ht="12.75">
      <c r="AG418" s="106"/>
      <c r="AH418" s="106"/>
      <c r="AI418" s="106"/>
      <c r="AJ418" s="106"/>
      <c r="AK418" s="106"/>
      <c r="AL418" s="106"/>
      <c r="AM418" s="106"/>
    </row>
    <row r="419" spans="33:39" ht="12.75">
      <c r="AG419" s="106"/>
      <c r="AH419" s="106"/>
      <c r="AI419" s="106"/>
      <c r="AJ419" s="106"/>
      <c r="AK419" s="106"/>
      <c r="AL419" s="106"/>
      <c r="AM419" s="106"/>
    </row>
    <row r="420" spans="33:39" ht="12.75">
      <c r="AG420" s="106"/>
      <c r="AH420" s="106"/>
      <c r="AI420" s="106"/>
      <c r="AJ420" s="106"/>
      <c r="AK420" s="106"/>
      <c r="AL420" s="106"/>
      <c r="AM420" s="106"/>
    </row>
    <row r="421" spans="33:39" ht="12.75">
      <c r="AG421" s="106"/>
      <c r="AH421" s="106"/>
      <c r="AI421" s="106"/>
      <c r="AJ421" s="106"/>
      <c r="AK421" s="106"/>
      <c r="AL421" s="106"/>
      <c r="AM421" s="106"/>
    </row>
    <row r="422" spans="33:39" ht="12.75">
      <c r="AG422" s="106"/>
      <c r="AH422" s="106"/>
      <c r="AI422" s="106"/>
      <c r="AJ422" s="106"/>
      <c r="AK422" s="106"/>
      <c r="AL422" s="106"/>
      <c r="AM422" s="106"/>
    </row>
    <row r="423" spans="33:39" ht="12.75">
      <c r="AG423" s="106"/>
      <c r="AH423" s="106"/>
      <c r="AI423" s="106"/>
      <c r="AJ423" s="106"/>
      <c r="AK423" s="106"/>
      <c r="AL423" s="106"/>
      <c r="AM423" s="106"/>
    </row>
    <row r="424" spans="33:39" ht="12.75">
      <c r="AG424" s="106"/>
      <c r="AH424" s="106"/>
      <c r="AI424" s="106"/>
      <c r="AJ424" s="106"/>
      <c r="AK424" s="106"/>
      <c r="AL424" s="106"/>
      <c r="AM424" s="106"/>
    </row>
    <row r="425" spans="33:39" ht="12.75">
      <c r="AG425" s="106"/>
      <c r="AH425" s="106"/>
      <c r="AI425" s="106"/>
      <c r="AJ425" s="106"/>
      <c r="AK425" s="106"/>
      <c r="AL425" s="106"/>
      <c r="AM425" s="106"/>
    </row>
    <row r="426" spans="33:39" ht="12.75">
      <c r="AG426" s="106"/>
      <c r="AH426" s="106"/>
      <c r="AI426" s="106"/>
      <c r="AJ426" s="106"/>
      <c r="AK426" s="106"/>
      <c r="AL426" s="106"/>
      <c r="AM426" s="106"/>
    </row>
    <row r="427" spans="33:39" ht="12.75">
      <c r="AG427" s="106"/>
      <c r="AH427" s="106"/>
      <c r="AI427" s="106"/>
      <c r="AJ427" s="106"/>
      <c r="AK427" s="106"/>
      <c r="AL427" s="106"/>
      <c r="AM427" s="106"/>
    </row>
    <row r="428" spans="33:39" ht="12.75">
      <c r="AG428" s="106"/>
      <c r="AH428" s="106"/>
      <c r="AI428" s="106"/>
      <c r="AJ428" s="106"/>
      <c r="AK428" s="106"/>
      <c r="AL428" s="106"/>
      <c r="AM428" s="106"/>
    </row>
    <row r="429" spans="33:39" ht="12.75">
      <c r="AG429" s="106"/>
      <c r="AH429" s="106"/>
      <c r="AI429" s="106"/>
      <c r="AJ429" s="106"/>
      <c r="AK429" s="106"/>
      <c r="AL429" s="106"/>
      <c r="AM429" s="106"/>
    </row>
    <row r="430" spans="33:39" ht="12.75">
      <c r="AG430" s="106"/>
      <c r="AH430" s="106"/>
      <c r="AI430" s="106"/>
      <c r="AJ430" s="106"/>
      <c r="AK430" s="106"/>
      <c r="AL430" s="106"/>
      <c r="AM430" s="106"/>
    </row>
    <row r="431" spans="33:39" ht="12.75">
      <c r="AG431" s="106"/>
      <c r="AH431" s="106"/>
      <c r="AI431" s="106"/>
      <c r="AJ431" s="106"/>
      <c r="AK431" s="106"/>
      <c r="AL431" s="106"/>
      <c r="AM431" s="106"/>
    </row>
    <row r="432" spans="33:39" ht="12.75">
      <c r="AG432" s="106"/>
      <c r="AH432" s="106"/>
      <c r="AI432" s="106"/>
      <c r="AJ432" s="106"/>
      <c r="AK432" s="106"/>
      <c r="AL432" s="106"/>
      <c r="AM432" s="106"/>
    </row>
    <row r="433" spans="33:39" ht="12.75">
      <c r="AG433" s="106"/>
      <c r="AH433" s="106"/>
      <c r="AI433" s="106"/>
      <c r="AJ433" s="106"/>
      <c r="AK433" s="106"/>
      <c r="AL433" s="106"/>
      <c r="AM433" s="106"/>
    </row>
    <row r="434" spans="33:39" ht="12.75">
      <c r="AG434" s="106"/>
      <c r="AH434" s="106"/>
      <c r="AI434" s="106"/>
      <c r="AJ434" s="106"/>
      <c r="AK434" s="106"/>
      <c r="AL434" s="106"/>
      <c r="AM434" s="106"/>
    </row>
    <row r="435" spans="33:39" ht="12.75">
      <c r="AG435" s="106"/>
      <c r="AH435" s="106"/>
      <c r="AI435" s="106"/>
      <c r="AJ435" s="106"/>
      <c r="AK435" s="106"/>
      <c r="AL435" s="106"/>
      <c r="AM435" s="106"/>
    </row>
    <row r="436" spans="33:39" ht="12.75">
      <c r="AG436" s="106"/>
      <c r="AH436" s="106"/>
      <c r="AI436" s="106"/>
      <c r="AJ436" s="106"/>
      <c r="AK436" s="106"/>
      <c r="AL436" s="106"/>
      <c r="AM436" s="106"/>
    </row>
    <row r="437" spans="33:39" ht="12.75">
      <c r="AG437" s="106"/>
      <c r="AH437" s="106"/>
      <c r="AI437" s="106"/>
      <c r="AJ437" s="106"/>
      <c r="AK437" s="106"/>
      <c r="AL437" s="106"/>
      <c r="AM437" s="106"/>
    </row>
    <row r="438" spans="33:39" ht="12.75">
      <c r="AG438" s="106"/>
      <c r="AH438" s="106"/>
      <c r="AI438" s="106"/>
      <c r="AJ438" s="106"/>
      <c r="AK438" s="106"/>
      <c r="AL438" s="106"/>
      <c r="AM438" s="106"/>
    </row>
    <row r="439" spans="33:39" ht="12.75">
      <c r="AG439" s="106"/>
      <c r="AH439" s="106"/>
      <c r="AI439" s="106"/>
      <c r="AJ439" s="106"/>
      <c r="AK439" s="106"/>
      <c r="AL439" s="106"/>
      <c r="AM439" s="106"/>
    </row>
    <row r="440" spans="33:39" ht="12.75">
      <c r="AG440" s="106"/>
      <c r="AH440" s="106"/>
      <c r="AI440" s="106"/>
      <c r="AJ440" s="106"/>
      <c r="AK440" s="106"/>
      <c r="AL440" s="106"/>
      <c r="AM440" s="106"/>
    </row>
    <row r="441" spans="33:39" ht="12.75">
      <c r="AG441" s="106"/>
      <c r="AH441" s="106"/>
      <c r="AI441" s="106"/>
      <c r="AJ441" s="106"/>
      <c r="AK441" s="106"/>
      <c r="AL441" s="106"/>
      <c r="AM441" s="106"/>
    </row>
    <row r="442" spans="33:39" ht="12.75">
      <c r="AG442" s="106"/>
      <c r="AH442" s="106"/>
      <c r="AI442" s="106"/>
      <c r="AJ442" s="106"/>
      <c r="AK442" s="106"/>
      <c r="AL442" s="106"/>
      <c r="AM442" s="106"/>
    </row>
    <row r="443" spans="33:39" ht="12.75">
      <c r="AG443" s="106"/>
      <c r="AH443" s="106"/>
      <c r="AI443" s="106"/>
      <c r="AJ443" s="106"/>
      <c r="AK443" s="106"/>
      <c r="AL443" s="106"/>
      <c r="AM443" s="106"/>
    </row>
    <row r="444" spans="33:39" ht="12.75">
      <c r="AG444" s="106"/>
      <c r="AH444" s="106"/>
      <c r="AI444" s="106"/>
      <c r="AJ444" s="106"/>
      <c r="AK444" s="106"/>
      <c r="AL444" s="106"/>
      <c r="AM444" s="106"/>
    </row>
    <row r="445" spans="33:39" ht="12.75">
      <c r="AG445" s="106"/>
      <c r="AH445" s="106"/>
      <c r="AI445" s="106"/>
      <c r="AJ445" s="106"/>
      <c r="AK445" s="106"/>
      <c r="AL445" s="106"/>
      <c r="AM445" s="106"/>
    </row>
    <row r="446" spans="33:39" ht="12.75">
      <c r="AG446" s="106"/>
      <c r="AH446" s="106"/>
      <c r="AI446" s="106"/>
      <c r="AJ446" s="106"/>
      <c r="AK446" s="106"/>
      <c r="AL446" s="106"/>
      <c r="AM446" s="106"/>
    </row>
    <row r="447" spans="33:39" ht="12.75">
      <c r="AG447" s="106"/>
      <c r="AH447" s="106"/>
      <c r="AI447" s="106"/>
      <c r="AJ447" s="106"/>
      <c r="AK447" s="106"/>
      <c r="AL447" s="106"/>
      <c r="AM447" s="106"/>
    </row>
    <row r="448" spans="33:39" ht="12.75">
      <c r="AG448" s="106"/>
      <c r="AH448" s="106"/>
      <c r="AI448" s="106"/>
      <c r="AJ448" s="106"/>
      <c r="AK448" s="106"/>
      <c r="AL448" s="106"/>
      <c r="AM448" s="106"/>
    </row>
    <row r="449" spans="33:39" ht="12.75">
      <c r="AG449" s="106"/>
      <c r="AH449" s="106"/>
      <c r="AI449" s="106"/>
      <c r="AJ449" s="106"/>
      <c r="AK449" s="106"/>
      <c r="AL449" s="106"/>
      <c r="AM449" s="106"/>
    </row>
    <row r="450" spans="33:39" ht="12.75">
      <c r="AG450" s="106"/>
      <c r="AH450" s="106"/>
      <c r="AI450" s="106"/>
      <c r="AJ450" s="106"/>
      <c r="AK450" s="106"/>
      <c r="AL450" s="106"/>
      <c r="AM450" s="106"/>
    </row>
    <row r="451" spans="33:39" ht="12.75">
      <c r="AG451" s="106"/>
      <c r="AH451" s="106"/>
      <c r="AI451" s="106"/>
      <c r="AJ451" s="106"/>
      <c r="AK451" s="106"/>
      <c r="AL451" s="106"/>
      <c r="AM451" s="106"/>
    </row>
    <row r="452" spans="33:39" ht="12.75">
      <c r="AG452" s="106"/>
      <c r="AH452" s="106"/>
      <c r="AI452" s="106"/>
      <c r="AJ452" s="106"/>
      <c r="AK452" s="106"/>
      <c r="AL452" s="106"/>
      <c r="AM452" s="106"/>
    </row>
    <row r="453" spans="33:39" ht="12.75">
      <c r="AG453" s="106"/>
      <c r="AH453" s="106"/>
      <c r="AI453" s="106"/>
      <c r="AJ453" s="106"/>
      <c r="AK453" s="106"/>
      <c r="AL453" s="106"/>
      <c r="AM453" s="106"/>
    </row>
    <row r="454" spans="33:39" ht="12.75">
      <c r="AG454" s="106"/>
      <c r="AH454" s="106"/>
      <c r="AI454" s="106"/>
      <c r="AJ454" s="106"/>
      <c r="AK454" s="106"/>
      <c r="AL454" s="106"/>
      <c r="AM454" s="106"/>
    </row>
    <row r="455" spans="33:39" ht="12.75">
      <c r="AG455" s="106"/>
      <c r="AH455" s="106"/>
      <c r="AI455" s="106"/>
      <c r="AJ455" s="106"/>
      <c r="AK455" s="106"/>
      <c r="AL455" s="106"/>
      <c r="AM455" s="106"/>
    </row>
    <row r="456" spans="33:39" ht="12.75">
      <c r="AG456" s="106"/>
      <c r="AH456" s="106"/>
      <c r="AI456" s="106"/>
      <c r="AJ456" s="106"/>
      <c r="AK456" s="106"/>
      <c r="AL456" s="106"/>
      <c r="AM456" s="106"/>
    </row>
    <row r="457" spans="33:39" ht="12.75">
      <c r="AG457" s="106"/>
      <c r="AH457" s="106"/>
      <c r="AI457" s="106"/>
      <c r="AJ457" s="106"/>
      <c r="AK457" s="106"/>
      <c r="AL457" s="106"/>
      <c r="AM457" s="106"/>
    </row>
    <row r="458" spans="33:39" ht="12.75">
      <c r="AG458" s="106"/>
      <c r="AH458" s="106"/>
      <c r="AI458" s="106"/>
      <c r="AJ458" s="106"/>
      <c r="AK458" s="106"/>
      <c r="AL458" s="106"/>
      <c r="AM458" s="106"/>
    </row>
    <row r="459" spans="33:39" ht="12.75">
      <c r="AG459" s="106"/>
      <c r="AH459" s="106"/>
      <c r="AI459" s="106"/>
      <c r="AJ459" s="106"/>
      <c r="AK459" s="106"/>
      <c r="AL459" s="106"/>
      <c r="AM459" s="106"/>
    </row>
    <row r="460" spans="33:39" ht="12.75">
      <c r="AG460" s="106"/>
      <c r="AH460" s="106"/>
      <c r="AI460" s="106"/>
      <c r="AJ460" s="106"/>
      <c r="AK460" s="106"/>
      <c r="AL460" s="106"/>
      <c r="AM460" s="106"/>
    </row>
    <row r="461" spans="33:39" ht="12.75">
      <c r="AG461" s="106"/>
      <c r="AH461" s="106"/>
      <c r="AI461" s="106"/>
      <c r="AJ461" s="106"/>
      <c r="AK461" s="106"/>
      <c r="AL461" s="106"/>
      <c r="AM461" s="106"/>
    </row>
    <row r="462" spans="33:39" ht="12.75">
      <c r="AG462" s="106"/>
      <c r="AH462" s="106"/>
      <c r="AI462" s="106"/>
      <c r="AJ462" s="106"/>
      <c r="AK462" s="106"/>
      <c r="AL462" s="106"/>
      <c r="AM462" s="106"/>
    </row>
    <row r="463" spans="33:39" ht="12.75">
      <c r="AG463" s="106"/>
      <c r="AH463" s="106"/>
      <c r="AI463" s="106"/>
      <c r="AJ463" s="106"/>
      <c r="AK463" s="106"/>
      <c r="AL463" s="106"/>
      <c r="AM463" s="106"/>
    </row>
    <row r="464" spans="33:39" ht="12.75">
      <c r="AG464" s="106"/>
      <c r="AH464" s="106"/>
      <c r="AI464" s="106"/>
      <c r="AJ464" s="106"/>
      <c r="AK464" s="106"/>
      <c r="AL464" s="106"/>
      <c r="AM464" s="106"/>
    </row>
    <row r="465" spans="33:39" ht="12.75">
      <c r="AG465" s="106"/>
      <c r="AH465" s="106"/>
      <c r="AI465" s="106"/>
      <c r="AJ465" s="106"/>
      <c r="AK465" s="106"/>
      <c r="AL465" s="106"/>
      <c r="AM465" s="106"/>
    </row>
    <row r="466" spans="33:39" ht="12.75">
      <c r="AG466" s="106"/>
      <c r="AH466" s="106"/>
      <c r="AI466" s="106"/>
      <c r="AJ466" s="106"/>
      <c r="AK466" s="106"/>
      <c r="AL466" s="106"/>
      <c r="AM466" s="106"/>
    </row>
    <row r="467" spans="33:39" ht="12.75">
      <c r="AG467" s="106"/>
      <c r="AH467" s="106"/>
      <c r="AI467" s="106"/>
      <c r="AJ467" s="106"/>
      <c r="AK467" s="106"/>
      <c r="AL467" s="106"/>
      <c r="AM467" s="106"/>
    </row>
    <row r="468" spans="33:39" ht="12.75">
      <c r="AG468" s="106"/>
      <c r="AH468" s="106"/>
      <c r="AI468" s="106"/>
      <c r="AJ468" s="106"/>
      <c r="AK468" s="106"/>
      <c r="AL468" s="106"/>
      <c r="AM468" s="106"/>
    </row>
    <row r="469" spans="33:39" ht="12.75">
      <c r="AG469" s="106"/>
      <c r="AH469" s="106"/>
      <c r="AI469" s="106"/>
      <c r="AJ469" s="106"/>
      <c r="AK469" s="106"/>
      <c r="AL469" s="106"/>
      <c r="AM469" s="106"/>
    </row>
    <row r="470" spans="33:39" ht="12.75">
      <c r="AG470" s="106"/>
      <c r="AH470" s="106"/>
      <c r="AI470" s="106"/>
      <c r="AJ470" s="106"/>
      <c r="AK470" s="106"/>
      <c r="AL470" s="106"/>
      <c r="AM470" s="106"/>
    </row>
    <row r="471" spans="33:39" ht="12.75">
      <c r="AG471" s="106"/>
      <c r="AH471" s="106"/>
      <c r="AI471" s="106"/>
      <c r="AJ471" s="106"/>
      <c r="AK471" s="106"/>
      <c r="AL471" s="106"/>
      <c r="AM471" s="106"/>
    </row>
    <row r="472" spans="33:39" ht="12.75">
      <c r="AG472" s="106"/>
      <c r="AH472" s="106"/>
      <c r="AI472" s="106"/>
      <c r="AJ472" s="106"/>
      <c r="AK472" s="106"/>
      <c r="AL472" s="106"/>
      <c r="AM472" s="106"/>
    </row>
    <row r="473" spans="33:39" ht="12.75">
      <c r="AG473" s="106"/>
      <c r="AH473" s="106"/>
      <c r="AI473" s="106"/>
      <c r="AJ473" s="106"/>
      <c r="AK473" s="106"/>
      <c r="AL473" s="106"/>
      <c r="AM473" s="106"/>
    </row>
    <row r="474" spans="33:39" ht="12.75">
      <c r="AG474" s="106"/>
      <c r="AH474" s="106"/>
      <c r="AI474" s="106"/>
      <c r="AJ474" s="106"/>
      <c r="AK474" s="106"/>
      <c r="AL474" s="106"/>
      <c r="AM474" s="106"/>
    </row>
    <row r="475" spans="33:39" ht="12.75">
      <c r="AG475" s="106"/>
      <c r="AH475" s="106"/>
      <c r="AI475" s="106"/>
      <c r="AJ475" s="106"/>
      <c r="AK475" s="106"/>
      <c r="AL475" s="106"/>
      <c r="AM475" s="106"/>
    </row>
    <row r="476" spans="33:39" ht="12.75">
      <c r="AG476" s="106"/>
      <c r="AH476" s="106"/>
      <c r="AI476" s="106"/>
      <c r="AJ476" s="106"/>
      <c r="AK476" s="106"/>
      <c r="AL476" s="106"/>
      <c r="AM476" s="106"/>
    </row>
    <row r="477" spans="33:39" ht="12.75">
      <c r="AG477" s="106"/>
      <c r="AH477" s="106"/>
      <c r="AI477" s="106"/>
      <c r="AJ477" s="106"/>
      <c r="AK477" s="106"/>
      <c r="AL477" s="106"/>
      <c r="AM477" s="106"/>
    </row>
    <row r="478" spans="33:39" ht="12.75">
      <c r="AG478" s="106"/>
      <c r="AH478" s="106"/>
      <c r="AI478" s="106"/>
      <c r="AJ478" s="106"/>
      <c r="AK478" s="106"/>
      <c r="AL478" s="106"/>
      <c r="AM478" s="106"/>
    </row>
    <row r="479" spans="33:39" ht="12.75">
      <c r="AG479" s="106"/>
      <c r="AH479" s="106"/>
      <c r="AI479" s="106"/>
      <c r="AJ479" s="106"/>
      <c r="AK479" s="106"/>
      <c r="AL479" s="106"/>
      <c r="AM479" s="106"/>
    </row>
    <row r="480" spans="33:39" ht="12.75">
      <c r="AG480" s="106"/>
      <c r="AH480" s="106"/>
      <c r="AI480" s="106"/>
      <c r="AJ480" s="106"/>
      <c r="AK480" s="106"/>
      <c r="AL480" s="106"/>
      <c r="AM480" s="106"/>
    </row>
    <row r="481" spans="33:39" ht="12.75">
      <c r="AG481" s="106"/>
      <c r="AH481" s="106"/>
      <c r="AI481" s="106"/>
      <c r="AJ481" s="106"/>
      <c r="AK481" s="106"/>
      <c r="AL481" s="106"/>
      <c r="AM481" s="106"/>
    </row>
    <row r="482" spans="33:39" ht="12.75">
      <c r="AG482" s="106"/>
      <c r="AH482" s="106"/>
      <c r="AI482" s="106"/>
      <c r="AJ482" s="106"/>
      <c r="AK482" s="106"/>
      <c r="AL482" s="106"/>
      <c r="AM482" s="106"/>
    </row>
    <row r="483" spans="33:39" ht="12.75">
      <c r="AG483" s="106"/>
      <c r="AH483" s="106"/>
      <c r="AI483" s="106"/>
      <c r="AJ483" s="106"/>
      <c r="AK483" s="106"/>
      <c r="AL483" s="106"/>
      <c r="AM483" s="106"/>
    </row>
    <row r="484" spans="33:39" ht="12.75">
      <c r="AG484" s="106"/>
      <c r="AH484" s="106"/>
      <c r="AI484" s="106"/>
      <c r="AJ484" s="106"/>
      <c r="AK484" s="106"/>
      <c r="AL484" s="106"/>
      <c r="AM484" s="106"/>
    </row>
    <row r="485" spans="33:39" ht="12.75">
      <c r="AG485" s="106"/>
      <c r="AH485" s="106"/>
      <c r="AI485" s="106"/>
      <c r="AJ485" s="106"/>
      <c r="AK485" s="106"/>
      <c r="AL485" s="106"/>
      <c r="AM485" s="106"/>
    </row>
    <row r="486" spans="33:39" ht="12.75">
      <c r="AG486" s="106"/>
      <c r="AH486" s="106"/>
      <c r="AI486" s="106"/>
      <c r="AJ486" s="106"/>
      <c r="AK486" s="106"/>
      <c r="AL486" s="106"/>
      <c r="AM486" s="106"/>
    </row>
    <row r="487" spans="33:39" ht="12.75">
      <c r="AG487" s="106"/>
      <c r="AH487" s="106"/>
      <c r="AI487" s="106"/>
      <c r="AJ487" s="106"/>
      <c r="AK487" s="106"/>
      <c r="AL487" s="106"/>
      <c r="AM487" s="106"/>
    </row>
    <row r="488" spans="33:39" ht="12.75">
      <c r="AG488" s="106"/>
      <c r="AH488" s="106"/>
      <c r="AI488" s="106"/>
      <c r="AJ488" s="106"/>
      <c r="AK488" s="106"/>
      <c r="AL488" s="106"/>
      <c r="AM488" s="106"/>
    </row>
    <row r="489" spans="33:39" ht="12.75">
      <c r="AG489" s="106"/>
      <c r="AH489" s="106"/>
      <c r="AI489" s="106"/>
      <c r="AJ489" s="106"/>
      <c r="AK489" s="106"/>
      <c r="AL489" s="106"/>
      <c r="AM489" s="106"/>
    </row>
    <row r="490" spans="33:39" ht="12.75">
      <c r="AG490" s="106"/>
      <c r="AH490" s="106"/>
      <c r="AI490" s="106"/>
      <c r="AJ490" s="106"/>
      <c r="AK490" s="106"/>
      <c r="AL490" s="106"/>
      <c r="AM490" s="106"/>
    </row>
    <row r="491" spans="33:39" ht="12.75">
      <c r="AG491" s="106"/>
      <c r="AH491" s="106"/>
      <c r="AI491" s="106"/>
      <c r="AJ491" s="106"/>
      <c r="AK491" s="106"/>
      <c r="AL491" s="106"/>
      <c r="AM491" s="106"/>
    </row>
    <row r="492" spans="33:39" ht="12.75">
      <c r="AG492" s="106"/>
      <c r="AH492" s="106"/>
      <c r="AI492" s="106"/>
      <c r="AJ492" s="106"/>
      <c r="AK492" s="106"/>
      <c r="AL492" s="106"/>
      <c r="AM492" s="106"/>
    </row>
    <row r="493" spans="33:39" ht="12.75">
      <c r="AG493" s="106"/>
      <c r="AH493" s="106"/>
      <c r="AI493" s="106"/>
      <c r="AJ493" s="106"/>
      <c r="AK493" s="106"/>
      <c r="AL493" s="106"/>
      <c r="AM493" s="106"/>
    </row>
    <row r="494" spans="33:39" ht="12.75">
      <c r="AG494" s="106"/>
      <c r="AH494" s="106"/>
      <c r="AI494" s="106"/>
      <c r="AJ494" s="106"/>
      <c r="AK494" s="106"/>
      <c r="AL494" s="106"/>
      <c r="AM494" s="106"/>
    </row>
    <row r="495" spans="33:39" ht="12.75">
      <c r="AG495" s="106"/>
      <c r="AH495" s="106"/>
      <c r="AI495" s="106"/>
      <c r="AJ495" s="106"/>
      <c r="AK495" s="106"/>
      <c r="AL495" s="106"/>
      <c r="AM495" s="106"/>
    </row>
    <row r="496" spans="33:39" ht="12.75">
      <c r="AG496" s="106"/>
      <c r="AH496" s="106"/>
      <c r="AI496" s="106"/>
      <c r="AJ496" s="106"/>
      <c r="AK496" s="106"/>
      <c r="AL496" s="106"/>
      <c r="AM496" s="106"/>
    </row>
    <row r="497" spans="33:39" ht="12.75">
      <c r="AG497" s="106"/>
      <c r="AH497" s="106"/>
      <c r="AI497" s="106"/>
      <c r="AJ497" s="106"/>
      <c r="AK497" s="106"/>
      <c r="AL497" s="106"/>
      <c r="AM497" s="106"/>
    </row>
    <row r="498" spans="33:39" ht="12.75">
      <c r="AG498" s="106"/>
      <c r="AH498" s="106"/>
      <c r="AI498" s="106"/>
      <c r="AJ498" s="106"/>
      <c r="AK498" s="106"/>
      <c r="AL498" s="106"/>
      <c r="AM498" s="106"/>
    </row>
    <row r="499" spans="33:39" ht="12.75">
      <c r="AG499" s="106"/>
      <c r="AH499" s="106"/>
      <c r="AI499" s="106"/>
      <c r="AJ499" s="106"/>
      <c r="AK499" s="106"/>
      <c r="AL499" s="106"/>
      <c r="AM499" s="106"/>
    </row>
    <row r="500" spans="33:39" ht="12.75">
      <c r="AG500" s="106"/>
      <c r="AH500" s="106"/>
      <c r="AI500" s="106"/>
      <c r="AJ500" s="106"/>
      <c r="AK500" s="106"/>
      <c r="AL500" s="106"/>
      <c r="AM500" s="106"/>
    </row>
    <row r="501" spans="33:39" ht="12.75">
      <c r="AG501" s="106"/>
      <c r="AH501" s="106"/>
      <c r="AI501" s="106"/>
      <c r="AJ501" s="106"/>
      <c r="AK501" s="106"/>
      <c r="AL501" s="106"/>
      <c r="AM501" s="106"/>
    </row>
    <row r="502" spans="33:39" ht="12.75">
      <c r="AG502" s="106"/>
      <c r="AH502" s="106"/>
      <c r="AI502" s="106"/>
      <c r="AJ502" s="106"/>
      <c r="AK502" s="106"/>
      <c r="AL502" s="106"/>
      <c r="AM502" s="106"/>
    </row>
    <row r="503" spans="33:39" ht="12.75">
      <c r="AG503" s="106"/>
      <c r="AH503" s="106"/>
      <c r="AI503" s="106"/>
      <c r="AJ503" s="106"/>
      <c r="AK503" s="106"/>
      <c r="AL503" s="106"/>
      <c r="AM503" s="106"/>
    </row>
    <row r="504" spans="33:39" ht="12.75">
      <c r="AG504" s="106"/>
      <c r="AH504" s="106"/>
      <c r="AI504" s="106"/>
      <c r="AJ504" s="106"/>
      <c r="AK504" s="106"/>
      <c r="AL504" s="106"/>
      <c r="AM504" s="106"/>
    </row>
    <row r="505" spans="33:39" ht="12.75">
      <c r="AG505" s="106"/>
      <c r="AH505" s="106"/>
      <c r="AI505" s="106"/>
      <c r="AJ505" s="106"/>
      <c r="AK505" s="106"/>
      <c r="AL505" s="106"/>
      <c r="AM505" s="106"/>
    </row>
    <row r="506" spans="33:39" ht="12.75">
      <c r="AG506" s="106"/>
      <c r="AH506" s="106"/>
      <c r="AI506" s="106"/>
      <c r="AJ506" s="106"/>
      <c r="AK506" s="106"/>
      <c r="AL506" s="106"/>
      <c r="AM506" s="106"/>
    </row>
    <row r="507" spans="33:39" ht="12.75">
      <c r="AG507" s="106"/>
      <c r="AH507" s="106"/>
      <c r="AI507" s="106"/>
      <c r="AJ507" s="106"/>
      <c r="AK507" s="106"/>
      <c r="AL507" s="106"/>
      <c r="AM507" s="106"/>
    </row>
    <row r="508" spans="33:39" ht="12.75">
      <c r="AG508" s="106"/>
      <c r="AH508" s="106"/>
      <c r="AI508" s="106"/>
      <c r="AJ508" s="106"/>
      <c r="AK508" s="106"/>
      <c r="AL508" s="106"/>
      <c r="AM508" s="106"/>
    </row>
    <row r="509" spans="33:39" ht="12.75">
      <c r="AG509" s="106"/>
      <c r="AH509" s="106"/>
      <c r="AI509" s="106"/>
      <c r="AJ509" s="106"/>
      <c r="AK509" s="106"/>
      <c r="AL509" s="106"/>
      <c r="AM509" s="106"/>
    </row>
    <row r="510" spans="33:39" ht="12.75">
      <c r="AG510" s="106"/>
      <c r="AH510" s="106"/>
      <c r="AI510" s="106"/>
      <c r="AJ510" s="106"/>
      <c r="AK510" s="106"/>
      <c r="AL510" s="106"/>
      <c r="AM510" s="106"/>
    </row>
    <row r="511" spans="33:39" ht="12.75">
      <c r="AG511" s="106"/>
      <c r="AH511" s="106"/>
      <c r="AI511" s="106"/>
      <c r="AJ511" s="106"/>
      <c r="AK511" s="106"/>
      <c r="AL511" s="106"/>
      <c r="AM511" s="106"/>
    </row>
    <row r="512" spans="33:39" ht="12.75">
      <c r="AG512" s="106"/>
      <c r="AH512" s="106"/>
      <c r="AI512" s="106"/>
      <c r="AJ512" s="106"/>
      <c r="AK512" s="106"/>
      <c r="AL512" s="106"/>
      <c r="AM512" s="106"/>
    </row>
    <row r="513" spans="33:39" ht="12.75">
      <c r="AG513" s="106"/>
      <c r="AH513" s="106"/>
      <c r="AI513" s="106"/>
      <c r="AJ513" s="106"/>
      <c r="AK513" s="106"/>
      <c r="AL513" s="106"/>
      <c r="AM513" s="106"/>
    </row>
    <row r="514" spans="33:39" ht="12.75">
      <c r="AG514" s="106"/>
      <c r="AH514" s="106"/>
      <c r="AI514" s="106"/>
      <c r="AJ514" s="106"/>
      <c r="AK514" s="106"/>
      <c r="AL514" s="106"/>
      <c r="AM514" s="106"/>
    </row>
    <row r="515" spans="33:39" ht="12.75">
      <c r="AG515" s="106"/>
      <c r="AH515" s="106"/>
      <c r="AI515" s="106"/>
      <c r="AJ515" s="106"/>
      <c r="AK515" s="106"/>
      <c r="AL515" s="106"/>
      <c r="AM515" s="106"/>
    </row>
    <row r="516" spans="33:39" ht="12.75">
      <c r="AG516" s="106"/>
      <c r="AH516" s="106"/>
      <c r="AI516" s="106"/>
      <c r="AJ516" s="106"/>
      <c r="AK516" s="106"/>
      <c r="AL516" s="106"/>
      <c r="AM516" s="106"/>
    </row>
    <row r="517" spans="33:39" ht="12.75">
      <c r="AG517" s="106"/>
      <c r="AH517" s="106"/>
      <c r="AI517" s="106"/>
      <c r="AJ517" s="106"/>
      <c r="AK517" s="106"/>
      <c r="AL517" s="106"/>
      <c r="AM517" s="106"/>
    </row>
    <row r="518" spans="33:39" ht="12.75">
      <c r="AG518" s="106"/>
      <c r="AH518" s="106"/>
      <c r="AI518" s="106"/>
      <c r="AJ518" s="106"/>
      <c r="AK518" s="106"/>
      <c r="AL518" s="106"/>
      <c r="AM518" s="106"/>
    </row>
    <row r="519" spans="33:39" ht="12.75">
      <c r="AG519" s="106"/>
      <c r="AH519" s="106"/>
      <c r="AI519" s="106"/>
      <c r="AJ519" s="106"/>
      <c r="AK519" s="106"/>
      <c r="AL519" s="106"/>
      <c r="AM519" s="106"/>
    </row>
    <row r="520" spans="33:39" ht="12.75">
      <c r="AG520" s="106"/>
      <c r="AH520" s="106"/>
      <c r="AI520" s="106"/>
      <c r="AJ520" s="106"/>
      <c r="AK520" s="106"/>
      <c r="AL520" s="106"/>
      <c r="AM520" s="106"/>
    </row>
    <row r="521" spans="33:39" ht="12.75">
      <c r="AG521" s="106"/>
      <c r="AH521" s="106"/>
      <c r="AI521" s="106"/>
      <c r="AJ521" s="106"/>
      <c r="AK521" s="106"/>
      <c r="AL521" s="106"/>
      <c r="AM521" s="106"/>
    </row>
    <row r="522" spans="33:39" ht="12.75">
      <c r="AG522" s="106"/>
      <c r="AH522" s="106"/>
      <c r="AI522" s="106"/>
      <c r="AJ522" s="106"/>
      <c r="AK522" s="106"/>
      <c r="AL522" s="106"/>
      <c r="AM522" s="106"/>
    </row>
    <row r="523" spans="33:39" ht="12.75">
      <c r="AG523" s="106"/>
      <c r="AH523" s="106"/>
      <c r="AI523" s="106"/>
      <c r="AJ523" s="106"/>
      <c r="AK523" s="106"/>
      <c r="AL523" s="106"/>
      <c r="AM523" s="106"/>
    </row>
    <row r="524" spans="33:39" ht="12.75">
      <c r="AG524" s="106"/>
      <c r="AH524" s="106"/>
      <c r="AI524" s="106"/>
      <c r="AJ524" s="106"/>
      <c r="AK524" s="106"/>
      <c r="AL524" s="106"/>
      <c r="AM524" s="106"/>
    </row>
    <row r="525" spans="33:39" ht="12.75">
      <c r="AG525" s="106"/>
      <c r="AH525" s="106"/>
      <c r="AI525" s="106"/>
      <c r="AJ525" s="106"/>
      <c r="AK525" s="106"/>
      <c r="AL525" s="106"/>
      <c r="AM525" s="106"/>
    </row>
    <row r="526" spans="33:39" ht="12.75">
      <c r="AG526" s="106"/>
      <c r="AH526" s="106"/>
      <c r="AI526" s="106"/>
      <c r="AJ526" s="106"/>
      <c r="AK526" s="106"/>
      <c r="AL526" s="106"/>
      <c r="AM526" s="106"/>
    </row>
    <row r="527" spans="33:39" ht="12.75">
      <c r="AG527" s="106"/>
      <c r="AH527" s="106"/>
      <c r="AI527" s="106"/>
      <c r="AJ527" s="106"/>
      <c r="AK527" s="106"/>
      <c r="AL527" s="106"/>
      <c r="AM527" s="106"/>
    </row>
    <row r="528" spans="33:39" ht="12.75">
      <c r="AG528" s="106"/>
      <c r="AH528" s="106"/>
      <c r="AI528" s="106"/>
      <c r="AJ528" s="106"/>
      <c r="AK528" s="106"/>
      <c r="AL528" s="106"/>
      <c r="AM528" s="106"/>
    </row>
    <row r="529" spans="33:39" ht="12.75">
      <c r="AG529" s="106"/>
      <c r="AH529" s="106"/>
      <c r="AI529" s="106"/>
      <c r="AJ529" s="106"/>
      <c r="AK529" s="106"/>
      <c r="AL529" s="106"/>
      <c r="AM529" s="106"/>
    </row>
    <row r="530" spans="33:39" ht="12.75">
      <c r="AG530" s="106"/>
      <c r="AH530" s="106"/>
      <c r="AI530" s="106"/>
      <c r="AJ530" s="106"/>
      <c r="AK530" s="106"/>
      <c r="AL530" s="106"/>
      <c r="AM530" s="106"/>
    </row>
    <row r="531" spans="33:39" ht="12.75">
      <c r="AG531" s="106"/>
      <c r="AH531" s="106"/>
      <c r="AI531" s="106"/>
      <c r="AJ531" s="106"/>
      <c r="AK531" s="106"/>
      <c r="AL531" s="106"/>
      <c r="AM531" s="106"/>
    </row>
    <row r="532" spans="33:39" ht="12.75">
      <c r="AG532" s="106"/>
      <c r="AH532" s="106"/>
      <c r="AI532" s="106"/>
      <c r="AJ532" s="106"/>
      <c r="AK532" s="106"/>
      <c r="AL532" s="106"/>
      <c r="AM532" s="106"/>
    </row>
    <row r="533" spans="33:39" ht="12.75">
      <c r="AG533" s="106"/>
      <c r="AH533" s="106"/>
      <c r="AI533" s="106"/>
      <c r="AJ533" s="106"/>
      <c r="AK533" s="106"/>
      <c r="AL533" s="106"/>
      <c r="AM533" s="106"/>
    </row>
    <row r="534" spans="33:39" ht="12.75">
      <c r="AG534" s="106"/>
      <c r="AH534" s="106"/>
      <c r="AI534" s="106"/>
      <c r="AJ534" s="106"/>
      <c r="AK534" s="106"/>
      <c r="AL534" s="106"/>
      <c r="AM534" s="106"/>
    </row>
    <row r="535" spans="33:39" ht="12.75">
      <c r="AG535" s="106"/>
      <c r="AH535" s="106"/>
      <c r="AI535" s="106"/>
      <c r="AJ535" s="106"/>
      <c r="AK535" s="106"/>
      <c r="AL535" s="106"/>
      <c r="AM535" s="106"/>
    </row>
    <row r="536" spans="33:39" ht="12.75">
      <c r="AG536" s="106"/>
      <c r="AH536" s="106"/>
      <c r="AI536" s="106"/>
      <c r="AJ536" s="106"/>
      <c r="AK536" s="106"/>
      <c r="AL536" s="106"/>
      <c r="AM536" s="106"/>
    </row>
    <row r="537" spans="33:39" ht="12.75">
      <c r="AG537" s="106"/>
      <c r="AH537" s="106"/>
      <c r="AI537" s="106"/>
      <c r="AJ537" s="106"/>
      <c r="AK537" s="106"/>
      <c r="AL537" s="106"/>
      <c r="AM537" s="106"/>
    </row>
    <row r="538" spans="33:39" ht="12.75">
      <c r="AG538" s="106"/>
      <c r="AH538" s="106"/>
      <c r="AI538" s="106"/>
      <c r="AJ538" s="106"/>
      <c r="AK538" s="106"/>
      <c r="AL538" s="106"/>
      <c r="AM538" s="106"/>
    </row>
    <row r="539" spans="33:39" ht="12.75">
      <c r="AG539" s="106"/>
      <c r="AH539" s="106"/>
      <c r="AI539" s="106"/>
      <c r="AJ539" s="106"/>
      <c r="AK539" s="106"/>
      <c r="AL539" s="106"/>
      <c r="AM539" s="106"/>
    </row>
    <row r="540" spans="33:39" ht="12.75">
      <c r="AG540" s="106"/>
      <c r="AH540" s="106"/>
      <c r="AI540" s="106"/>
      <c r="AJ540" s="106"/>
      <c r="AK540" s="106"/>
      <c r="AL540" s="106"/>
      <c r="AM540" s="106"/>
    </row>
    <row r="541" spans="33:39" ht="12.75">
      <c r="AG541" s="106"/>
      <c r="AH541" s="106"/>
      <c r="AI541" s="106"/>
      <c r="AJ541" s="106"/>
      <c r="AK541" s="106"/>
      <c r="AL541" s="106"/>
      <c r="AM541" s="106"/>
    </row>
    <row r="542" spans="33:39" ht="12.75">
      <c r="AG542" s="106"/>
      <c r="AH542" s="106"/>
      <c r="AI542" s="106"/>
      <c r="AJ542" s="106"/>
      <c r="AK542" s="106"/>
      <c r="AL542" s="106"/>
      <c r="AM542" s="106"/>
    </row>
    <row r="543" spans="33:39" ht="12.75">
      <c r="AG543" s="106"/>
      <c r="AH543" s="106"/>
      <c r="AI543" s="106"/>
      <c r="AJ543" s="106"/>
      <c r="AK543" s="106"/>
      <c r="AL543" s="106"/>
      <c r="AM543" s="106"/>
    </row>
    <row r="544" spans="33:39" ht="12.75">
      <c r="AG544" s="106"/>
      <c r="AH544" s="106"/>
      <c r="AI544" s="106"/>
      <c r="AJ544" s="106"/>
      <c r="AK544" s="106"/>
      <c r="AL544" s="106"/>
      <c r="AM544" s="106"/>
    </row>
    <row r="545" spans="33:39" ht="12.75">
      <c r="AG545" s="106"/>
      <c r="AH545" s="106"/>
      <c r="AI545" s="106"/>
      <c r="AJ545" s="106"/>
      <c r="AK545" s="106"/>
      <c r="AL545" s="106"/>
      <c r="AM545" s="106"/>
    </row>
    <row r="546" spans="33:39" ht="12.75">
      <c r="AG546" s="106"/>
      <c r="AH546" s="106"/>
      <c r="AI546" s="106"/>
      <c r="AJ546" s="106"/>
      <c r="AK546" s="106"/>
      <c r="AL546" s="106"/>
      <c r="AM546" s="106"/>
    </row>
    <row r="547" spans="33:39" ht="12.75">
      <c r="AG547" s="106"/>
      <c r="AH547" s="106"/>
      <c r="AI547" s="106"/>
      <c r="AJ547" s="106"/>
      <c r="AK547" s="106"/>
      <c r="AL547" s="106"/>
      <c r="AM547" s="106"/>
    </row>
    <row r="548" spans="33:39" ht="12.75">
      <c r="AG548" s="106"/>
      <c r="AH548" s="106"/>
      <c r="AI548" s="106"/>
      <c r="AJ548" s="106"/>
      <c r="AK548" s="106"/>
      <c r="AL548" s="106"/>
      <c r="AM548" s="106"/>
    </row>
    <row r="549" spans="33:39" ht="12.75">
      <c r="AG549" s="106"/>
      <c r="AH549" s="106"/>
      <c r="AI549" s="106"/>
      <c r="AJ549" s="106"/>
      <c r="AK549" s="106"/>
      <c r="AL549" s="106"/>
      <c r="AM549" s="106"/>
    </row>
    <row r="550" spans="33:39" ht="12.75">
      <c r="AG550" s="106"/>
      <c r="AH550" s="106"/>
      <c r="AI550" s="106"/>
      <c r="AJ550" s="106"/>
      <c r="AK550" s="106"/>
      <c r="AL550" s="106"/>
      <c r="AM550" s="106"/>
    </row>
    <row r="551" spans="33:39" ht="12.75">
      <c r="AG551" s="106"/>
      <c r="AH551" s="106"/>
      <c r="AI551" s="106"/>
      <c r="AJ551" s="106"/>
      <c r="AK551" s="106"/>
      <c r="AL551" s="106"/>
      <c r="AM551" s="106"/>
    </row>
    <row r="552" spans="33:39" ht="12.75">
      <c r="AG552" s="106"/>
      <c r="AH552" s="106"/>
      <c r="AI552" s="106"/>
      <c r="AJ552" s="106"/>
      <c r="AK552" s="106"/>
      <c r="AL552" s="106"/>
      <c r="AM552" s="106"/>
    </row>
    <row r="553" spans="33:39" ht="12.75">
      <c r="AG553" s="106"/>
      <c r="AH553" s="106"/>
      <c r="AI553" s="106"/>
      <c r="AJ553" s="106"/>
      <c r="AK553" s="106"/>
      <c r="AL553" s="106"/>
      <c r="AM553" s="106"/>
    </row>
    <row r="554" spans="33:39" ht="12.75">
      <c r="AG554" s="106"/>
      <c r="AH554" s="106"/>
      <c r="AI554" s="106"/>
      <c r="AJ554" s="106"/>
      <c r="AK554" s="106"/>
      <c r="AL554" s="106"/>
      <c r="AM554" s="106"/>
    </row>
    <row r="555" spans="33:39" ht="12.75">
      <c r="AG555" s="106"/>
      <c r="AH555" s="106"/>
      <c r="AI555" s="106"/>
      <c r="AJ555" s="106"/>
      <c r="AK555" s="106"/>
      <c r="AL555" s="106"/>
      <c r="AM555" s="106"/>
    </row>
    <row r="556" spans="33:39" ht="12.75">
      <c r="AG556" s="106"/>
      <c r="AH556" s="106"/>
      <c r="AI556" s="106"/>
      <c r="AJ556" s="106"/>
      <c r="AK556" s="106"/>
      <c r="AL556" s="106"/>
      <c r="AM556" s="106"/>
    </row>
    <row r="557" spans="33:39" ht="12.75">
      <c r="AG557" s="106"/>
      <c r="AH557" s="106"/>
      <c r="AI557" s="106"/>
      <c r="AJ557" s="106"/>
      <c r="AK557" s="106"/>
      <c r="AL557" s="106"/>
      <c r="AM557" s="106"/>
    </row>
    <row r="558" spans="33:39" ht="12.75">
      <c r="AG558" s="106"/>
      <c r="AH558" s="106"/>
      <c r="AI558" s="106"/>
      <c r="AJ558" s="106"/>
      <c r="AK558" s="106"/>
      <c r="AL558" s="106"/>
      <c r="AM558" s="106"/>
    </row>
    <row r="559" spans="33:39" ht="12.75">
      <c r="AG559" s="106"/>
      <c r="AH559" s="106"/>
      <c r="AI559" s="106"/>
      <c r="AJ559" s="106"/>
      <c r="AK559" s="106"/>
      <c r="AL559" s="106"/>
      <c r="AM559" s="106"/>
    </row>
    <row r="560" spans="33:39" ht="12.75">
      <c r="AG560" s="106"/>
      <c r="AH560" s="106"/>
      <c r="AI560" s="106"/>
      <c r="AJ560" s="106"/>
      <c r="AK560" s="106"/>
      <c r="AL560" s="106"/>
      <c r="AM560" s="106"/>
    </row>
    <row r="561" spans="33:39" ht="12.75">
      <c r="AG561" s="106"/>
      <c r="AH561" s="106"/>
      <c r="AI561" s="106"/>
      <c r="AJ561" s="106"/>
      <c r="AK561" s="106"/>
      <c r="AL561" s="106"/>
      <c r="AM561" s="106"/>
    </row>
    <row r="562" spans="33:39" ht="12.75">
      <c r="AG562" s="106"/>
      <c r="AH562" s="106"/>
      <c r="AI562" s="106"/>
      <c r="AJ562" s="106"/>
      <c r="AK562" s="106"/>
      <c r="AL562" s="106"/>
      <c r="AM562" s="106"/>
    </row>
    <row r="563" spans="33:39" ht="12.75">
      <c r="AG563" s="106"/>
      <c r="AH563" s="106"/>
      <c r="AI563" s="106"/>
      <c r="AJ563" s="106"/>
      <c r="AK563" s="106"/>
      <c r="AL563" s="106"/>
      <c r="AM563" s="106"/>
    </row>
    <row r="564" spans="33:39" ht="12.75">
      <c r="AG564" s="106"/>
      <c r="AH564" s="106"/>
      <c r="AI564" s="106"/>
      <c r="AJ564" s="106"/>
      <c r="AK564" s="106"/>
      <c r="AL564" s="106"/>
      <c r="AM564" s="106"/>
    </row>
    <row r="565" spans="33:39" ht="12.75">
      <c r="AG565" s="106"/>
      <c r="AH565" s="106"/>
      <c r="AI565" s="106"/>
      <c r="AJ565" s="106"/>
      <c r="AK565" s="106"/>
      <c r="AL565" s="106"/>
      <c r="AM565" s="106"/>
    </row>
    <row r="566" spans="33:39" ht="12.75">
      <c r="AG566" s="106"/>
      <c r="AH566" s="106"/>
      <c r="AI566" s="106"/>
      <c r="AJ566" s="106"/>
      <c r="AK566" s="106"/>
      <c r="AL566" s="106"/>
      <c r="AM566" s="106"/>
    </row>
    <row r="567" spans="33:39" ht="12.75">
      <c r="AG567" s="106"/>
      <c r="AH567" s="106"/>
      <c r="AI567" s="106"/>
      <c r="AJ567" s="106"/>
      <c r="AK567" s="106"/>
      <c r="AL567" s="106"/>
      <c r="AM567" s="106"/>
    </row>
    <row r="568" spans="33:39" ht="12.75">
      <c r="AG568" s="106"/>
      <c r="AH568" s="106"/>
      <c r="AI568" s="106"/>
      <c r="AJ568" s="106"/>
      <c r="AK568" s="106"/>
      <c r="AL568" s="106"/>
      <c r="AM568" s="106"/>
    </row>
    <row r="569" spans="33:39" ht="12.75">
      <c r="AG569" s="106"/>
      <c r="AH569" s="106"/>
      <c r="AI569" s="106"/>
      <c r="AJ569" s="106"/>
      <c r="AK569" s="106"/>
      <c r="AL569" s="106"/>
      <c r="AM569" s="106"/>
    </row>
    <row r="570" spans="33:39" ht="12.75">
      <c r="AG570" s="106"/>
      <c r="AH570" s="106"/>
      <c r="AI570" s="106"/>
      <c r="AJ570" s="106"/>
      <c r="AK570" s="106"/>
      <c r="AL570" s="106"/>
      <c r="AM570" s="106"/>
    </row>
    <row r="571" spans="33:39" ht="12.75">
      <c r="AG571" s="106"/>
      <c r="AH571" s="106"/>
      <c r="AI571" s="106"/>
      <c r="AJ571" s="106"/>
      <c r="AK571" s="106"/>
      <c r="AL571" s="106"/>
      <c r="AM571" s="106"/>
    </row>
    <row r="572" spans="33:39" ht="12.75">
      <c r="AG572" s="106"/>
      <c r="AH572" s="106"/>
      <c r="AI572" s="106"/>
      <c r="AJ572" s="106"/>
      <c r="AK572" s="106"/>
      <c r="AL572" s="106"/>
      <c r="AM572" s="106"/>
    </row>
    <row r="573" spans="33:39" ht="12.75">
      <c r="AG573" s="106"/>
      <c r="AH573" s="106"/>
      <c r="AI573" s="106"/>
      <c r="AJ573" s="106"/>
      <c r="AK573" s="106"/>
      <c r="AL573" s="106"/>
      <c r="AM573" s="106"/>
    </row>
    <row r="574" spans="33:39" ht="12.75">
      <c r="AG574" s="106"/>
      <c r="AH574" s="106"/>
      <c r="AI574" s="106"/>
      <c r="AJ574" s="106"/>
      <c r="AK574" s="106"/>
      <c r="AL574" s="106"/>
      <c r="AM574" s="106"/>
    </row>
    <row r="575" spans="33:39" ht="12.75">
      <c r="AG575" s="106"/>
      <c r="AH575" s="106"/>
      <c r="AI575" s="106"/>
      <c r="AJ575" s="106"/>
      <c r="AK575" s="106"/>
      <c r="AL575" s="106"/>
      <c r="AM575" s="106"/>
    </row>
    <row r="576" spans="33:39" ht="12.75">
      <c r="AG576" s="106"/>
      <c r="AH576" s="106"/>
      <c r="AI576" s="106"/>
      <c r="AJ576" s="106"/>
      <c r="AK576" s="106"/>
      <c r="AL576" s="106"/>
      <c r="AM576" s="106"/>
    </row>
    <row r="577" spans="33:39" ht="12.75">
      <c r="AG577" s="106"/>
      <c r="AH577" s="106"/>
      <c r="AI577" s="106"/>
      <c r="AJ577" s="106"/>
      <c r="AK577" s="106"/>
      <c r="AL577" s="106"/>
      <c r="AM577" s="106"/>
    </row>
    <row r="578" spans="33:39" ht="12.75">
      <c r="AG578" s="106"/>
      <c r="AH578" s="106"/>
      <c r="AI578" s="106"/>
      <c r="AJ578" s="106"/>
      <c r="AK578" s="106"/>
      <c r="AL578" s="106"/>
      <c r="AM578" s="106"/>
    </row>
    <row r="579" spans="33:39" ht="12.75">
      <c r="AG579" s="106"/>
      <c r="AH579" s="106"/>
      <c r="AI579" s="106"/>
      <c r="AJ579" s="106"/>
      <c r="AK579" s="106"/>
      <c r="AL579" s="106"/>
      <c r="AM579" s="106"/>
    </row>
    <row r="580" spans="33:39" ht="12.75">
      <c r="AG580" s="106"/>
      <c r="AH580" s="106"/>
      <c r="AI580" s="106"/>
      <c r="AJ580" s="106"/>
      <c r="AK580" s="106"/>
      <c r="AL580" s="106"/>
      <c r="AM580" s="106"/>
    </row>
    <row r="581" spans="33:39" ht="12.75">
      <c r="AG581" s="106"/>
      <c r="AH581" s="106"/>
      <c r="AI581" s="106"/>
      <c r="AJ581" s="106"/>
      <c r="AK581" s="106"/>
      <c r="AL581" s="106"/>
      <c r="AM581" s="106"/>
    </row>
    <row r="582" spans="33:39" ht="12.75">
      <c r="AG582" s="106"/>
      <c r="AH582" s="106"/>
      <c r="AI582" s="106"/>
      <c r="AJ582" s="106"/>
      <c r="AK582" s="106"/>
      <c r="AL582" s="106"/>
      <c r="AM582" s="106"/>
    </row>
    <row r="583" spans="33:39" ht="12.75">
      <c r="AG583" s="106"/>
      <c r="AH583" s="106"/>
      <c r="AI583" s="106"/>
      <c r="AJ583" s="106"/>
      <c r="AK583" s="106"/>
      <c r="AL583" s="106"/>
      <c r="AM583" s="106"/>
    </row>
    <row r="584" spans="33:39" ht="12.75">
      <c r="AG584" s="106"/>
      <c r="AH584" s="106"/>
      <c r="AI584" s="106"/>
      <c r="AJ584" s="106"/>
      <c r="AK584" s="106"/>
      <c r="AL584" s="106"/>
      <c r="AM584" s="106"/>
    </row>
    <row r="585" spans="33:39" ht="12.75">
      <c r="AG585" s="106"/>
      <c r="AH585" s="106"/>
      <c r="AI585" s="106"/>
      <c r="AJ585" s="106"/>
      <c r="AK585" s="106"/>
      <c r="AL585" s="106"/>
      <c r="AM585" s="106"/>
    </row>
    <row r="586" spans="33:39" ht="12.75">
      <c r="AG586" s="106"/>
      <c r="AH586" s="106"/>
      <c r="AI586" s="106"/>
      <c r="AJ586" s="106"/>
      <c r="AK586" s="106"/>
      <c r="AL586" s="106"/>
      <c r="AM586" s="106"/>
    </row>
    <row r="587" spans="33:39" ht="12.75">
      <c r="AG587" s="106"/>
      <c r="AH587" s="106"/>
      <c r="AI587" s="106"/>
      <c r="AJ587" s="106"/>
      <c r="AK587" s="106"/>
      <c r="AL587" s="106"/>
      <c r="AM587" s="106"/>
    </row>
    <row r="588" spans="33:39" ht="12.75">
      <c r="AG588" s="106"/>
      <c r="AH588" s="106"/>
      <c r="AI588" s="106"/>
      <c r="AJ588" s="106"/>
      <c r="AK588" s="106"/>
      <c r="AL588" s="106"/>
      <c r="AM588" s="106"/>
    </row>
    <row r="589" spans="33:39" ht="12.75">
      <c r="AG589" s="106"/>
      <c r="AH589" s="106"/>
      <c r="AI589" s="106"/>
      <c r="AJ589" s="106"/>
      <c r="AK589" s="106"/>
      <c r="AL589" s="106"/>
      <c r="AM589" s="106"/>
    </row>
    <row r="590" spans="33:39" ht="12.75">
      <c r="AG590" s="106"/>
      <c r="AH590" s="106"/>
      <c r="AI590" s="106"/>
      <c r="AJ590" s="106"/>
      <c r="AK590" s="106"/>
      <c r="AL590" s="106"/>
      <c r="AM590" s="106"/>
    </row>
    <row r="591" spans="33:39" ht="12.75">
      <c r="AG591" s="106"/>
      <c r="AH591" s="106"/>
      <c r="AI591" s="106"/>
      <c r="AJ591" s="106"/>
      <c r="AK591" s="106"/>
      <c r="AL591" s="106"/>
      <c r="AM591" s="106"/>
    </row>
    <row r="592" spans="33:39" ht="12.75">
      <c r="AG592" s="106"/>
      <c r="AH592" s="106"/>
      <c r="AI592" s="106"/>
      <c r="AJ592" s="106"/>
      <c r="AK592" s="106"/>
      <c r="AL592" s="106"/>
      <c r="AM592" s="106"/>
    </row>
    <row r="593" spans="33:39" ht="12.75">
      <c r="AG593" s="106"/>
      <c r="AH593" s="106"/>
      <c r="AI593" s="106"/>
      <c r="AJ593" s="106"/>
      <c r="AK593" s="106"/>
      <c r="AL593" s="106"/>
      <c r="AM593" s="106"/>
    </row>
    <row r="594" spans="33:39" ht="12.75">
      <c r="AG594" s="106"/>
      <c r="AH594" s="106"/>
      <c r="AI594" s="106"/>
      <c r="AJ594" s="106"/>
      <c r="AK594" s="106"/>
      <c r="AL594" s="106"/>
      <c r="AM594" s="106"/>
    </row>
    <row r="595" spans="33:39" ht="12.75">
      <c r="AG595" s="106"/>
      <c r="AH595" s="106"/>
      <c r="AI595" s="106"/>
      <c r="AJ595" s="106"/>
      <c r="AK595" s="106"/>
      <c r="AL595" s="106"/>
      <c r="AM595" s="106"/>
    </row>
    <row r="596" spans="33:39" ht="12.75">
      <c r="AG596" s="106"/>
      <c r="AH596" s="106"/>
      <c r="AI596" s="106"/>
      <c r="AJ596" s="106"/>
      <c r="AK596" s="106"/>
      <c r="AL596" s="106"/>
      <c r="AM596" s="106"/>
    </row>
    <row r="597" spans="33:39" ht="12.75">
      <c r="AG597" s="106"/>
      <c r="AH597" s="106"/>
      <c r="AI597" s="106"/>
      <c r="AJ597" s="106"/>
      <c r="AK597" s="106"/>
      <c r="AL597" s="106"/>
      <c r="AM597" s="106"/>
    </row>
    <row r="598" spans="33:39" ht="12.75">
      <c r="AG598" s="106"/>
      <c r="AH598" s="106"/>
      <c r="AI598" s="106"/>
      <c r="AJ598" s="106"/>
      <c r="AK598" s="106"/>
      <c r="AL598" s="106"/>
      <c r="AM598" s="106"/>
    </row>
    <row r="599" spans="33:39" ht="12.75">
      <c r="AG599" s="106"/>
      <c r="AH599" s="106"/>
      <c r="AI599" s="106"/>
      <c r="AJ599" s="106"/>
      <c r="AK599" s="106"/>
      <c r="AL599" s="106"/>
      <c r="AM599" s="106"/>
    </row>
    <row r="600" spans="33:39" ht="12.75">
      <c r="AG600" s="106"/>
      <c r="AH600" s="106"/>
      <c r="AI600" s="106"/>
      <c r="AJ600" s="106"/>
      <c r="AK600" s="106"/>
      <c r="AL600" s="106"/>
      <c r="AM600" s="106"/>
    </row>
  </sheetData>
  <printOptions/>
  <pageMargins left="1" right="1" top="0.5" bottom="0.5" header="0" footer="0.25"/>
  <pageSetup firstPageNumber="24" useFirstPageNumber="1" fitToWidth="2" fitToHeight="1" horizontalDpi="600" verticalDpi="600" orientation="portrait" pageOrder="overThenDown" scale="74" r:id="rId1"/>
  <headerFooter alignWithMargins="0"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JGWilcheck</cp:lastModifiedBy>
  <cp:lastPrinted>2004-07-15T11:27:26Z</cp:lastPrinted>
  <dcterms:created xsi:type="dcterms:W3CDTF">2002-06-04T12:17:39Z</dcterms:created>
  <dcterms:modified xsi:type="dcterms:W3CDTF">2005-08-10T11:27:50Z</dcterms:modified>
  <cp:category/>
  <cp:version/>
  <cp:contentType/>
  <cp:contentStatus/>
</cp:coreProperties>
</file>